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mdhscrc-my.sharepoint.com/personal/whoff_mdhscrc_onmicrosoft_com/Documents/Desktop/Memo/William Henderson/"/>
    </mc:Choice>
  </mc:AlternateContent>
  <xr:revisionPtr revIDLastSave="0" documentId="8_{31BFC9F9-6CDD-4D2F-9D8C-00429754FD78}" xr6:coauthVersionLast="47" xr6:coauthVersionMax="47" xr10:uidLastSave="{00000000-0000-0000-0000-000000000000}"/>
  <bookViews>
    <workbookView xWindow="-120" yWindow="-120" windowWidth="38640" windowHeight="21120" xr2:uid="{A5863717-1A03-44AB-9B40-726ECF48EC8E}"/>
  </bookViews>
  <sheets>
    <sheet name="Modeling - Base Estimates" sheetId="1" r:id="rId1"/>
    <sheet name="Scenario 1 - increased MA % " sheetId="27" r:id="rId2"/>
    <sheet name="Scenario 2 - Increased QP %" sheetId="9" r:id="rId3"/>
    <sheet name="Scenario 3 - increase MA &amp; QP %" sheetId="2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8" i="1" l="1"/>
  <c r="F49" i="29" l="1"/>
  <c r="E49" i="29"/>
  <c r="F48" i="29"/>
  <c r="P48" i="29" s="1"/>
  <c r="E48" i="29"/>
  <c r="O48" i="29" s="1"/>
  <c r="F47" i="29"/>
  <c r="P47" i="29" s="1"/>
  <c r="E47" i="29"/>
  <c r="O47" i="29" s="1"/>
  <c r="F46" i="29"/>
  <c r="P46" i="29" s="1"/>
  <c r="E46" i="29"/>
  <c r="F45" i="29"/>
  <c r="P45" i="29" s="1"/>
  <c r="E45" i="29"/>
  <c r="F44" i="29"/>
  <c r="P44" i="29" s="1"/>
  <c r="E44" i="29"/>
  <c r="F43" i="29"/>
  <c r="P43" i="29" s="1"/>
  <c r="E43" i="29"/>
  <c r="F42" i="29"/>
  <c r="P42" i="29" s="1"/>
  <c r="E42" i="29"/>
  <c r="O42" i="29" s="1"/>
  <c r="F41" i="29"/>
  <c r="P41" i="29" s="1"/>
  <c r="E41" i="29"/>
  <c r="O41" i="29" s="1"/>
  <c r="F40" i="29"/>
  <c r="P40" i="29" s="1"/>
  <c r="E40" i="29"/>
  <c r="O40" i="29" s="1"/>
  <c r="F39" i="29"/>
  <c r="P39" i="29" s="1"/>
  <c r="E39" i="29"/>
  <c r="F38" i="29"/>
  <c r="P38" i="29" s="1"/>
  <c r="E38" i="29"/>
  <c r="O38" i="29" s="1"/>
  <c r="F37" i="29"/>
  <c r="P37" i="29" s="1"/>
  <c r="E37" i="29"/>
  <c r="O37" i="29" s="1"/>
  <c r="F36" i="29"/>
  <c r="E36" i="29"/>
  <c r="O36" i="29" s="1"/>
  <c r="F35" i="29"/>
  <c r="P35" i="29" s="1"/>
  <c r="E35" i="29"/>
  <c r="O35" i="29" s="1"/>
  <c r="F34" i="29"/>
  <c r="P34" i="29" s="1"/>
  <c r="E34" i="29"/>
  <c r="O34" i="29" s="1"/>
  <c r="F33" i="29"/>
  <c r="P33" i="29" s="1"/>
  <c r="E33" i="29"/>
  <c r="O33" i="29" s="1"/>
  <c r="F32" i="29"/>
  <c r="P32" i="29" s="1"/>
  <c r="E32" i="29"/>
  <c r="O32" i="29" s="1"/>
  <c r="F31" i="29"/>
  <c r="P31" i="29" s="1"/>
  <c r="E31" i="29"/>
  <c r="O31" i="29" s="1"/>
  <c r="F30" i="29"/>
  <c r="P30" i="29" s="1"/>
  <c r="E30" i="29"/>
  <c r="O30" i="29" s="1"/>
  <c r="F29" i="29"/>
  <c r="P29" i="29" s="1"/>
  <c r="E29" i="29"/>
  <c r="O29" i="29" s="1"/>
  <c r="F28" i="29"/>
  <c r="P28" i="29" s="1"/>
  <c r="E28" i="29"/>
  <c r="F27" i="29"/>
  <c r="P27" i="29" s="1"/>
  <c r="E27" i="29"/>
  <c r="F26" i="29"/>
  <c r="P26" i="29" s="1"/>
  <c r="E26" i="29"/>
  <c r="O26" i="29" s="1"/>
  <c r="F25" i="29"/>
  <c r="P25" i="29" s="1"/>
  <c r="E25" i="29"/>
  <c r="O25" i="29" s="1"/>
  <c r="F24" i="29"/>
  <c r="P24" i="29" s="1"/>
  <c r="E24" i="29"/>
  <c r="F23" i="29"/>
  <c r="P23" i="29" s="1"/>
  <c r="E23" i="29"/>
  <c r="F22" i="29"/>
  <c r="P22" i="29" s="1"/>
  <c r="E22" i="29"/>
  <c r="O22" i="29" s="1"/>
  <c r="F21" i="29"/>
  <c r="P21" i="29" s="1"/>
  <c r="E21" i="29"/>
  <c r="F20" i="29"/>
  <c r="P20" i="29" s="1"/>
  <c r="E20" i="29"/>
  <c r="O20" i="29" s="1"/>
  <c r="F19" i="29"/>
  <c r="P19" i="29" s="1"/>
  <c r="E19" i="29"/>
  <c r="F18" i="29"/>
  <c r="P18" i="29" s="1"/>
  <c r="E18" i="29"/>
  <c r="O18" i="29" s="1"/>
  <c r="F17" i="29"/>
  <c r="P17" i="29" s="1"/>
  <c r="E17" i="29"/>
  <c r="F16" i="29"/>
  <c r="P16" i="29" s="1"/>
  <c r="E16" i="29"/>
  <c r="O16" i="29" s="1"/>
  <c r="F15" i="29"/>
  <c r="P15" i="29" s="1"/>
  <c r="E15" i="29"/>
  <c r="F14" i="29"/>
  <c r="P14" i="29" s="1"/>
  <c r="E14" i="29"/>
  <c r="F13" i="29"/>
  <c r="P13" i="29" s="1"/>
  <c r="E13" i="29"/>
  <c r="O13" i="29" s="1"/>
  <c r="F12" i="29"/>
  <c r="E12" i="29"/>
  <c r="O12" i="29" s="1"/>
  <c r="F10" i="29"/>
  <c r="P10" i="29" s="1"/>
  <c r="E10" i="29"/>
  <c r="O10" i="29" s="1"/>
  <c r="F9" i="29"/>
  <c r="P9" i="29" s="1"/>
  <c r="E9" i="29"/>
  <c r="O9" i="29" s="1"/>
  <c r="F8" i="29"/>
  <c r="P8" i="29" s="1"/>
  <c r="E8" i="29"/>
  <c r="F7" i="29"/>
  <c r="P7" i="29" s="1"/>
  <c r="E7" i="29"/>
  <c r="F6" i="29"/>
  <c r="P6" i="29" s="1"/>
  <c r="E6" i="29"/>
  <c r="F5" i="29"/>
  <c r="E5" i="29"/>
  <c r="S51" i="29"/>
  <c r="R51" i="29"/>
  <c r="L51" i="29"/>
  <c r="U51" i="29" s="1"/>
  <c r="K51" i="29"/>
  <c r="T51" i="29" s="1"/>
  <c r="J51" i="29"/>
  <c r="I51" i="29"/>
  <c r="H51" i="29"/>
  <c r="Q51" i="29" s="1"/>
  <c r="G51" i="29"/>
  <c r="C51" i="29"/>
  <c r="U49" i="29"/>
  <c r="T49" i="29"/>
  <c r="S49" i="29"/>
  <c r="R49" i="29"/>
  <c r="Q49" i="29"/>
  <c r="U48" i="29"/>
  <c r="T48" i="29"/>
  <c r="S48" i="29"/>
  <c r="R48" i="29"/>
  <c r="Q48" i="29"/>
  <c r="U47" i="29"/>
  <c r="T47" i="29"/>
  <c r="S47" i="29"/>
  <c r="R47" i="29"/>
  <c r="Q47" i="29"/>
  <c r="U46" i="29"/>
  <c r="T46" i="29"/>
  <c r="S46" i="29"/>
  <c r="R46" i="29"/>
  <c r="Q46" i="29"/>
  <c r="U45" i="29"/>
  <c r="T45" i="29"/>
  <c r="S45" i="29"/>
  <c r="R45" i="29"/>
  <c r="Q45" i="29"/>
  <c r="U44" i="29"/>
  <c r="T44" i="29"/>
  <c r="S44" i="29"/>
  <c r="R44" i="29"/>
  <c r="Q44" i="29"/>
  <c r="U43" i="29"/>
  <c r="T43" i="29"/>
  <c r="S43" i="29"/>
  <c r="R43" i="29"/>
  <c r="Q43" i="29"/>
  <c r="U42" i="29"/>
  <c r="T42" i="29"/>
  <c r="S42" i="29"/>
  <c r="R42" i="29"/>
  <c r="Q42" i="29"/>
  <c r="U41" i="29"/>
  <c r="T41" i="29"/>
  <c r="S41" i="29"/>
  <c r="R41" i="29"/>
  <c r="Q41" i="29"/>
  <c r="U40" i="29"/>
  <c r="T40" i="29"/>
  <c r="S40" i="29"/>
  <c r="R40" i="29"/>
  <c r="Q40" i="29"/>
  <c r="U39" i="29"/>
  <c r="T39" i="29"/>
  <c r="S39" i="29"/>
  <c r="R39" i="29"/>
  <c r="Q39" i="29"/>
  <c r="U38" i="29"/>
  <c r="T38" i="29"/>
  <c r="S38" i="29"/>
  <c r="R38" i="29"/>
  <c r="Q38" i="29"/>
  <c r="U37" i="29"/>
  <c r="T37" i="29"/>
  <c r="S37" i="29"/>
  <c r="R37" i="29"/>
  <c r="Q37" i="29"/>
  <c r="U36" i="29"/>
  <c r="T36" i="29"/>
  <c r="S36" i="29"/>
  <c r="R36" i="29"/>
  <c r="Q36" i="29"/>
  <c r="U35" i="29"/>
  <c r="T35" i="29"/>
  <c r="S35" i="29"/>
  <c r="R35" i="29"/>
  <c r="Q35" i="29"/>
  <c r="U34" i="29"/>
  <c r="T34" i="29"/>
  <c r="S34" i="29"/>
  <c r="R34" i="29"/>
  <c r="Q34" i="29"/>
  <c r="U33" i="29"/>
  <c r="T33" i="29"/>
  <c r="S33" i="29"/>
  <c r="R33" i="29"/>
  <c r="Q33" i="29"/>
  <c r="U32" i="29"/>
  <c r="T32" i="29"/>
  <c r="S32" i="29"/>
  <c r="R32" i="29"/>
  <c r="Q32" i="29"/>
  <c r="U31" i="29"/>
  <c r="T31" i="29"/>
  <c r="S31" i="29"/>
  <c r="R31" i="29"/>
  <c r="Q31" i="29"/>
  <c r="U30" i="29"/>
  <c r="T30" i="29"/>
  <c r="S30" i="29"/>
  <c r="R30" i="29"/>
  <c r="Q30" i="29"/>
  <c r="U29" i="29"/>
  <c r="T29" i="29"/>
  <c r="S29" i="29"/>
  <c r="R29" i="29"/>
  <c r="Q29" i="29"/>
  <c r="U28" i="29"/>
  <c r="T28" i="29"/>
  <c r="S28" i="29"/>
  <c r="R28" i="29"/>
  <c r="Q28" i="29"/>
  <c r="U27" i="29"/>
  <c r="T27" i="29"/>
  <c r="S27" i="29"/>
  <c r="R27" i="29"/>
  <c r="Q27" i="29"/>
  <c r="U26" i="29"/>
  <c r="T26" i="29"/>
  <c r="S26" i="29"/>
  <c r="R26" i="29"/>
  <c r="Q26" i="29"/>
  <c r="U25" i="29"/>
  <c r="T25" i="29"/>
  <c r="S25" i="29"/>
  <c r="R25" i="29"/>
  <c r="Q25" i="29"/>
  <c r="U24" i="29"/>
  <c r="T24" i="29"/>
  <c r="S24" i="29"/>
  <c r="R24" i="29"/>
  <c r="Q24" i="29"/>
  <c r="U23" i="29"/>
  <c r="T23" i="29"/>
  <c r="S23" i="29"/>
  <c r="R23" i="29"/>
  <c r="Q23" i="29"/>
  <c r="U22" i="29"/>
  <c r="T22" i="29"/>
  <c r="S22" i="29"/>
  <c r="R22" i="29"/>
  <c r="Q22" i="29"/>
  <c r="U21" i="29"/>
  <c r="T21" i="29"/>
  <c r="S21" i="29"/>
  <c r="R21" i="29"/>
  <c r="Q21" i="29"/>
  <c r="U20" i="29"/>
  <c r="T20" i="29"/>
  <c r="S20" i="29"/>
  <c r="R20" i="29"/>
  <c r="Q20" i="29"/>
  <c r="U19" i="29"/>
  <c r="T19" i="29"/>
  <c r="S19" i="29"/>
  <c r="R19" i="29"/>
  <c r="Q19" i="29"/>
  <c r="U18" i="29"/>
  <c r="T18" i="29"/>
  <c r="S18" i="29"/>
  <c r="R18" i="29"/>
  <c r="Q18" i="29"/>
  <c r="U17" i="29"/>
  <c r="T17" i="29"/>
  <c r="S17" i="29"/>
  <c r="R17" i="29"/>
  <c r="Q17" i="29"/>
  <c r="U16" i="29"/>
  <c r="T16" i="29"/>
  <c r="S16" i="29"/>
  <c r="R16" i="29"/>
  <c r="Q16" i="29"/>
  <c r="U15" i="29"/>
  <c r="T15" i="29"/>
  <c r="S15" i="29"/>
  <c r="R15" i="29"/>
  <c r="Q15" i="29"/>
  <c r="U14" i="29"/>
  <c r="T14" i="29"/>
  <c r="S14" i="29"/>
  <c r="R14" i="29"/>
  <c r="Q14" i="29"/>
  <c r="U13" i="29"/>
  <c r="T13" i="29"/>
  <c r="S13" i="29"/>
  <c r="R13" i="29"/>
  <c r="Q13" i="29"/>
  <c r="U12" i="29"/>
  <c r="T12" i="29"/>
  <c r="S12" i="29"/>
  <c r="R12" i="29"/>
  <c r="Q12" i="29"/>
  <c r="U11" i="29"/>
  <c r="T11" i="29"/>
  <c r="S11" i="29"/>
  <c r="R11" i="29"/>
  <c r="Q11" i="29"/>
  <c r="U10" i="29"/>
  <c r="T10" i="29"/>
  <c r="S10" i="29"/>
  <c r="R10" i="29"/>
  <c r="Q10" i="29"/>
  <c r="U9" i="29"/>
  <c r="T9" i="29"/>
  <c r="S9" i="29"/>
  <c r="R9" i="29"/>
  <c r="Q9" i="29"/>
  <c r="U8" i="29"/>
  <c r="T8" i="29"/>
  <c r="S8" i="29"/>
  <c r="R8" i="29"/>
  <c r="Q8" i="29"/>
  <c r="U7" i="29"/>
  <c r="T7" i="29"/>
  <c r="S7" i="29"/>
  <c r="R7" i="29"/>
  <c r="Q7" i="29"/>
  <c r="U6" i="29"/>
  <c r="T6" i="29"/>
  <c r="S6" i="29"/>
  <c r="R6" i="29"/>
  <c r="Q6" i="29"/>
  <c r="U5" i="29"/>
  <c r="T5" i="29"/>
  <c r="S5" i="29"/>
  <c r="R5" i="29"/>
  <c r="Q5" i="29"/>
  <c r="D21" i="29" l="1"/>
  <c r="N21" i="29" s="1"/>
  <c r="D43" i="29"/>
  <c r="N43" i="29" s="1"/>
  <c r="D15" i="29"/>
  <c r="N15" i="29" s="1"/>
  <c r="D45" i="29"/>
  <c r="M45" i="29" s="1"/>
  <c r="V45" i="29" s="1"/>
  <c r="D17" i="29"/>
  <c r="M17" i="29" s="1"/>
  <c r="V17" i="29" s="1"/>
  <c r="P49" i="29"/>
  <c r="D49" i="29"/>
  <c r="M49" i="29" s="1"/>
  <c r="V49" i="29" s="1"/>
  <c r="O17" i="29"/>
  <c r="D6" i="29"/>
  <c r="M6" i="29" s="1"/>
  <c r="V6" i="29" s="1"/>
  <c r="O45" i="29"/>
  <c r="O21" i="29"/>
  <c r="D22" i="29"/>
  <c r="N22" i="29" s="1"/>
  <c r="D9" i="29"/>
  <c r="N9" i="29" s="1"/>
  <c r="D38" i="29"/>
  <c r="N38" i="29" s="1"/>
  <c r="D37" i="29"/>
  <c r="N37" i="29" s="1"/>
  <c r="D27" i="29"/>
  <c r="N27" i="29" s="1"/>
  <c r="D40" i="29"/>
  <c r="N40" i="29" s="1"/>
  <c r="D16" i="29"/>
  <c r="N16" i="29" s="1"/>
  <c r="D10" i="29"/>
  <c r="M10" i="29" s="1"/>
  <c r="V10" i="29" s="1"/>
  <c r="D26" i="29"/>
  <c r="N26" i="29" s="1"/>
  <c r="D13" i="29"/>
  <c r="N13" i="29" s="1"/>
  <c r="D31" i="29"/>
  <c r="N31" i="29" s="1"/>
  <c r="D5" i="29"/>
  <c r="M5" i="29" s="1"/>
  <c r="D29" i="29"/>
  <c r="N29" i="29" s="1"/>
  <c r="D30" i="29"/>
  <c r="M30" i="29" s="1"/>
  <c r="V30" i="29" s="1"/>
  <c r="AH30" i="29" s="1"/>
  <c r="D18" i="29"/>
  <c r="N18" i="29" s="1"/>
  <c r="D35" i="29"/>
  <c r="D42" i="29"/>
  <c r="M42" i="29" s="1"/>
  <c r="V42" i="29" s="1"/>
  <c r="AH42" i="29" s="1"/>
  <c r="O43" i="29"/>
  <c r="O6" i="29"/>
  <c r="O27" i="29"/>
  <c r="D12" i="29"/>
  <c r="N12" i="29" s="1"/>
  <c r="D41" i="29"/>
  <c r="M41" i="29" s="1"/>
  <c r="V41" i="29" s="1"/>
  <c r="O49" i="29"/>
  <c r="D47" i="29"/>
  <c r="D34" i="29"/>
  <c r="N34" i="29" s="1"/>
  <c r="O8" i="29"/>
  <c r="D8" i="29"/>
  <c r="D20" i="29"/>
  <c r="P36" i="29"/>
  <c r="D36" i="29"/>
  <c r="D39" i="29"/>
  <c r="O39" i="29"/>
  <c r="O15" i="29"/>
  <c r="O5" i="29"/>
  <c r="D7" i="29"/>
  <c r="O7" i="29"/>
  <c r="D23" i="29"/>
  <c r="O23" i="29"/>
  <c r="D33" i="29"/>
  <c r="P5" i="29"/>
  <c r="O14" i="29"/>
  <c r="D14" i="29"/>
  <c r="P12" i="29"/>
  <c r="O28" i="29"/>
  <c r="D28" i="29"/>
  <c r="D24" i="29"/>
  <c r="O24" i="29"/>
  <c r="D46" i="29"/>
  <c r="O46" i="29"/>
  <c r="D25" i="29"/>
  <c r="D32" i="29"/>
  <c r="O44" i="29"/>
  <c r="D44" i="29"/>
  <c r="D19" i="29"/>
  <c r="O19" i="29"/>
  <c r="D48" i="2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6" i="9"/>
  <c r="E5" i="9"/>
  <c r="F49" i="27"/>
  <c r="E49" i="27"/>
  <c r="F48" i="27"/>
  <c r="E48" i="27"/>
  <c r="F47" i="27"/>
  <c r="E47" i="27"/>
  <c r="F46" i="27"/>
  <c r="E46" i="27"/>
  <c r="F45" i="27"/>
  <c r="E45" i="27"/>
  <c r="F44" i="27"/>
  <c r="E44" i="27"/>
  <c r="F43" i="27"/>
  <c r="E43" i="27"/>
  <c r="F42" i="27"/>
  <c r="E42" i="27"/>
  <c r="F41" i="27"/>
  <c r="E41" i="27"/>
  <c r="F40" i="27"/>
  <c r="E40" i="27"/>
  <c r="F39" i="27"/>
  <c r="E39" i="27"/>
  <c r="F38" i="27"/>
  <c r="E38" i="27"/>
  <c r="F37" i="27"/>
  <c r="E37" i="27"/>
  <c r="F36" i="27"/>
  <c r="E36" i="27"/>
  <c r="F35" i="27"/>
  <c r="E35" i="27"/>
  <c r="F34" i="27"/>
  <c r="E34" i="27"/>
  <c r="F33" i="27"/>
  <c r="E33" i="27"/>
  <c r="F32" i="27"/>
  <c r="E32" i="27"/>
  <c r="F31" i="27"/>
  <c r="E31" i="27"/>
  <c r="F30" i="27"/>
  <c r="E30" i="27"/>
  <c r="F29" i="27"/>
  <c r="E29" i="27"/>
  <c r="F28" i="27"/>
  <c r="E28" i="27"/>
  <c r="F27" i="27"/>
  <c r="E27" i="27"/>
  <c r="F26" i="27"/>
  <c r="E26" i="27"/>
  <c r="F25" i="27"/>
  <c r="E25" i="27"/>
  <c r="F24" i="27"/>
  <c r="E24" i="27"/>
  <c r="F23" i="27"/>
  <c r="E23" i="27"/>
  <c r="F22" i="27"/>
  <c r="E22" i="27"/>
  <c r="F21" i="27"/>
  <c r="E21" i="27"/>
  <c r="D21" i="27" s="1"/>
  <c r="N21" i="27" s="1"/>
  <c r="F20" i="27"/>
  <c r="E20" i="27"/>
  <c r="F19" i="27"/>
  <c r="D19" i="27" s="1"/>
  <c r="N19" i="27" s="1"/>
  <c r="E19" i="27"/>
  <c r="F18" i="27"/>
  <c r="E18" i="27"/>
  <c r="F17" i="27"/>
  <c r="E17" i="27"/>
  <c r="F16" i="27"/>
  <c r="E16" i="27"/>
  <c r="F15" i="27"/>
  <c r="E15" i="27"/>
  <c r="F14" i="27"/>
  <c r="E14" i="27"/>
  <c r="F13" i="27"/>
  <c r="E13" i="27"/>
  <c r="F12" i="27"/>
  <c r="E12" i="27"/>
  <c r="D12" i="27" s="1"/>
  <c r="N12" i="27" s="1"/>
  <c r="F10" i="27"/>
  <c r="E10" i="27"/>
  <c r="D10" i="27" s="1"/>
  <c r="N10" i="27" s="1"/>
  <c r="F9" i="27"/>
  <c r="E9" i="27"/>
  <c r="F8" i="27"/>
  <c r="E8" i="27"/>
  <c r="F7" i="27"/>
  <c r="E7" i="27"/>
  <c r="F6" i="27"/>
  <c r="E6" i="27"/>
  <c r="L51" i="27"/>
  <c r="K51" i="27"/>
  <c r="J51" i="27"/>
  <c r="I51" i="27"/>
  <c r="H51" i="27"/>
  <c r="G51" i="27"/>
  <c r="C51" i="27"/>
  <c r="U49" i="27"/>
  <c r="T49" i="27"/>
  <c r="S49" i="27"/>
  <c r="R49" i="27"/>
  <c r="Q49" i="27"/>
  <c r="U48" i="27"/>
  <c r="T48" i="27"/>
  <c r="S48" i="27"/>
  <c r="R48" i="27"/>
  <c r="Q48" i="27"/>
  <c r="U47" i="27"/>
  <c r="T47" i="27"/>
  <c r="S47" i="27"/>
  <c r="R47" i="27"/>
  <c r="Q47" i="27"/>
  <c r="U46" i="27"/>
  <c r="T46" i="27"/>
  <c r="S46" i="27"/>
  <c r="R46" i="27"/>
  <c r="Q46" i="27"/>
  <c r="U45" i="27"/>
  <c r="T45" i="27"/>
  <c r="S45" i="27"/>
  <c r="R45" i="27"/>
  <c r="Q45" i="27"/>
  <c r="U44" i="27"/>
  <c r="T44" i="27"/>
  <c r="S44" i="27"/>
  <c r="R44" i="27"/>
  <c r="Q44" i="27"/>
  <c r="U43" i="27"/>
  <c r="T43" i="27"/>
  <c r="S43" i="27"/>
  <c r="R43" i="27"/>
  <c r="Q43" i="27"/>
  <c r="U42" i="27"/>
  <c r="T42" i="27"/>
  <c r="S42" i="27"/>
  <c r="R42" i="27"/>
  <c r="Q42" i="27"/>
  <c r="U41" i="27"/>
  <c r="T41" i="27"/>
  <c r="S41" i="27"/>
  <c r="R41" i="27"/>
  <c r="Q41" i="27"/>
  <c r="U40" i="27"/>
  <c r="T40" i="27"/>
  <c r="S40" i="27"/>
  <c r="R40" i="27"/>
  <c r="Q40" i="27"/>
  <c r="U39" i="27"/>
  <c r="T39" i="27"/>
  <c r="S39" i="27"/>
  <c r="R39" i="27"/>
  <c r="Q39" i="27"/>
  <c r="U38" i="27"/>
  <c r="T38" i="27"/>
  <c r="S38" i="27"/>
  <c r="R38" i="27"/>
  <c r="Q38" i="27"/>
  <c r="U37" i="27"/>
  <c r="T37" i="27"/>
  <c r="S37" i="27"/>
  <c r="R37" i="27"/>
  <c r="Q37" i="27"/>
  <c r="U36" i="27"/>
  <c r="T36" i="27"/>
  <c r="S36" i="27"/>
  <c r="R36" i="27"/>
  <c r="Q36" i="27"/>
  <c r="U35" i="27"/>
  <c r="T35" i="27"/>
  <c r="S35" i="27"/>
  <c r="R35" i="27"/>
  <c r="Q35" i="27"/>
  <c r="U34" i="27"/>
  <c r="T34" i="27"/>
  <c r="S34" i="27"/>
  <c r="R34" i="27"/>
  <c r="Q34" i="27"/>
  <c r="U33" i="27"/>
  <c r="T33" i="27"/>
  <c r="S33" i="27"/>
  <c r="R33" i="27"/>
  <c r="Q33" i="27"/>
  <c r="U32" i="27"/>
  <c r="T32" i="27"/>
  <c r="S32" i="27"/>
  <c r="R32" i="27"/>
  <c r="Q32" i="27"/>
  <c r="U31" i="27"/>
  <c r="T31" i="27"/>
  <c r="S31" i="27"/>
  <c r="R31" i="27"/>
  <c r="Q31" i="27"/>
  <c r="U30" i="27"/>
  <c r="T30" i="27"/>
  <c r="S30" i="27"/>
  <c r="R30" i="27"/>
  <c r="Q30" i="27"/>
  <c r="U29" i="27"/>
  <c r="T29" i="27"/>
  <c r="S29" i="27"/>
  <c r="R29" i="27"/>
  <c r="Q29" i="27"/>
  <c r="U28" i="27"/>
  <c r="T28" i="27"/>
  <c r="S28" i="27"/>
  <c r="R28" i="27"/>
  <c r="Q28" i="27"/>
  <c r="U27" i="27"/>
  <c r="T27" i="27"/>
  <c r="S27" i="27"/>
  <c r="R27" i="27"/>
  <c r="Q27" i="27"/>
  <c r="U26" i="27"/>
  <c r="T26" i="27"/>
  <c r="S26" i="27"/>
  <c r="R26" i="27"/>
  <c r="Q26" i="27"/>
  <c r="U25" i="27"/>
  <c r="T25" i="27"/>
  <c r="S25" i="27"/>
  <c r="R25" i="27"/>
  <c r="Q25" i="27"/>
  <c r="U24" i="27"/>
  <c r="T24" i="27"/>
  <c r="S24" i="27"/>
  <c r="R24" i="27"/>
  <c r="Q24" i="27"/>
  <c r="U23" i="27"/>
  <c r="T23" i="27"/>
  <c r="S23" i="27"/>
  <c r="R23" i="27"/>
  <c r="Q23" i="27"/>
  <c r="U22" i="27"/>
  <c r="T22" i="27"/>
  <c r="S22" i="27"/>
  <c r="R22" i="27"/>
  <c r="Q22" i="27"/>
  <c r="U21" i="27"/>
  <c r="T21" i="27"/>
  <c r="S21" i="27"/>
  <c r="R21" i="27"/>
  <c r="Q21" i="27"/>
  <c r="U20" i="27"/>
  <c r="T20" i="27"/>
  <c r="S20" i="27"/>
  <c r="R20" i="27"/>
  <c r="Q20" i="27"/>
  <c r="U19" i="27"/>
  <c r="T19" i="27"/>
  <c r="S19" i="27"/>
  <c r="R19" i="27"/>
  <c r="Q19" i="27"/>
  <c r="U18" i="27"/>
  <c r="T18" i="27"/>
  <c r="S18" i="27"/>
  <c r="R18" i="27"/>
  <c r="Q18" i="27"/>
  <c r="U17" i="27"/>
  <c r="T17" i="27"/>
  <c r="S17" i="27"/>
  <c r="R17" i="27"/>
  <c r="Q17" i="27"/>
  <c r="U16" i="27"/>
  <c r="T16" i="27"/>
  <c r="S16" i="27"/>
  <c r="R16" i="27"/>
  <c r="Q16" i="27"/>
  <c r="U15" i="27"/>
  <c r="T15" i="27"/>
  <c r="S15" i="27"/>
  <c r="R15" i="27"/>
  <c r="Q15" i="27"/>
  <c r="U14" i="27"/>
  <c r="T14" i="27"/>
  <c r="S14" i="27"/>
  <c r="R14" i="27"/>
  <c r="Q14" i="27"/>
  <c r="U13" i="27"/>
  <c r="T13" i="27"/>
  <c r="S13" i="27"/>
  <c r="R13" i="27"/>
  <c r="Q13" i="27"/>
  <c r="U12" i="27"/>
  <c r="T12" i="27"/>
  <c r="S12" i="27"/>
  <c r="R12" i="27"/>
  <c r="Q12" i="27"/>
  <c r="U11" i="27"/>
  <c r="T11" i="27"/>
  <c r="S11" i="27"/>
  <c r="R11" i="27"/>
  <c r="Q11" i="27"/>
  <c r="U10" i="27"/>
  <c r="T10" i="27"/>
  <c r="S10" i="27"/>
  <c r="R10" i="27"/>
  <c r="Q10" i="27"/>
  <c r="U9" i="27"/>
  <c r="T9" i="27"/>
  <c r="S9" i="27"/>
  <c r="R9" i="27"/>
  <c r="Q9" i="27"/>
  <c r="U8" i="27"/>
  <c r="T8" i="27"/>
  <c r="S8" i="27"/>
  <c r="R8" i="27"/>
  <c r="Q8" i="27"/>
  <c r="U7" i="27"/>
  <c r="T7" i="27"/>
  <c r="S7" i="27"/>
  <c r="R7" i="27"/>
  <c r="Q7" i="27"/>
  <c r="U6" i="27"/>
  <c r="T6" i="27"/>
  <c r="S6" i="27"/>
  <c r="R6" i="27"/>
  <c r="Q6" i="27"/>
  <c r="U5" i="27"/>
  <c r="T5" i="27"/>
  <c r="S5" i="27"/>
  <c r="R5" i="27"/>
  <c r="Q5" i="27"/>
  <c r="D28" i="27" l="1"/>
  <c r="N28" i="27" s="1"/>
  <c r="D30" i="27"/>
  <c r="N30" i="27" s="1"/>
  <c r="D37" i="27"/>
  <c r="N37" i="27" s="1"/>
  <c r="D20" i="27"/>
  <c r="N20" i="27" s="1"/>
  <c r="D39" i="27"/>
  <c r="N39" i="27" s="1"/>
  <c r="D42" i="27"/>
  <c r="N42" i="27" s="1"/>
  <c r="M21" i="29"/>
  <c r="V21" i="29" s="1"/>
  <c r="AG21" i="29" s="1"/>
  <c r="M43" i="29"/>
  <c r="V43" i="29" s="1"/>
  <c r="N45" i="29"/>
  <c r="M15" i="29"/>
  <c r="V15" i="29" s="1"/>
  <c r="N17" i="29"/>
  <c r="AH17" i="29"/>
  <c r="N49" i="29"/>
  <c r="AH6" i="29"/>
  <c r="M26" i="29"/>
  <c r="V26" i="29" s="1"/>
  <c r="N6" i="29"/>
  <c r="AG6" i="29" s="1"/>
  <c r="M16" i="29"/>
  <c r="V16" i="29" s="1"/>
  <c r="M13" i="29"/>
  <c r="V13" i="29" s="1"/>
  <c r="AH13" i="29" s="1"/>
  <c r="M40" i="29"/>
  <c r="V40" i="29" s="1"/>
  <c r="AH40" i="29" s="1"/>
  <c r="M29" i="29"/>
  <c r="V29" i="29" s="1"/>
  <c r="M22" i="29"/>
  <c r="V22" i="29" s="1"/>
  <c r="M27" i="29"/>
  <c r="V27" i="29" s="1"/>
  <c r="M38" i="29"/>
  <c r="V38" i="29" s="1"/>
  <c r="AG38" i="29" s="1"/>
  <c r="M37" i="29"/>
  <c r="V37" i="29" s="1"/>
  <c r="N5" i="29"/>
  <c r="N10" i="29"/>
  <c r="AG10" i="29" s="1"/>
  <c r="M18" i="29"/>
  <c r="V18" i="29" s="1"/>
  <c r="M31" i="29"/>
  <c r="V31" i="29" s="1"/>
  <c r="AG31" i="29" s="1"/>
  <c r="M9" i="29"/>
  <c r="V9" i="29" s="1"/>
  <c r="AH10" i="29"/>
  <c r="M34" i="29"/>
  <c r="V34" i="29" s="1"/>
  <c r="N30" i="29"/>
  <c r="N35" i="29"/>
  <c r="M35" i="29"/>
  <c r="V35" i="29" s="1"/>
  <c r="AH41" i="29"/>
  <c r="N47" i="29"/>
  <c r="M47" i="29"/>
  <c r="V47" i="29" s="1"/>
  <c r="AH45" i="29"/>
  <c r="N41" i="29"/>
  <c r="AG41" i="29" s="1"/>
  <c r="AH49" i="29"/>
  <c r="N42" i="29"/>
  <c r="AG42" i="29" s="1"/>
  <c r="M12" i="29"/>
  <c r="V12" i="29" s="1"/>
  <c r="N7" i="29"/>
  <c r="M7" i="29"/>
  <c r="V7" i="29" s="1"/>
  <c r="N20" i="29"/>
  <c r="M20" i="29"/>
  <c r="V20" i="29" s="1"/>
  <c r="V5" i="29"/>
  <c r="M25" i="29"/>
  <c r="V25" i="29" s="1"/>
  <c r="N25" i="29"/>
  <c r="M48" i="29"/>
  <c r="V48" i="29" s="1"/>
  <c r="N48" i="29"/>
  <c r="M46" i="29"/>
  <c r="V46" i="29" s="1"/>
  <c r="N46" i="29"/>
  <c r="M32" i="29"/>
  <c r="V32" i="29" s="1"/>
  <c r="N32" i="29"/>
  <c r="M28" i="29"/>
  <c r="V28" i="29" s="1"/>
  <c r="AH28" i="29" s="1"/>
  <c r="N28" i="29"/>
  <c r="N8" i="29"/>
  <c r="M8" i="29"/>
  <c r="V8" i="29" s="1"/>
  <c r="M33" i="29"/>
  <c r="V33" i="29" s="1"/>
  <c r="N33" i="29"/>
  <c r="M39" i="29"/>
  <c r="V39" i="29" s="1"/>
  <c r="AH39" i="29" s="1"/>
  <c r="N39" i="29"/>
  <c r="N36" i="29"/>
  <c r="M36" i="29"/>
  <c r="V36" i="29" s="1"/>
  <c r="AH36" i="29" s="1"/>
  <c r="N24" i="29"/>
  <c r="M24" i="29"/>
  <c r="V24" i="29" s="1"/>
  <c r="M23" i="29"/>
  <c r="V23" i="29" s="1"/>
  <c r="AH23" i="29" s="1"/>
  <c r="N23" i="29"/>
  <c r="N19" i="29"/>
  <c r="M19" i="29"/>
  <c r="V19" i="29" s="1"/>
  <c r="N14" i="29"/>
  <c r="M14" i="29"/>
  <c r="V14" i="29" s="1"/>
  <c r="N44" i="29"/>
  <c r="M44" i="29"/>
  <c r="V44" i="29" s="1"/>
  <c r="D31" i="27"/>
  <c r="N31" i="27" s="1"/>
  <c r="D41" i="27"/>
  <c r="N41" i="27" s="1"/>
  <c r="D44" i="27"/>
  <c r="N44" i="27" s="1"/>
  <c r="D17" i="27"/>
  <c r="N17" i="27" s="1"/>
  <c r="D23" i="27"/>
  <c r="N23" i="27" s="1"/>
  <c r="D18" i="27"/>
  <c r="N18" i="27" s="1"/>
  <c r="D32" i="27"/>
  <c r="N32" i="27" s="1"/>
  <c r="D38" i="27"/>
  <c r="N38" i="27" s="1"/>
  <c r="D15" i="27"/>
  <c r="N15" i="27" s="1"/>
  <c r="D48" i="27"/>
  <c r="N48" i="27" s="1"/>
  <c r="D27" i="27"/>
  <c r="N27" i="27" s="1"/>
  <c r="D49" i="27"/>
  <c r="N49" i="27" s="1"/>
  <c r="D24" i="27"/>
  <c r="N24" i="27" s="1"/>
  <c r="D34" i="27"/>
  <c r="N34" i="27" s="1"/>
  <c r="D43" i="27"/>
  <c r="N43" i="27" s="1"/>
  <c r="D25" i="27"/>
  <c r="N25" i="27" s="1"/>
  <c r="D8" i="27"/>
  <c r="N8" i="27" s="1"/>
  <c r="D36" i="27"/>
  <c r="N36" i="27" s="1"/>
  <c r="D6" i="27"/>
  <c r="N6" i="27" s="1"/>
  <c r="D47" i="27"/>
  <c r="N47" i="27" s="1"/>
  <c r="D13" i="27"/>
  <c r="N13" i="27" s="1"/>
  <c r="D45" i="27"/>
  <c r="N45" i="27" s="1"/>
  <c r="D22" i="27"/>
  <c r="N22" i="27" s="1"/>
  <c r="D40" i="27"/>
  <c r="N40" i="27" s="1"/>
  <c r="D29" i="27"/>
  <c r="N29" i="27" s="1"/>
  <c r="D14" i="27"/>
  <c r="N14" i="27" s="1"/>
  <c r="D7" i="27"/>
  <c r="N7" i="27" s="1"/>
  <c r="D46" i="27"/>
  <c r="N46" i="27" s="1"/>
  <c r="D16" i="27"/>
  <c r="N16" i="27" s="1"/>
  <c r="D26" i="27"/>
  <c r="N26" i="27" s="1"/>
  <c r="D9" i="27"/>
  <c r="N9" i="27" s="1"/>
  <c r="D33" i="27"/>
  <c r="N33" i="27" s="1"/>
  <c r="D35" i="27"/>
  <c r="N35" i="27" s="1"/>
  <c r="T51" i="27"/>
  <c r="U51" i="27"/>
  <c r="R51" i="27"/>
  <c r="Q51" i="27"/>
  <c r="S51" i="27"/>
  <c r="AG43" i="29" l="1"/>
  <c r="AH21" i="29"/>
  <c r="AH43" i="29"/>
  <c r="AH15" i="29"/>
  <c r="AG15" i="29"/>
  <c r="AG45" i="29"/>
  <c r="AH26" i="29"/>
  <c r="AG17" i="29"/>
  <c r="AG16" i="29"/>
  <c r="AH31" i="29"/>
  <c r="AG26" i="29"/>
  <c r="AG49" i="29"/>
  <c r="AG13" i="29"/>
  <c r="AH16" i="29"/>
  <c r="AH29" i="29"/>
  <c r="AH27" i="29"/>
  <c r="AH22" i="29"/>
  <c r="AG29" i="29"/>
  <c r="AG22" i="29"/>
  <c r="AG27" i="29"/>
  <c r="AG40" i="29"/>
  <c r="AH37" i="29"/>
  <c r="AH9" i="29"/>
  <c r="AH38" i="29"/>
  <c r="AG37" i="29"/>
  <c r="AG34" i="29"/>
  <c r="AG9" i="29"/>
  <c r="AG18" i="29"/>
  <c r="AG30" i="29"/>
  <c r="AH18" i="29"/>
  <c r="AH34" i="29"/>
  <c r="AH35" i="29"/>
  <c r="AG35" i="29"/>
  <c r="AH12" i="29"/>
  <c r="AH47" i="29"/>
  <c r="AG47" i="29"/>
  <c r="AG12" i="29"/>
  <c r="AG46" i="29"/>
  <c r="AG32" i="29"/>
  <c r="AG36" i="29"/>
  <c r="AH32" i="29"/>
  <c r="AH46" i="29"/>
  <c r="AG19" i="29"/>
  <c r="AG24" i="29"/>
  <c r="AG44" i="29"/>
  <c r="AH24" i="29"/>
  <c r="AG39" i="29"/>
  <c r="AH8" i="29"/>
  <c r="AG14" i="29"/>
  <c r="AH19" i="29"/>
  <c r="AH33" i="29"/>
  <c r="AH25" i="29"/>
  <c r="AH20" i="29"/>
  <c r="AG23" i="29"/>
  <c r="AG8" i="29"/>
  <c r="AG48" i="29"/>
  <c r="AG28" i="29"/>
  <c r="AH48" i="29"/>
  <c r="AG7" i="29"/>
  <c r="AG5" i="29"/>
  <c r="AG33" i="29"/>
  <c r="AG25" i="29"/>
  <c r="AG20" i="29"/>
  <c r="AH44" i="29"/>
  <c r="AH14" i="29"/>
  <c r="AH7" i="29"/>
  <c r="F5" i="27" l="1"/>
  <c r="E5" i="27"/>
  <c r="H77" i="27"/>
  <c r="D5" i="27" l="1"/>
  <c r="N5" i="27" s="1"/>
  <c r="O39" i="27"/>
  <c r="P39" i="27"/>
  <c r="O9" i="27"/>
  <c r="P9" i="27"/>
  <c r="O32" i="27"/>
  <c r="P32" i="27"/>
  <c r="P15" i="27"/>
  <c r="O15" i="27"/>
  <c r="P13" i="27"/>
  <c r="O13" i="27"/>
  <c r="O48" i="27"/>
  <c r="P48" i="27"/>
  <c r="O49" i="27"/>
  <c r="P49" i="27"/>
  <c r="O31" i="27"/>
  <c r="P31" i="27"/>
  <c r="P46" i="27"/>
  <c r="O46" i="27"/>
  <c r="P29" i="27"/>
  <c r="O29" i="27"/>
  <c r="P42" i="27"/>
  <c r="O42" i="27"/>
  <c r="M42" i="27"/>
  <c r="V42" i="27" s="1"/>
  <c r="O38" i="27"/>
  <c r="P38" i="27"/>
  <c r="M38" i="27"/>
  <c r="V38" i="27" s="1"/>
  <c r="O8" i="27"/>
  <c r="P8" i="27"/>
  <c r="P20" i="27"/>
  <c r="M20" i="27"/>
  <c r="V20" i="27" s="1"/>
  <c r="O20" i="27"/>
  <c r="P6" i="27"/>
  <c r="O6" i="27"/>
  <c r="P14" i="27"/>
  <c r="O14" i="27"/>
  <c r="P40" i="27"/>
  <c r="O40" i="27"/>
  <c r="P27" i="27"/>
  <c r="O27" i="27"/>
  <c r="P34" i="27"/>
  <c r="M34" i="27"/>
  <c r="V34" i="27" s="1"/>
  <c r="O34" i="27"/>
  <c r="O19" i="27"/>
  <c r="P19" i="27"/>
  <c r="O26" i="27"/>
  <c r="P26" i="27"/>
  <c r="M26" i="27"/>
  <c r="V26" i="27" s="1"/>
  <c r="P12" i="27"/>
  <c r="O12" i="27"/>
  <c r="M12" i="27"/>
  <c r="V12" i="27" s="1"/>
  <c r="O24" i="27"/>
  <c r="P24" i="27"/>
  <c r="P17" i="27"/>
  <c r="O17" i="27"/>
  <c r="O21" i="27"/>
  <c r="P21" i="27"/>
  <c r="O41" i="27"/>
  <c r="P41" i="27"/>
  <c r="O23" i="27"/>
  <c r="P23" i="27"/>
  <c r="P36" i="27"/>
  <c r="O36" i="27"/>
  <c r="P47" i="27"/>
  <c r="O47" i="27"/>
  <c r="M47" i="27"/>
  <c r="V47" i="27" s="1"/>
  <c r="O44" i="27"/>
  <c r="P44" i="27"/>
  <c r="O28" i="27"/>
  <c r="P28" i="27"/>
  <c r="P25" i="27"/>
  <c r="O25" i="27"/>
  <c r="P16" i="27"/>
  <c r="O16" i="27"/>
  <c r="P7" i="27"/>
  <c r="O7" i="27"/>
  <c r="P30" i="27"/>
  <c r="O30" i="27"/>
  <c r="M30" i="27"/>
  <c r="V30" i="27" s="1"/>
  <c r="O5" i="27"/>
  <c r="P10" i="27"/>
  <c r="M10" i="27"/>
  <c r="V10" i="27" s="1"/>
  <c r="O10" i="27"/>
  <c r="P35" i="27"/>
  <c r="O35" i="27"/>
  <c r="O18" i="27"/>
  <c r="P18" i="27"/>
  <c r="O43" i="27"/>
  <c r="P43" i="27"/>
  <c r="O22" i="27"/>
  <c r="P22" i="27"/>
  <c r="P45" i="27"/>
  <c r="O45" i="27"/>
  <c r="M45" i="27"/>
  <c r="V45" i="27" s="1"/>
  <c r="O37" i="27"/>
  <c r="P37" i="27"/>
  <c r="O33" i="27"/>
  <c r="P33" i="27"/>
  <c r="M33" i="27"/>
  <c r="V33" i="27" s="1"/>
  <c r="M5" i="27" l="1"/>
  <c r="M15" i="27"/>
  <c r="V15" i="27" s="1"/>
  <c r="AG15" i="27" s="1"/>
  <c r="M40" i="27"/>
  <c r="V40" i="27" s="1"/>
  <c r="AG40" i="27" s="1"/>
  <c r="M19" i="27"/>
  <c r="V19" i="27" s="1"/>
  <c r="M13" i="27"/>
  <c r="V13" i="27" s="1"/>
  <c r="AH13" i="27" s="1"/>
  <c r="M25" i="27"/>
  <c r="V25" i="27" s="1"/>
  <c r="AH42" i="27"/>
  <c r="AG42" i="27"/>
  <c r="M24" i="27"/>
  <c r="V24" i="27" s="1"/>
  <c r="AH10" i="27"/>
  <c r="AG10" i="27"/>
  <c r="M28" i="27"/>
  <c r="V28" i="27" s="1"/>
  <c r="AH28" i="27" s="1"/>
  <c r="M21" i="27"/>
  <c r="V21" i="27" s="1"/>
  <c r="AG21" i="27" s="1"/>
  <c r="AH33" i="27"/>
  <c r="AG33" i="27"/>
  <c r="M8" i="27"/>
  <c r="V8" i="27" s="1"/>
  <c r="AG8" i="27" s="1"/>
  <c r="M48" i="27"/>
  <c r="V48" i="27" s="1"/>
  <c r="AG48" i="27" s="1"/>
  <c r="M37" i="27"/>
  <c r="V37" i="27" s="1"/>
  <c r="P5" i="27"/>
  <c r="M44" i="27"/>
  <c r="V44" i="27" s="1"/>
  <c r="M17" i="27"/>
  <c r="V17" i="27" s="1"/>
  <c r="AH17" i="27" s="1"/>
  <c r="M27" i="27"/>
  <c r="V27" i="27" s="1"/>
  <c r="AG27" i="27" s="1"/>
  <c r="AH38" i="27"/>
  <c r="AG38" i="27"/>
  <c r="AH45" i="27"/>
  <c r="AG45" i="27"/>
  <c r="AH30" i="27"/>
  <c r="AG30" i="27"/>
  <c r="M22" i="27"/>
  <c r="V22" i="27" s="1"/>
  <c r="AH22" i="27" s="1"/>
  <c r="AH12" i="27"/>
  <c r="AG12" i="27"/>
  <c r="M29" i="27"/>
  <c r="V29" i="27" s="1"/>
  <c r="AH29" i="27" s="1"/>
  <c r="M43" i="27"/>
  <c r="V43" i="27" s="1"/>
  <c r="AH43" i="27" s="1"/>
  <c r="M46" i="27"/>
  <c r="V46" i="27" s="1"/>
  <c r="AH46" i="27" s="1"/>
  <c r="M18" i="27"/>
  <c r="V18" i="27" s="1"/>
  <c r="M39" i="27"/>
  <c r="V39" i="27" s="1"/>
  <c r="AH39" i="27" s="1"/>
  <c r="V5" i="27"/>
  <c r="AH47" i="27"/>
  <c r="AG47" i="27"/>
  <c r="M32" i="27"/>
  <c r="V32" i="27" s="1"/>
  <c r="M7" i="27"/>
  <c r="V7" i="27" s="1"/>
  <c r="AH7" i="27" s="1"/>
  <c r="M36" i="27"/>
  <c r="V36" i="27" s="1"/>
  <c r="AG36" i="27" s="1"/>
  <c r="M14" i="27"/>
  <c r="V14" i="27" s="1"/>
  <c r="AG14" i="27" s="1"/>
  <c r="AH26" i="27"/>
  <c r="AG26" i="27"/>
  <c r="M9" i="27"/>
  <c r="V9" i="27" s="1"/>
  <c r="AH9" i="27" s="1"/>
  <c r="M23" i="27"/>
  <c r="V23" i="27" s="1"/>
  <c r="AG23" i="27" s="1"/>
  <c r="M16" i="27"/>
  <c r="V16" i="27" s="1"/>
  <c r="AH16" i="27" s="1"/>
  <c r="M6" i="27"/>
  <c r="V6" i="27" s="1"/>
  <c r="AH6" i="27" s="1"/>
  <c r="M31" i="27"/>
  <c r="V31" i="27" s="1"/>
  <c r="AH31" i="27" s="1"/>
  <c r="AH20" i="27"/>
  <c r="AG20" i="27"/>
  <c r="M35" i="27"/>
  <c r="V35" i="27" s="1"/>
  <c r="AH35" i="27" s="1"/>
  <c r="M41" i="27"/>
  <c r="V41" i="27" s="1"/>
  <c r="AH34" i="27"/>
  <c r="AG34" i="27"/>
  <c r="M49" i="27"/>
  <c r="V49" i="27" s="1"/>
  <c r="AH49" i="27" s="1"/>
  <c r="AG25" i="27" l="1"/>
  <c r="AH15" i="27"/>
  <c r="AH25" i="27"/>
  <c r="AG19" i="27"/>
  <c r="AH19" i="27"/>
  <c r="AH40" i="27"/>
  <c r="AG39" i="27"/>
  <c r="AH14" i="27"/>
  <c r="AG17" i="27"/>
  <c r="AH36" i="27"/>
  <c r="AG13" i="27"/>
  <c r="AH23" i="27"/>
  <c r="AH27" i="27"/>
  <c r="AH21" i="27"/>
  <c r="AG31" i="27"/>
  <c r="AG16" i="27"/>
  <c r="AG49" i="27"/>
  <c r="AG43" i="27"/>
  <c r="AG6" i="27"/>
  <c r="AG29" i="27"/>
  <c r="AG46" i="27"/>
  <c r="AG18" i="27"/>
  <c r="AH18" i="27"/>
  <c r="AG32" i="27"/>
  <c r="AG7" i="27"/>
  <c r="AH8" i="27"/>
  <c r="AG44" i="27"/>
  <c r="AG37" i="27"/>
  <c r="AG35" i="27"/>
  <c r="AG24" i="27"/>
  <c r="AH24" i="27"/>
  <c r="AH48" i="27"/>
  <c r="AG5" i="27"/>
  <c r="AH44" i="27"/>
  <c r="AG41" i="27"/>
  <c r="AH32" i="27"/>
  <c r="AH41" i="27"/>
  <c r="AG22" i="27"/>
  <c r="AG9" i="27"/>
  <c r="AG28" i="27"/>
  <c r="AH37" i="27"/>
  <c r="N49" i="9" l="1"/>
  <c r="L51" i="9"/>
  <c r="K51" i="9"/>
  <c r="T51" i="9" s="1"/>
  <c r="J51" i="9"/>
  <c r="S51" i="9" s="1"/>
  <c r="I51" i="9"/>
  <c r="R51" i="9" s="1"/>
  <c r="H51" i="9"/>
  <c r="G51" i="9"/>
  <c r="C51" i="9"/>
  <c r="U49" i="9"/>
  <c r="T49" i="9"/>
  <c r="S49" i="9"/>
  <c r="R49" i="9"/>
  <c r="Q49" i="9"/>
  <c r="U48" i="9"/>
  <c r="T48" i="9"/>
  <c r="S48" i="9"/>
  <c r="R48" i="9"/>
  <c r="Q48" i="9"/>
  <c r="N48" i="9"/>
  <c r="U47" i="9"/>
  <c r="T47" i="9"/>
  <c r="S47" i="9"/>
  <c r="R47" i="9"/>
  <c r="Q47" i="9"/>
  <c r="N47" i="9"/>
  <c r="U46" i="9"/>
  <c r="T46" i="9"/>
  <c r="S46" i="9"/>
  <c r="R46" i="9"/>
  <c r="Q46" i="9"/>
  <c r="N46" i="9"/>
  <c r="U45" i="9"/>
  <c r="T45" i="9"/>
  <c r="S45" i="9"/>
  <c r="R45" i="9"/>
  <c r="Q45" i="9"/>
  <c r="N45" i="9"/>
  <c r="U44" i="9"/>
  <c r="T44" i="9"/>
  <c r="S44" i="9"/>
  <c r="R44" i="9"/>
  <c r="Q44" i="9"/>
  <c r="N44" i="9"/>
  <c r="U43" i="9"/>
  <c r="T43" i="9"/>
  <c r="S43" i="9"/>
  <c r="R43" i="9"/>
  <c r="Q43" i="9"/>
  <c r="N43" i="9"/>
  <c r="U42" i="9"/>
  <c r="T42" i="9"/>
  <c r="S42" i="9"/>
  <c r="R42" i="9"/>
  <c r="Q42" i="9"/>
  <c r="N42" i="9"/>
  <c r="U41" i="9"/>
  <c r="T41" i="9"/>
  <c r="S41" i="9"/>
  <c r="R41" i="9"/>
  <c r="Q41" i="9"/>
  <c r="N41" i="9"/>
  <c r="U40" i="9"/>
  <c r="T40" i="9"/>
  <c r="S40" i="9"/>
  <c r="R40" i="9"/>
  <c r="Q40" i="9"/>
  <c r="N40" i="9"/>
  <c r="U39" i="9"/>
  <c r="T39" i="9"/>
  <c r="S39" i="9"/>
  <c r="R39" i="9"/>
  <c r="Q39" i="9"/>
  <c r="N39" i="9"/>
  <c r="U38" i="9"/>
  <c r="T38" i="9"/>
  <c r="S38" i="9"/>
  <c r="R38" i="9"/>
  <c r="Q38" i="9"/>
  <c r="N38" i="9"/>
  <c r="U37" i="9"/>
  <c r="T37" i="9"/>
  <c r="S37" i="9"/>
  <c r="R37" i="9"/>
  <c r="Q37" i="9"/>
  <c r="N37" i="9"/>
  <c r="U36" i="9"/>
  <c r="T36" i="9"/>
  <c r="S36" i="9"/>
  <c r="R36" i="9"/>
  <c r="Q36" i="9"/>
  <c r="N36" i="9"/>
  <c r="U35" i="9"/>
  <c r="T35" i="9"/>
  <c r="S35" i="9"/>
  <c r="R35" i="9"/>
  <c r="Q35" i="9"/>
  <c r="N35" i="9"/>
  <c r="U34" i="9"/>
  <c r="T34" i="9"/>
  <c r="S34" i="9"/>
  <c r="R34" i="9"/>
  <c r="Q34" i="9"/>
  <c r="N34" i="9"/>
  <c r="U33" i="9"/>
  <c r="T33" i="9"/>
  <c r="S33" i="9"/>
  <c r="R33" i="9"/>
  <c r="Q33" i="9"/>
  <c r="N33" i="9"/>
  <c r="U32" i="9"/>
  <c r="T32" i="9"/>
  <c r="S32" i="9"/>
  <c r="R32" i="9"/>
  <c r="Q32" i="9"/>
  <c r="N32" i="9"/>
  <c r="U31" i="9"/>
  <c r="T31" i="9"/>
  <c r="S31" i="9"/>
  <c r="R31" i="9"/>
  <c r="Q31" i="9"/>
  <c r="N31" i="9"/>
  <c r="U30" i="9"/>
  <c r="T30" i="9"/>
  <c r="S30" i="9"/>
  <c r="R30" i="9"/>
  <c r="Q30" i="9"/>
  <c r="N30" i="9"/>
  <c r="U29" i="9"/>
  <c r="T29" i="9"/>
  <c r="S29" i="9"/>
  <c r="R29" i="9"/>
  <c r="Q29" i="9"/>
  <c r="N29" i="9"/>
  <c r="U28" i="9"/>
  <c r="T28" i="9"/>
  <c r="S28" i="9"/>
  <c r="R28" i="9"/>
  <c r="Q28" i="9"/>
  <c r="N28" i="9"/>
  <c r="U27" i="9"/>
  <c r="T27" i="9"/>
  <c r="S27" i="9"/>
  <c r="R27" i="9"/>
  <c r="Q27" i="9"/>
  <c r="N27" i="9"/>
  <c r="U26" i="9"/>
  <c r="T26" i="9"/>
  <c r="S26" i="9"/>
  <c r="R26" i="9"/>
  <c r="Q26" i="9"/>
  <c r="N26" i="9"/>
  <c r="U25" i="9"/>
  <c r="T25" i="9"/>
  <c r="S25" i="9"/>
  <c r="R25" i="9"/>
  <c r="Q25" i="9"/>
  <c r="N25" i="9"/>
  <c r="U24" i="9"/>
  <c r="T24" i="9"/>
  <c r="S24" i="9"/>
  <c r="R24" i="9"/>
  <c r="Q24" i="9"/>
  <c r="N24" i="9"/>
  <c r="U23" i="9"/>
  <c r="T23" i="9"/>
  <c r="S23" i="9"/>
  <c r="R23" i="9"/>
  <c r="Q23" i="9"/>
  <c r="N23" i="9"/>
  <c r="U22" i="9"/>
  <c r="T22" i="9"/>
  <c r="S22" i="9"/>
  <c r="R22" i="9"/>
  <c r="Q22" i="9"/>
  <c r="N22" i="9"/>
  <c r="U21" i="9"/>
  <c r="T21" i="9"/>
  <c r="S21" i="9"/>
  <c r="R21" i="9"/>
  <c r="Q21" i="9"/>
  <c r="N21" i="9"/>
  <c r="U20" i="9"/>
  <c r="T20" i="9"/>
  <c r="S20" i="9"/>
  <c r="R20" i="9"/>
  <c r="Q20" i="9"/>
  <c r="N20" i="9"/>
  <c r="U19" i="9"/>
  <c r="T19" i="9"/>
  <c r="S19" i="9"/>
  <c r="R19" i="9"/>
  <c r="Q19" i="9"/>
  <c r="N19" i="9"/>
  <c r="U18" i="9"/>
  <c r="T18" i="9"/>
  <c r="S18" i="9"/>
  <c r="R18" i="9"/>
  <c r="Q18" i="9"/>
  <c r="N18" i="9"/>
  <c r="U17" i="9"/>
  <c r="T17" i="9"/>
  <c r="S17" i="9"/>
  <c r="R17" i="9"/>
  <c r="Q17" i="9"/>
  <c r="N17" i="9"/>
  <c r="U16" i="9"/>
  <c r="T16" i="9"/>
  <c r="S16" i="9"/>
  <c r="R16" i="9"/>
  <c r="Q16" i="9"/>
  <c r="N16" i="9"/>
  <c r="U15" i="9"/>
  <c r="T15" i="9"/>
  <c r="S15" i="9"/>
  <c r="R15" i="9"/>
  <c r="Q15" i="9"/>
  <c r="N15" i="9"/>
  <c r="U14" i="9"/>
  <c r="T14" i="9"/>
  <c r="S14" i="9"/>
  <c r="R14" i="9"/>
  <c r="Q14" i="9"/>
  <c r="N14" i="9"/>
  <c r="U13" i="9"/>
  <c r="T13" i="9"/>
  <c r="S13" i="9"/>
  <c r="R13" i="9"/>
  <c r="Q13" i="9"/>
  <c r="N13" i="9"/>
  <c r="U12" i="9"/>
  <c r="T12" i="9"/>
  <c r="S12" i="9"/>
  <c r="R12" i="9"/>
  <c r="Q12" i="9"/>
  <c r="N12" i="9"/>
  <c r="U11" i="9"/>
  <c r="T11" i="9"/>
  <c r="S11" i="9"/>
  <c r="R11" i="9"/>
  <c r="Q11" i="9"/>
  <c r="D11" i="9"/>
  <c r="D51" i="9" s="1"/>
  <c r="N51" i="9" s="1"/>
  <c r="U10" i="9"/>
  <c r="T10" i="9"/>
  <c r="S10" i="9"/>
  <c r="R10" i="9"/>
  <c r="Q10" i="9"/>
  <c r="N10" i="9"/>
  <c r="U9" i="9"/>
  <c r="T9" i="9"/>
  <c r="S9" i="9"/>
  <c r="R9" i="9"/>
  <c r="Q9" i="9"/>
  <c r="N9" i="9"/>
  <c r="U8" i="9"/>
  <c r="T8" i="9"/>
  <c r="S8" i="9"/>
  <c r="R8" i="9"/>
  <c r="Q8" i="9"/>
  <c r="N8" i="9"/>
  <c r="U7" i="9"/>
  <c r="T7" i="9"/>
  <c r="S7" i="9"/>
  <c r="R7" i="9"/>
  <c r="Q7" i="9"/>
  <c r="N7" i="9"/>
  <c r="U6" i="9"/>
  <c r="T6" i="9"/>
  <c r="S6" i="9"/>
  <c r="R6" i="9"/>
  <c r="Q6" i="9"/>
  <c r="N6" i="9"/>
  <c r="U5" i="9"/>
  <c r="T5" i="9"/>
  <c r="S5" i="9"/>
  <c r="R5" i="9"/>
  <c r="Q5" i="9"/>
  <c r="N5" i="9"/>
  <c r="U51" i="9" l="1"/>
  <c r="Q51" i="9"/>
  <c r="N11" i="9"/>
  <c r="N49" i="1" l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0" i="1"/>
  <c r="N9" i="1"/>
  <c r="N8" i="1"/>
  <c r="N7" i="1"/>
  <c r="N6" i="1"/>
  <c r="N5" i="1"/>
  <c r="W5" i="1" l="1"/>
  <c r="W6" i="1"/>
  <c r="W7" i="1"/>
  <c r="W8" i="1"/>
  <c r="W9" i="1"/>
  <c r="W10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Y51" i="1" l="1"/>
  <c r="AA49" i="1"/>
  <c r="AA48" i="1"/>
  <c r="AA47" i="1"/>
  <c r="AA46" i="1"/>
  <c r="AA45" i="1"/>
  <c r="AA44" i="1"/>
  <c r="AA43" i="1"/>
  <c r="AA42" i="1"/>
  <c r="AA41" i="1"/>
  <c r="AA40" i="1"/>
  <c r="AA39" i="1"/>
  <c r="AA38" i="1"/>
  <c r="AA37" i="1"/>
  <c r="AA36" i="1"/>
  <c r="AA35" i="1"/>
  <c r="AA34" i="1"/>
  <c r="AA33" i="1"/>
  <c r="AA32" i="1"/>
  <c r="AA31" i="1"/>
  <c r="AA30" i="1"/>
  <c r="AA29" i="1"/>
  <c r="AA28" i="1"/>
  <c r="AA27" i="1"/>
  <c r="AA26" i="1"/>
  <c r="AA25" i="1"/>
  <c r="AA24" i="1"/>
  <c r="AA23" i="1"/>
  <c r="AA22" i="1"/>
  <c r="AA21" i="1"/>
  <c r="AA20" i="1"/>
  <c r="AA19" i="1"/>
  <c r="AA18" i="1"/>
  <c r="AA17" i="1"/>
  <c r="AA16" i="1"/>
  <c r="AA15" i="1"/>
  <c r="AA14" i="1"/>
  <c r="AA13" i="1"/>
  <c r="AA12" i="1"/>
  <c r="AA11" i="1"/>
  <c r="AA10" i="1"/>
  <c r="AA9" i="1"/>
  <c r="AA8" i="1"/>
  <c r="AA7" i="1"/>
  <c r="AA6" i="1"/>
  <c r="AA5" i="1"/>
  <c r="X49" i="1"/>
  <c r="X48" i="1"/>
  <c r="X47" i="1"/>
  <c r="X46" i="1"/>
  <c r="X45" i="1"/>
  <c r="X44" i="1"/>
  <c r="X43" i="1"/>
  <c r="X42" i="1"/>
  <c r="X41" i="1"/>
  <c r="X40" i="1"/>
  <c r="X39" i="1"/>
  <c r="X38" i="1"/>
  <c r="X37" i="1"/>
  <c r="X36" i="1"/>
  <c r="X35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X7" i="1"/>
  <c r="X6" i="1"/>
  <c r="X5" i="1"/>
  <c r="AX36" i="29" l="1"/>
  <c r="AX36" i="27"/>
  <c r="AN36" i="29"/>
  <c r="BC36" i="29" s="1"/>
  <c r="AN36" i="27"/>
  <c r="BC36" i="27" s="1"/>
  <c r="AX37" i="29"/>
  <c r="AX37" i="27"/>
  <c r="AN37" i="29"/>
  <c r="BC37" i="29" s="1"/>
  <c r="AN37" i="27"/>
  <c r="BC37" i="27" s="1"/>
  <c r="AX19" i="29"/>
  <c r="AX19" i="27"/>
  <c r="AN19" i="29"/>
  <c r="BC19" i="29" s="1"/>
  <c r="AN19" i="27"/>
  <c r="BC19" i="27" s="1"/>
  <c r="AX40" i="29"/>
  <c r="AX40" i="27"/>
  <c r="AN40" i="29"/>
  <c r="AN40" i="27"/>
  <c r="AX21" i="29"/>
  <c r="AX21" i="27"/>
  <c r="AN21" i="29"/>
  <c r="BC21" i="29" s="1"/>
  <c r="AN21" i="27"/>
  <c r="BC21" i="27" s="1"/>
  <c r="AX43" i="29"/>
  <c r="AX43" i="27"/>
  <c r="AN43" i="29"/>
  <c r="BC43" i="29" s="1"/>
  <c r="AN43" i="27"/>
  <c r="BC43" i="27" s="1"/>
  <c r="AX24" i="29"/>
  <c r="AX24" i="27"/>
  <c r="AN24" i="29"/>
  <c r="BC24" i="29" s="1"/>
  <c r="AN24" i="27"/>
  <c r="BC24" i="27" s="1"/>
  <c r="AX26" i="29"/>
  <c r="AX26" i="27"/>
  <c r="AN26" i="29"/>
  <c r="BC26" i="29" s="1"/>
  <c r="AN26" i="27"/>
  <c r="BC26" i="27" s="1"/>
  <c r="AX27" i="29"/>
  <c r="AX27" i="27"/>
  <c r="AN27" i="29"/>
  <c r="BC27" i="29" s="1"/>
  <c r="AN27" i="27"/>
  <c r="BC27" i="27" s="1"/>
  <c r="AX16" i="29"/>
  <c r="AX16" i="27"/>
  <c r="AN16" i="29"/>
  <c r="BC16" i="29" s="1"/>
  <c r="AN16" i="27"/>
  <c r="BC16" i="27" s="1"/>
  <c r="AX18" i="29"/>
  <c r="AX18" i="27"/>
  <c r="AN18" i="29"/>
  <c r="BC18" i="29" s="1"/>
  <c r="AN18" i="27"/>
  <c r="BC18" i="27" s="1"/>
  <c r="AX20" i="29"/>
  <c r="AX20" i="27"/>
  <c r="AN20" i="29"/>
  <c r="BC20" i="29" s="1"/>
  <c r="AN20" i="27"/>
  <c r="BC20" i="27" s="1"/>
  <c r="AX42" i="29"/>
  <c r="AX42" i="27"/>
  <c r="AN42" i="29"/>
  <c r="BC42" i="29" s="1"/>
  <c r="AN42" i="27"/>
  <c r="BC42" i="27" s="1"/>
  <c r="AX23" i="29"/>
  <c r="AX23" i="27"/>
  <c r="AN23" i="29"/>
  <c r="BC23" i="29" s="1"/>
  <c r="AN23" i="27"/>
  <c r="BC23" i="27" s="1"/>
  <c r="AX5" i="29"/>
  <c r="AX5" i="27"/>
  <c r="AN5" i="29"/>
  <c r="BC5" i="29" s="1"/>
  <c r="AN5" i="27"/>
  <c r="BC5" i="27" s="1"/>
  <c r="AX6" i="29"/>
  <c r="AX6" i="27"/>
  <c r="AN6" i="29"/>
  <c r="BC6" i="29" s="1"/>
  <c r="AN6" i="27"/>
  <c r="BC6" i="27" s="1"/>
  <c r="AX49" i="29"/>
  <c r="AX49" i="27"/>
  <c r="AN49" i="29"/>
  <c r="BC49" i="29" s="1"/>
  <c r="AN49" i="27"/>
  <c r="BC49" i="27" s="1"/>
  <c r="AX30" i="29"/>
  <c r="AX30" i="27"/>
  <c r="AN30" i="29"/>
  <c r="BC30" i="29" s="1"/>
  <c r="AN30" i="27"/>
  <c r="BC30" i="27" s="1"/>
  <c r="AX31" i="29"/>
  <c r="AX31" i="27"/>
  <c r="AN31" i="29"/>
  <c r="BC31" i="29" s="1"/>
  <c r="AN31" i="27"/>
  <c r="BC31" i="27" s="1"/>
  <c r="AX17" i="29"/>
  <c r="AX17" i="27"/>
  <c r="AN17" i="29"/>
  <c r="BC17" i="29" s="1"/>
  <c r="AN17" i="27"/>
  <c r="BC17" i="27" s="1"/>
  <c r="AX41" i="29"/>
  <c r="AX41" i="27"/>
  <c r="AN41" i="29"/>
  <c r="BC41" i="29" s="1"/>
  <c r="AN41" i="27"/>
  <c r="BC41" i="27" s="1"/>
  <c r="AX45" i="29"/>
  <c r="AX45" i="27"/>
  <c r="AN45" i="29"/>
  <c r="BC45" i="29" s="1"/>
  <c r="AN45" i="27"/>
  <c r="BC45" i="27" s="1"/>
  <c r="AX7" i="29"/>
  <c r="AX7" i="27"/>
  <c r="AN7" i="29"/>
  <c r="BC7" i="29" s="1"/>
  <c r="AN7" i="27"/>
  <c r="BC7" i="27" s="1"/>
  <c r="AX28" i="29"/>
  <c r="AX28" i="27"/>
  <c r="AN28" i="29"/>
  <c r="BC28" i="29" s="1"/>
  <c r="AN28" i="27"/>
  <c r="BC28" i="27" s="1"/>
  <c r="AX48" i="29"/>
  <c r="AX48" i="27"/>
  <c r="AN48" i="29"/>
  <c r="BC48" i="29" s="1"/>
  <c r="AN48" i="27"/>
  <c r="BC48" i="27" s="1"/>
  <c r="AX9" i="29"/>
  <c r="AX9" i="27"/>
  <c r="AN9" i="29"/>
  <c r="BC9" i="29" s="1"/>
  <c r="AN9" i="27"/>
  <c r="BC9" i="27" s="1"/>
  <c r="AX11" i="29"/>
  <c r="AX11" i="27"/>
  <c r="AX32" i="29"/>
  <c r="AX32" i="27"/>
  <c r="AN32" i="29"/>
  <c r="BC32" i="29" s="1"/>
  <c r="AN32" i="27"/>
  <c r="BC32" i="27" s="1"/>
  <c r="AX13" i="29"/>
  <c r="AX13" i="27"/>
  <c r="AN13" i="29"/>
  <c r="AN13" i="27"/>
  <c r="BC13" i="27" s="1"/>
  <c r="AX34" i="29"/>
  <c r="AX34" i="27"/>
  <c r="AN34" i="29"/>
  <c r="BC34" i="29" s="1"/>
  <c r="AN34" i="27"/>
  <c r="BC34" i="27" s="1"/>
  <c r="AX38" i="29"/>
  <c r="AX38" i="27"/>
  <c r="AN38" i="29"/>
  <c r="BC38" i="29" s="1"/>
  <c r="AN38" i="27"/>
  <c r="BC38" i="27" s="1"/>
  <c r="AX39" i="29"/>
  <c r="AX39" i="27"/>
  <c r="AN39" i="29"/>
  <c r="BC39" i="29" s="1"/>
  <c r="AN39" i="27"/>
  <c r="BC39" i="27" s="1"/>
  <c r="AX22" i="29"/>
  <c r="AX22" i="27"/>
  <c r="AN22" i="29"/>
  <c r="BC22" i="29" s="1"/>
  <c r="AN22" i="27"/>
  <c r="BC22" i="27" s="1"/>
  <c r="AX44" i="29"/>
  <c r="AX44" i="27"/>
  <c r="AN44" i="29"/>
  <c r="BC44" i="29" s="1"/>
  <c r="AN44" i="27"/>
  <c r="BC44" i="27" s="1"/>
  <c r="AX25" i="29"/>
  <c r="AX25" i="27"/>
  <c r="AN25" i="29"/>
  <c r="BC25" i="29" s="1"/>
  <c r="AN25" i="27"/>
  <c r="AX46" i="29"/>
  <c r="AX46" i="27"/>
  <c r="AN46" i="29"/>
  <c r="BC46" i="29" s="1"/>
  <c r="AN46" i="27"/>
  <c r="BC46" i="27" s="1"/>
  <c r="AX47" i="29"/>
  <c r="AX47" i="27"/>
  <c r="AN47" i="29"/>
  <c r="BC47" i="29" s="1"/>
  <c r="AN47" i="27"/>
  <c r="BC47" i="27" s="1"/>
  <c r="AX8" i="29"/>
  <c r="AX8" i="27"/>
  <c r="AN8" i="29"/>
  <c r="BC8" i="29" s="1"/>
  <c r="AN8" i="27"/>
  <c r="BC8" i="27" s="1"/>
  <c r="AX29" i="29"/>
  <c r="AX29" i="27"/>
  <c r="AN29" i="29"/>
  <c r="BC29" i="29" s="1"/>
  <c r="AN29" i="27"/>
  <c r="BC29" i="27" s="1"/>
  <c r="AX10" i="29"/>
  <c r="AX10" i="27"/>
  <c r="AN10" i="29"/>
  <c r="BC10" i="29" s="1"/>
  <c r="AN10" i="27"/>
  <c r="BC10" i="27" s="1"/>
  <c r="AX12" i="29"/>
  <c r="AX12" i="27"/>
  <c r="AN12" i="29"/>
  <c r="AN12" i="27"/>
  <c r="BC12" i="27" s="1"/>
  <c r="AX33" i="29"/>
  <c r="AX33" i="27"/>
  <c r="AN33" i="29"/>
  <c r="BC33" i="29" s="1"/>
  <c r="AN33" i="27"/>
  <c r="BC33" i="27" s="1"/>
  <c r="AX14" i="29"/>
  <c r="AX14" i="27"/>
  <c r="AN14" i="29"/>
  <c r="BC14" i="29" s="1"/>
  <c r="AN14" i="27"/>
  <c r="BC14" i="27" s="1"/>
  <c r="AX15" i="29"/>
  <c r="AX15" i="27"/>
  <c r="AN15" i="29"/>
  <c r="BC15" i="29" s="1"/>
  <c r="AN15" i="27"/>
  <c r="BC15" i="27" s="1"/>
  <c r="AX35" i="29"/>
  <c r="AX35" i="27"/>
  <c r="AN35" i="29"/>
  <c r="BC35" i="29" s="1"/>
  <c r="AN35" i="27"/>
  <c r="BC35" i="27" s="1"/>
  <c r="BM16" i="1"/>
  <c r="AX16" i="9"/>
  <c r="BM36" i="1"/>
  <c r="AX36" i="9"/>
  <c r="BM37" i="1"/>
  <c r="AX37" i="9"/>
  <c r="BM18" i="1"/>
  <c r="AX18" i="9"/>
  <c r="BM17" i="1"/>
  <c r="AX17" i="9"/>
  <c r="BM38" i="1"/>
  <c r="AX38" i="9"/>
  <c r="BM19" i="1"/>
  <c r="AX19" i="9"/>
  <c r="BM39" i="1"/>
  <c r="AX39" i="9"/>
  <c r="BM20" i="1"/>
  <c r="AX20" i="9"/>
  <c r="BM40" i="1"/>
  <c r="AX40" i="9"/>
  <c r="BM21" i="1"/>
  <c r="AX21" i="9"/>
  <c r="BM41" i="1"/>
  <c r="AX41" i="9"/>
  <c r="BM22" i="1"/>
  <c r="AX22" i="9"/>
  <c r="BM42" i="1"/>
  <c r="AX42" i="9"/>
  <c r="BM23" i="1"/>
  <c r="AX23" i="9"/>
  <c r="BM43" i="1"/>
  <c r="AX43" i="9"/>
  <c r="BM24" i="1"/>
  <c r="AX24" i="9"/>
  <c r="BM44" i="1"/>
  <c r="AX44" i="9"/>
  <c r="BM5" i="1"/>
  <c r="X51" i="1"/>
  <c r="AX5" i="9"/>
  <c r="BM25" i="1"/>
  <c r="AX25" i="9"/>
  <c r="BM45" i="1"/>
  <c r="AX45" i="9"/>
  <c r="AX6" i="9"/>
  <c r="BM26" i="1"/>
  <c r="AX26" i="9"/>
  <c r="BM46" i="1"/>
  <c r="AX46" i="9"/>
  <c r="BM27" i="1"/>
  <c r="AX27" i="9"/>
  <c r="BM8" i="1"/>
  <c r="AX8" i="9"/>
  <c r="AM8" i="9"/>
  <c r="BB8" i="9" s="1"/>
  <c r="BM7" i="1"/>
  <c r="AX7" i="9"/>
  <c r="BM47" i="1"/>
  <c r="AX47" i="9"/>
  <c r="BM28" i="1"/>
  <c r="AX28" i="9"/>
  <c r="BM48" i="1"/>
  <c r="AX48" i="9"/>
  <c r="BM9" i="1"/>
  <c r="AX9" i="9"/>
  <c r="BM29" i="1"/>
  <c r="AX29" i="9"/>
  <c r="BM49" i="1"/>
  <c r="AX49" i="9"/>
  <c r="BM10" i="1"/>
  <c r="AX10" i="9"/>
  <c r="BM30" i="1"/>
  <c r="AX30" i="9"/>
  <c r="BM11" i="1"/>
  <c r="AX11" i="9"/>
  <c r="BM31" i="1"/>
  <c r="AX31" i="9"/>
  <c r="BM12" i="1"/>
  <c r="AX12" i="9"/>
  <c r="AM12" i="9"/>
  <c r="BB12" i="9" s="1"/>
  <c r="BM32" i="1"/>
  <c r="AX32" i="9"/>
  <c r="BM13" i="1"/>
  <c r="AX13" i="9"/>
  <c r="AJ13" i="9"/>
  <c r="AY13" i="9" s="1"/>
  <c r="AM13" i="9"/>
  <c r="BB13" i="9" s="1"/>
  <c r="BM33" i="1"/>
  <c r="AX33" i="9"/>
  <c r="BM14" i="1"/>
  <c r="AX14" i="9"/>
  <c r="BM34" i="1"/>
  <c r="AX34" i="9"/>
  <c r="BM15" i="1"/>
  <c r="AX15" i="9"/>
  <c r="BM35" i="1"/>
  <c r="AX35" i="9"/>
  <c r="AM35" i="9"/>
  <c r="BB35" i="9" s="1"/>
  <c r="AJ35" i="9"/>
  <c r="AY35" i="9" s="1"/>
  <c r="BM6" i="1"/>
  <c r="O6" i="1"/>
  <c r="AY6" i="1" s="1"/>
  <c r="BN6" i="1" s="1"/>
  <c r="R6" i="1"/>
  <c r="AM6" i="29" s="1"/>
  <c r="BB6" i="29" s="1"/>
  <c r="S6" i="1"/>
  <c r="T6" i="1"/>
  <c r="U6" i="1"/>
  <c r="V6" i="1"/>
  <c r="O7" i="1"/>
  <c r="AJ7" i="29" s="1"/>
  <c r="R7" i="1"/>
  <c r="BB7" i="1" s="1"/>
  <c r="BQ7" i="1" s="1"/>
  <c r="S7" i="1"/>
  <c r="T7" i="1"/>
  <c r="U7" i="1"/>
  <c r="V7" i="1"/>
  <c r="O8" i="1"/>
  <c r="AY8" i="1" s="1"/>
  <c r="BN8" i="1" s="1"/>
  <c r="R8" i="1"/>
  <c r="BB8" i="1" s="1"/>
  <c r="BQ8" i="1" s="1"/>
  <c r="S8" i="1"/>
  <c r="T8" i="1"/>
  <c r="U8" i="1"/>
  <c r="V8" i="1"/>
  <c r="O9" i="1"/>
  <c r="AY9" i="1" s="1"/>
  <c r="BN9" i="1" s="1"/>
  <c r="R9" i="1"/>
  <c r="BB9" i="1" s="1"/>
  <c r="BQ9" i="1" s="1"/>
  <c r="S9" i="1"/>
  <c r="T9" i="1"/>
  <c r="U9" i="1"/>
  <c r="V9" i="1"/>
  <c r="O10" i="1"/>
  <c r="AJ10" i="9" s="1"/>
  <c r="AY10" i="9" s="1"/>
  <c r="R10" i="1"/>
  <c r="S10" i="1"/>
  <c r="T10" i="1"/>
  <c r="U10" i="1"/>
  <c r="V10" i="1"/>
  <c r="R11" i="1"/>
  <c r="BB11" i="1" s="1"/>
  <c r="BQ11" i="1" s="1"/>
  <c r="S11" i="1"/>
  <c r="T11" i="1"/>
  <c r="U11" i="1"/>
  <c r="V11" i="1"/>
  <c r="O12" i="1"/>
  <c r="AY12" i="1" s="1"/>
  <c r="BN12" i="1" s="1"/>
  <c r="R12" i="1"/>
  <c r="BB12" i="1" s="1"/>
  <c r="BQ12" i="1" s="1"/>
  <c r="S12" i="1"/>
  <c r="T12" i="1"/>
  <c r="U12" i="1"/>
  <c r="V12" i="1"/>
  <c r="O13" i="1"/>
  <c r="AJ13" i="29" s="1"/>
  <c r="AY13" i="29" s="1"/>
  <c r="R13" i="1"/>
  <c r="AM13" i="27" s="1"/>
  <c r="BB13" i="27" s="1"/>
  <c r="S13" i="1"/>
  <c r="T13" i="1"/>
  <c r="U13" i="1"/>
  <c r="V13" i="1"/>
  <c r="O14" i="1"/>
  <c r="AY14" i="1" s="1"/>
  <c r="BN14" i="1" s="1"/>
  <c r="R14" i="1"/>
  <c r="AM14" i="9" s="1"/>
  <c r="BB14" i="9" s="1"/>
  <c r="S14" i="1"/>
  <c r="T14" i="1"/>
  <c r="U14" i="1"/>
  <c r="V14" i="1"/>
  <c r="O15" i="1"/>
  <c r="AY15" i="1" s="1"/>
  <c r="BN15" i="1" s="1"/>
  <c r="R15" i="1"/>
  <c r="BB15" i="1" s="1"/>
  <c r="BQ15" i="1" s="1"/>
  <c r="S15" i="1"/>
  <c r="T15" i="1"/>
  <c r="U15" i="1"/>
  <c r="V15" i="1"/>
  <c r="O16" i="1"/>
  <c r="AY16" i="1" s="1"/>
  <c r="BN16" i="1" s="1"/>
  <c r="R16" i="1"/>
  <c r="BB16" i="1" s="1"/>
  <c r="BQ16" i="1" s="1"/>
  <c r="S16" i="1"/>
  <c r="T16" i="1"/>
  <c r="U16" i="1"/>
  <c r="V16" i="1"/>
  <c r="O17" i="1"/>
  <c r="AJ17" i="29" s="1"/>
  <c r="R17" i="1"/>
  <c r="AM17" i="29" s="1"/>
  <c r="BB17" i="29" s="1"/>
  <c r="S17" i="1"/>
  <c r="T17" i="1"/>
  <c r="U17" i="1"/>
  <c r="V17" i="1"/>
  <c r="O18" i="1"/>
  <c r="AY18" i="1" s="1"/>
  <c r="BN18" i="1" s="1"/>
  <c r="R18" i="1"/>
  <c r="BB18" i="1" s="1"/>
  <c r="BQ18" i="1" s="1"/>
  <c r="S18" i="1"/>
  <c r="T18" i="1"/>
  <c r="U18" i="1"/>
  <c r="V18" i="1"/>
  <c r="O19" i="1"/>
  <c r="AY19" i="1" s="1"/>
  <c r="BN19" i="1" s="1"/>
  <c r="R19" i="1"/>
  <c r="BB19" i="1" s="1"/>
  <c r="BQ19" i="1" s="1"/>
  <c r="S19" i="1"/>
  <c r="T19" i="1"/>
  <c r="U19" i="1"/>
  <c r="V19" i="1"/>
  <c r="O20" i="1"/>
  <c r="AJ20" i="27" s="1"/>
  <c r="R20" i="1"/>
  <c r="AM20" i="29" s="1"/>
  <c r="BB20" i="29" s="1"/>
  <c r="S20" i="1"/>
  <c r="T20" i="1"/>
  <c r="U20" i="1"/>
  <c r="V20" i="1"/>
  <c r="O21" i="1"/>
  <c r="R21" i="1"/>
  <c r="BB21" i="1" s="1"/>
  <c r="BQ21" i="1" s="1"/>
  <c r="S21" i="1"/>
  <c r="T21" i="1"/>
  <c r="U21" i="1"/>
  <c r="V21" i="1"/>
  <c r="O22" i="1"/>
  <c r="AY22" i="1" s="1"/>
  <c r="BN22" i="1" s="1"/>
  <c r="R22" i="1"/>
  <c r="BB22" i="1" s="1"/>
  <c r="BQ22" i="1" s="1"/>
  <c r="S22" i="1"/>
  <c r="T22" i="1"/>
  <c r="U22" i="1"/>
  <c r="V22" i="1"/>
  <c r="O23" i="1"/>
  <c r="AJ23" i="27" s="1"/>
  <c r="R23" i="1"/>
  <c r="AM23" i="29" s="1"/>
  <c r="BB23" i="29" s="1"/>
  <c r="S23" i="1"/>
  <c r="T23" i="1"/>
  <c r="U23" i="1"/>
  <c r="V23" i="1"/>
  <c r="O24" i="1"/>
  <c r="AY24" i="1" s="1"/>
  <c r="BN24" i="1" s="1"/>
  <c r="R24" i="1"/>
  <c r="AM24" i="27" s="1"/>
  <c r="BB24" i="27" s="1"/>
  <c r="S24" i="1"/>
  <c r="T24" i="1"/>
  <c r="U24" i="1"/>
  <c r="V24" i="1"/>
  <c r="O25" i="1"/>
  <c r="AY25" i="1" s="1"/>
  <c r="BN25" i="1" s="1"/>
  <c r="R25" i="1"/>
  <c r="BB25" i="1" s="1"/>
  <c r="BQ25" i="1" s="1"/>
  <c r="S25" i="1"/>
  <c r="T25" i="1"/>
  <c r="U25" i="1"/>
  <c r="V25" i="1"/>
  <c r="O26" i="1"/>
  <c r="AY26" i="1" s="1"/>
  <c r="BN26" i="1" s="1"/>
  <c r="R26" i="1"/>
  <c r="BB26" i="1" s="1"/>
  <c r="BQ26" i="1" s="1"/>
  <c r="S26" i="1"/>
  <c r="T26" i="1"/>
  <c r="U26" i="1"/>
  <c r="V26" i="1"/>
  <c r="O27" i="1"/>
  <c r="R27" i="1"/>
  <c r="AM27" i="27" s="1"/>
  <c r="BB27" i="27" s="1"/>
  <c r="S27" i="1"/>
  <c r="T27" i="1"/>
  <c r="U27" i="1"/>
  <c r="V27" i="1"/>
  <c r="O28" i="1"/>
  <c r="AY28" i="1" s="1"/>
  <c r="BN28" i="1" s="1"/>
  <c r="R28" i="1"/>
  <c r="BB28" i="1" s="1"/>
  <c r="BQ28" i="1" s="1"/>
  <c r="S28" i="1"/>
  <c r="T28" i="1"/>
  <c r="U28" i="1"/>
  <c r="V28" i="1"/>
  <c r="O29" i="1"/>
  <c r="AY29" i="1" s="1"/>
  <c r="BN29" i="1" s="1"/>
  <c r="R29" i="1"/>
  <c r="BB29" i="1" s="1"/>
  <c r="BQ29" i="1" s="1"/>
  <c r="S29" i="1"/>
  <c r="T29" i="1"/>
  <c r="U29" i="1"/>
  <c r="V29" i="1"/>
  <c r="O30" i="1"/>
  <c r="AJ30" i="29" s="1"/>
  <c r="R30" i="1"/>
  <c r="AM30" i="29" s="1"/>
  <c r="BB30" i="29" s="1"/>
  <c r="S30" i="1"/>
  <c r="T30" i="1"/>
  <c r="U30" i="1"/>
  <c r="V30" i="1"/>
  <c r="O31" i="1"/>
  <c r="AJ31" i="29" s="1"/>
  <c r="R31" i="1"/>
  <c r="BB31" i="1" s="1"/>
  <c r="BQ31" i="1" s="1"/>
  <c r="S31" i="1"/>
  <c r="T31" i="1"/>
  <c r="U31" i="1"/>
  <c r="V31" i="1"/>
  <c r="O32" i="1"/>
  <c r="AY32" i="1" s="1"/>
  <c r="BN32" i="1" s="1"/>
  <c r="R32" i="1"/>
  <c r="BB32" i="1" s="1"/>
  <c r="BQ32" i="1" s="1"/>
  <c r="S32" i="1"/>
  <c r="T32" i="1"/>
  <c r="U32" i="1"/>
  <c r="V32" i="1"/>
  <c r="O33" i="1"/>
  <c r="AJ33" i="27" s="1"/>
  <c r="R33" i="1"/>
  <c r="AM33" i="29" s="1"/>
  <c r="BB33" i="29" s="1"/>
  <c r="S33" i="1"/>
  <c r="T33" i="1"/>
  <c r="U33" i="1"/>
  <c r="V33" i="1"/>
  <c r="O34" i="1"/>
  <c r="AY34" i="1" s="1"/>
  <c r="BN34" i="1" s="1"/>
  <c r="R34" i="1"/>
  <c r="AM34" i="29" s="1"/>
  <c r="BB34" i="29" s="1"/>
  <c r="S34" i="1"/>
  <c r="T34" i="1"/>
  <c r="U34" i="1"/>
  <c r="V34" i="1"/>
  <c r="O35" i="1"/>
  <c r="AY35" i="1" s="1"/>
  <c r="BN35" i="1" s="1"/>
  <c r="R35" i="1"/>
  <c r="BB35" i="1" s="1"/>
  <c r="BQ35" i="1" s="1"/>
  <c r="S35" i="1"/>
  <c r="T35" i="1"/>
  <c r="U35" i="1"/>
  <c r="V35" i="1"/>
  <c r="O36" i="1"/>
  <c r="AY36" i="1" s="1"/>
  <c r="BN36" i="1" s="1"/>
  <c r="R36" i="1"/>
  <c r="BB36" i="1" s="1"/>
  <c r="BQ36" i="1" s="1"/>
  <c r="S36" i="1"/>
  <c r="T36" i="1"/>
  <c r="U36" i="1"/>
  <c r="V36" i="1"/>
  <c r="O37" i="1"/>
  <c r="AJ37" i="29" s="1"/>
  <c r="R37" i="1"/>
  <c r="AM37" i="29" s="1"/>
  <c r="BB37" i="29" s="1"/>
  <c r="S37" i="1"/>
  <c r="T37" i="1"/>
  <c r="U37" i="1"/>
  <c r="V37" i="1"/>
  <c r="O39" i="1"/>
  <c r="AY39" i="1" s="1"/>
  <c r="BN39" i="1" s="1"/>
  <c r="R39" i="1"/>
  <c r="BB39" i="1" s="1"/>
  <c r="BQ39" i="1" s="1"/>
  <c r="S39" i="1"/>
  <c r="T39" i="1"/>
  <c r="U39" i="1"/>
  <c r="V39" i="1"/>
  <c r="O40" i="1"/>
  <c r="AY40" i="1" s="1"/>
  <c r="BN40" i="1" s="1"/>
  <c r="R40" i="1"/>
  <c r="BB40" i="1" s="1"/>
  <c r="BQ40" i="1" s="1"/>
  <c r="S40" i="1"/>
  <c r="T40" i="1"/>
  <c r="U40" i="1"/>
  <c r="V40" i="1"/>
  <c r="O41" i="1"/>
  <c r="AJ41" i="29" s="1"/>
  <c r="R41" i="1"/>
  <c r="S41" i="1"/>
  <c r="T41" i="1"/>
  <c r="U41" i="1"/>
  <c r="V41" i="1"/>
  <c r="O42" i="1"/>
  <c r="R42" i="1"/>
  <c r="BB42" i="1" s="1"/>
  <c r="BQ42" i="1" s="1"/>
  <c r="S42" i="1"/>
  <c r="T42" i="1"/>
  <c r="U42" i="1"/>
  <c r="V42" i="1"/>
  <c r="O43" i="1"/>
  <c r="AY43" i="1" s="1"/>
  <c r="BN43" i="1" s="1"/>
  <c r="R43" i="1"/>
  <c r="BB43" i="1" s="1"/>
  <c r="BQ43" i="1" s="1"/>
  <c r="S43" i="1"/>
  <c r="T43" i="1"/>
  <c r="U43" i="1"/>
  <c r="V43" i="1"/>
  <c r="O44" i="1"/>
  <c r="AJ44" i="29" s="1"/>
  <c r="R44" i="1"/>
  <c r="AM44" i="27" s="1"/>
  <c r="BB44" i="27" s="1"/>
  <c r="S44" i="1"/>
  <c r="T44" i="1"/>
  <c r="U44" i="1"/>
  <c r="V44" i="1"/>
  <c r="O45" i="1"/>
  <c r="AY45" i="1" s="1"/>
  <c r="BN45" i="1" s="1"/>
  <c r="R45" i="1"/>
  <c r="AM45" i="27" s="1"/>
  <c r="BB45" i="27" s="1"/>
  <c r="S45" i="1"/>
  <c r="T45" i="1"/>
  <c r="U45" i="1"/>
  <c r="V45" i="1"/>
  <c r="O46" i="1"/>
  <c r="AY46" i="1" s="1"/>
  <c r="BN46" i="1" s="1"/>
  <c r="R46" i="1"/>
  <c r="BB46" i="1" s="1"/>
  <c r="BQ46" i="1" s="1"/>
  <c r="S46" i="1"/>
  <c r="T46" i="1"/>
  <c r="U46" i="1"/>
  <c r="V46" i="1"/>
  <c r="O47" i="1"/>
  <c r="AY47" i="1" s="1"/>
  <c r="BN47" i="1" s="1"/>
  <c r="R47" i="1"/>
  <c r="BB47" i="1" s="1"/>
  <c r="BQ47" i="1" s="1"/>
  <c r="S47" i="1"/>
  <c r="T47" i="1"/>
  <c r="U47" i="1"/>
  <c r="V47" i="1"/>
  <c r="O48" i="1"/>
  <c r="AJ48" i="29" s="1"/>
  <c r="R48" i="1"/>
  <c r="S48" i="1"/>
  <c r="T48" i="1"/>
  <c r="U48" i="1"/>
  <c r="V48" i="1"/>
  <c r="O49" i="1"/>
  <c r="AY49" i="1" s="1"/>
  <c r="BN49" i="1" s="1"/>
  <c r="R49" i="1"/>
  <c r="BB49" i="1" s="1"/>
  <c r="BQ49" i="1" s="1"/>
  <c r="S49" i="1"/>
  <c r="T49" i="1"/>
  <c r="U49" i="1"/>
  <c r="V49" i="1"/>
  <c r="V5" i="1"/>
  <c r="U5" i="1"/>
  <c r="T5" i="1"/>
  <c r="S5" i="1"/>
  <c r="R5" i="1"/>
  <c r="AM5" i="29" s="1"/>
  <c r="BB5" i="29" s="1"/>
  <c r="O5" i="1"/>
  <c r="AJ5" i="29" s="1"/>
  <c r="AJ7" i="9" l="1"/>
  <c r="AY7" i="9" s="1"/>
  <c r="AJ15" i="9"/>
  <c r="AY15" i="9" s="1"/>
  <c r="AM22" i="9"/>
  <c r="BB22" i="9" s="1"/>
  <c r="AM39" i="27"/>
  <c r="BB39" i="27" s="1"/>
  <c r="AM11" i="27"/>
  <c r="BB11" i="27" s="1"/>
  <c r="AM15" i="9"/>
  <c r="BB15" i="9" s="1"/>
  <c r="AM46" i="9"/>
  <c r="BB46" i="9" s="1"/>
  <c r="AM39" i="29"/>
  <c r="BB39" i="29" s="1"/>
  <c r="AB28" i="1"/>
  <c r="AM11" i="9"/>
  <c r="BB11" i="9" s="1"/>
  <c r="AM49" i="9"/>
  <c r="BB49" i="9" s="1"/>
  <c r="AJ45" i="29"/>
  <c r="AM25" i="27"/>
  <c r="BB25" i="27" s="1"/>
  <c r="AJ44" i="9"/>
  <c r="AY44" i="9" s="1"/>
  <c r="AJ15" i="27"/>
  <c r="AJ24" i="27"/>
  <c r="AY24" i="27" s="1"/>
  <c r="AM44" i="9"/>
  <c r="BB44" i="9" s="1"/>
  <c r="AM29" i="29"/>
  <c r="BB29" i="29" s="1"/>
  <c r="AM37" i="27"/>
  <c r="BB37" i="27" s="1"/>
  <c r="AJ12" i="9"/>
  <c r="AY12" i="9" s="1"/>
  <c r="AM48" i="27"/>
  <c r="BB48" i="27" s="1"/>
  <c r="AJ25" i="9"/>
  <c r="AY25" i="9" s="1"/>
  <c r="AB43" i="1"/>
  <c r="AJ5" i="27"/>
  <c r="AM8" i="29"/>
  <c r="BB8" i="29" s="1"/>
  <c r="AM44" i="29"/>
  <c r="BB44" i="29" s="1"/>
  <c r="BC49" i="1"/>
  <c r="AM13" i="29"/>
  <c r="BB13" i="29" s="1"/>
  <c r="AM47" i="27"/>
  <c r="BB47" i="27" s="1"/>
  <c r="AM27" i="29"/>
  <c r="BB27" i="29" s="1"/>
  <c r="AY31" i="29"/>
  <c r="AY7" i="29"/>
  <c r="AY37" i="29"/>
  <c r="AY17" i="29"/>
  <c r="AY48" i="29"/>
  <c r="AY30" i="29"/>
  <c r="AY5" i="29"/>
  <c r="AY41" i="29"/>
  <c r="AY44" i="29"/>
  <c r="AY33" i="27"/>
  <c r="AY20" i="27"/>
  <c r="AY23" i="27"/>
  <c r="AM35" i="27"/>
  <c r="BB35" i="27" s="1"/>
  <c r="AJ15" i="29"/>
  <c r="AM33" i="27"/>
  <c r="BB33" i="27" s="1"/>
  <c r="AJ39" i="27"/>
  <c r="AJ34" i="27"/>
  <c r="AJ48" i="27"/>
  <c r="AM28" i="29"/>
  <c r="BB28" i="29" s="1"/>
  <c r="AJ45" i="27"/>
  <c r="AJ17" i="27"/>
  <c r="AM49" i="27"/>
  <c r="BB49" i="27" s="1"/>
  <c r="AM20" i="27"/>
  <c r="BB20" i="27" s="1"/>
  <c r="AJ37" i="27"/>
  <c r="AY5" i="27"/>
  <c r="AJ49" i="9"/>
  <c r="AY49" i="9" s="1"/>
  <c r="AJ9" i="9"/>
  <c r="AY9" i="9" s="1"/>
  <c r="AM25" i="9"/>
  <c r="BB25" i="9" s="1"/>
  <c r="AJ35" i="27"/>
  <c r="AM10" i="27"/>
  <c r="BB10" i="27" s="1"/>
  <c r="AM34" i="27"/>
  <c r="BB34" i="27" s="1"/>
  <c r="AJ49" i="29"/>
  <c r="AM5" i="27"/>
  <c r="BB5" i="27" s="1"/>
  <c r="AJ23" i="29"/>
  <c r="AJ20" i="29"/>
  <c r="AJ16" i="27"/>
  <c r="AM40" i="29"/>
  <c r="BB40" i="29" s="1"/>
  <c r="AJ40" i="29"/>
  <c r="AY40" i="29" s="1"/>
  <c r="AM9" i="9"/>
  <c r="BB9" i="9" s="1"/>
  <c r="AJ33" i="29"/>
  <c r="AJ25" i="27"/>
  <c r="AY25" i="27" s="1"/>
  <c r="AM24" i="29"/>
  <c r="BB24" i="29" s="1"/>
  <c r="AJ14" i="27"/>
  <c r="AJ10" i="27"/>
  <c r="AM8" i="27"/>
  <c r="BB8" i="27" s="1"/>
  <c r="AM47" i="29"/>
  <c r="BB47" i="29" s="1"/>
  <c r="AJ39" i="29"/>
  <c r="AJ32" i="27"/>
  <c r="AM11" i="29"/>
  <c r="BB11" i="29" s="1"/>
  <c r="AM45" i="29"/>
  <c r="BB45" i="29" s="1"/>
  <c r="AM17" i="27"/>
  <c r="BB17" i="27" s="1"/>
  <c r="AX51" i="27"/>
  <c r="AM16" i="27"/>
  <c r="BB16" i="27" s="1"/>
  <c r="AM21" i="27"/>
  <c r="BB21" i="27" s="1"/>
  <c r="AJ46" i="9"/>
  <c r="AY46" i="9" s="1"/>
  <c r="AJ6" i="9"/>
  <c r="AY6" i="9" s="1"/>
  <c r="AJ34" i="29"/>
  <c r="AM7" i="27"/>
  <c r="BB7" i="27" s="1"/>
  <c r="AM49" i="29"/>
  <c r="BB49" i="29" s="1"/>
  <c r="AJ24" i="29"/>
  <c r="AJ14" i="9"/>
  <c r="AY14" i="9" s="1"/>
  <c r="AJ35" i="29"/>
  <c r="AM10" i="29"/>
  <c r="BB10" i="29" s="1"/>
  <c r="AM25" i="29"/>
  <c r="BB25" i="29" s="1"/>
  <c r="AM22" i="27"/>
  <c r="BB22" i="27" s="1"/>
  <c r="AM48" i="29"/>
  <c r="BB48" i="29" s="1"/>
  <c r="AM30" i="27"/>
  <c r="BB30" i="27" s="1"/>
  <c r="AJ42" i="27"/>
  <c r="AM21" i="29"/>
  <c r="BB21" i="29" s="1"/>
  <c r="AM31" i="29"/>
  <c r="BB31" i="29" s="1"/>
  <c r="BC12" i="29"/>
  <c r="AJ10" i="29"/>
  <c r="AJ8" i="27"/>
  <c r="AJ22" i="27"/>
  <c r="AJ7" i="27"/>
  <c r="AM26" i="27"/>
  <c r="BB26" i="27" s="1"/>
  <c r="AM14" i="27"/>
  <c r="BB14" i="27" s="1"/>
  <c r="AJ25" i="29"/>
  <c r="AM32" i="27"/>
  <c r="BB32" i="27" s="1"/>
  <c r="AJ41" i="27"/>
  <c r="AJ30" i="27"/>
  <c r="AX51" i="29"/>
  <c r="AM42" i="27"/>
  <c r="BB42" i="27" s="1"/>
  <c r="AM16" i="29"/>
  <c r="BB16" i="29" s="1"/>
  <c r="AJ19" i="27"/>
  <c r="AJ21" i="27"/>
  <c r="AJ8" i="9"/>
  <c r="AY8" i="9" s="1"/>
  <c r="AM35" i="29"/>
  <c r="BB35" i="29" s="1"/>
  <c r="AJ19" i="9"/>
  <c r="AY19" i="9" s="1"/>
  <c r="AM18" i="9"/>
  <c r="BB18" i="9" s="1"/>
  <c r="AJ22" i="29"/>
  <c r="AJ18" i="27"/>
  <c r="AJ26" i="27"/>
  <c r="AJ43" i="27"/>
  <c r="AJ21" i="29"/>
  <c r="AM19" i="27"/>
  <c r="BB19" i="27" s="1"/>
  <c r="AJ36" i="27"/>
  <c r="AJ47" i="29"/>
  <c r="AY45" i="29"/>
  <c r="AM31" i="9"/>
  <c r="BB31" i="9" s="1"/>
  <c r="AM19" i="9"/>
  <c r="BB19" i="9" s="1"/>
  <c r="AJ18" i="9"/>
  <c r="AY18" i="9" s="1"/>
  <c r="AM12" i="27"/>
  <c r="BB12" i="27" s="1"/>
  <c r="AJ8" i="29"/>
  <c r="AJ9" i="27"/>
  <c r="AJ16" i="29"/>
  <c r="AM42" i="9"/>
  <c r="BB42" i="9" s="1"/>
  <c r="AM14" i="29"/>
  <c r="BB14" i="29" s="1"/>
  <c r="AJ12" i="27"/>
  <c r="AM46" i="27"/>
  <c r="BB46" i="27" s="1"/>
  <c r="AM22" i="29"/>
  <c r="BB22" i="29" s="1"/>
  <c r="BC13" i="29"/>
  <c r="AM7" i="29"/>
  <c r="BB7" i="29" s="1"/>
  <c r="AM41" i="27"/>
  <c r="BB41" i="27" s="1"/>
  <c r="AJ42" i="29"/>
  <c r="AM18" i="27"/>
  <c r="BB18" i="27" s="1"/>
  <c r="AJ26" i="29"/>
  <c r="BC40" i="27"/>
  <c r="AJ19" i="29"/>
  <c r="AM15" i="27"/>
  <c r="BB15" i="27" s="1"/>
  <c r="AJ29" i="27"/>
  <c r="AJ46" i="27"/>
  <c r="AM32" i="29"/>
  <c r="BB32" i="29" s="1"/>
  <c r="AM9" i="27"/>
  <c r="BB9" i="27" s="1"/>
  <c r="AJ28" i="27"/>
  <c r="AJ31" i="27"/>
  <c r="AM6" i="27"/>
  <c r="BB6" i="27" s="1"/>
  <c r="AM43" i="27"/>
  <c r="BB43" i="27" s="1"/>
  <c r="BC40" i="29"/>
  <c r="AM36" i="27"/>
  <c r="BB36" i="27" s="1"/>
  <c r="AM29" i="9"/>
  <c r="BB29" i="9" s="1"/>
  <c r="AJ14" i="29"/>
  <c r="AJ13" i="27"/>
  <c r="AJ32" i="29"/>
  <c r="AM28" i="27"/>
  <c r="BB28" i="27" s="1"/>
  <c r="AM41" i="29"/>
  <c r="BB41" i="29" s="1"/>
  <c r="AJ6" i="27"/>
  <c r="AM42" i="29"/>
  <c r="BB42" i="29" s="1"/>
  <c r="AJ27" i="27"/>
  <c r="AJ40" i="27"/>
  <c r="AY40" i="27" s="1"/>
  <c r="AJ12" i="29"/>
  <c r="AY12" i="29" s="1"/>
  <c r="AJ46" i="29"/>
  <c r="AJ44" i="27"/>
  <c r="AM9" i="29"/>
  <c r="BB9" i="29" s="1"/>
  <c r="AJ6" i="29"/>
  <c r="AJ18" i="29"/>
  <c r="AM26" i="29"/>
  <c r="BB26" i="29" s="1"/>
  <c r="AM19" i="29"/>
  <c r="BB19" i="29" s="1"/>
  <c r="AJ36" i="29"/>
  <c r="AY15" i="27"/>
  <c r="AM31" i="27"/>
  <c r="BB31" i="27" s="1"/>
  <c r="AJ43" i="29"/>
  <c r="AJ43" i="9"/>
  <c r="AY43" i="9" s="1"/>
  <c r="AM21" i="9"/>
  <c r="BB21" i="9" s="1"/>
  <c r="AM29" i="27"/>
  <c r="BB29" i="27" s="1"/>
  <c r="AJ47" i="27"/>
  <c r="AM46" i="29"/>
  <c r="BB46" i="29" s="1"/>
  <c r="AM43" i="29"/>
  <c r="BB43" i="29" s="1"/>
  <c r="AM40" i="27"/>
  <c r="BB40" i="27" s="1"/>
  <c r="AJ34" i="9"/>
  <c r="AY34" i="9" s="1"/>
  <c r="AM28" i="9"/>
  <c r="BB28" i="9" s="1"/>
  <c r="AM7" i="9"/>
  <c r="BB7" i="9" s="1"/>
  <c r="AM15" i="29"/>
  <c r="BB15" i="29" s="1"/>
  <c r="AM12" i="29"/>
  <c r="BB12" i="29" s="1"/>
  <c r="AJ29" i="29"/>
  <c r="AJ9" i="29"/>
  <c r="AJ28" i="29"/>
  <c r="AJ49" i="27"/>
  <c r="AM23" i="27"/>
  <c r="BB23" i="27" s="1"/>
  <c r="AM18" i="29"/>
  <c r="BB18" i="29" s="1"/>
  <c r="AM36" i="29"/>
  <c r="BB36" i="29" s="1"/>
  <c r="AJ28" i="9"/>
  <c r="AY28" i="9" s="1"/>
  <c r="AM39" i="9"/>
  <c r="BB39" i="9" s="1"/>
  <c r="BC25" i="27"/>
  <c r="AJ27" i="29"/>
  <c r="AY48" i="1"/>
  <c r="BN48" i="1" s="1"/>
  <c r="AJ48" i="9"/>
  <c r="AY48" i="9" s="1"/>
  <c r="AY37" i="1"/>
  <c r="BN37" i="1" s="1"/>
  <c r="AJ37" i="9"/>
  <c r="AY37" i="9" s="1"/>
  <c r="AY17" i="1"/>
  <c r="BN17" i="1" s="1"/>
  <c r="AY41" i="1"/>
  <c r="BN41" i="1" s="1"/>
  <c r="AJ41" i="9"/>
  <c r="AY41" i="9" s="1"/>
  <c r="AY30" i="1"/>
  <c r="BN30" i="1" s="1"/>
  <c r="AJ30" i="9"/>
  <c r="AY30" i="9" s="1"/>
  <c r="AY20" i="1"/>
  <c r="BN20" i="1" s="1"/>
  <c r="AY5" i="1"/>
  <c r="AJ5" i="9"/>
  <c r="AY5" i="9" s="1"/>
  <c r="BB44" i="1"/>
  <c r="BQ44" i="1" s="1"/>
  <c r="BB33" i="1"/>
  <c r="BQ33" i="1" s="1"/>
  <c r="AM33" i="9"/>
  <c r="BB33" i="9" s="1"/>
  <c r="BB23" i="1"/>
  <c r="BQ23" i="1" s="1"/>
  <c r="AM23" i="9"/>
  <c r="BB23" i="9" s="1"/>
  <c r="BB13" i="1"/>
  <c r="BQ13" i="1" s="1"/>
  <c r="BB5" i="1"/>
  <c r="AM5" i="9"/>
  <c r="BB5" i="9" s="1"/>
  <c r="AY44" i="1"/>
  <c r="BN44" i="1" s="1"/>
  <c r="AY33" i="1"/>
  <c r="BN33" i="1" s="1"/>
  <c r="AJ33" i="9"/>
  <c r="AY33" i="9" s="1"/>
  <c r="AY23" i="1"/>
  <c r="BN23" i="1" s="1"/>
  <c r="AJ23" i="9"/>
  <c r="AY23" i="9" s="1"/>
  <c r="AY13" i="1"/>
  <c r="BN13" i="1" s="1"/>
  <c r="BB6" i="1"/>
  <c r="BQ6" i="1" s="1"/>
  <c r="AM6" i="9"/>
  <c r="BB6" i="9" s="1"/>
  <c r="AY27" i="1"/>
  <c r="BN27" i="1" s="1"/>
  <c r="AJ20" i="9"/>
  <c r="AY20" i="9" s="1"/>
  <c r="BM51" i="1"/>
  <c r="AJ17" i="9"/>
  <c r="AY17" i="9" s="1"/>
  <c r="AY42" i="1"/>
  <c r="BN42" i="1" s="1"/>
  <c r="AJ42" i="9"/>
  <c r="AY42" i="9" s="1"/>
  <c r="AY31" i="1"/>
  <c r="BN31" i="1" s="1"/>
  <c r="AJ31" i="9"/>
  <c r="AY31" i="9" s="1"/>
  <c r="AY21" i="1"/>
  <c r="BN21" i="1" s="1"/>
  <c r="AJ21" i="9"/>
  <c r="AY21" i="9" s="1"/>
  <c r="BB10" i="1"/>
  <c r="BQ10" i="1" s="1"/>
  <c r="AM10" i="9"/>
  <c r="BB10" i="9" s="1"/>
  <c r="BB41" i="1"/>
  <c r="BQ41" i="1" s="1"/>
  <c r="AM41" i="9"/>
  <c r="BB41" i="9" s="1"/>
  <c r="BB30" i="1"/>
  <c r="BQ30" i="1" s="1"/>
  <c r="AM30" i="9"/>
  <c r="BB30" i="9" s="1"/>
  <c r="BB20" i="1"/>
  <c r="BQ20" i="1" s="1"/>
  <c r="AM20" i="9"/>
  <c r="BB20" i="9" s="1"/>
  <c r="AY10" i="1"/>
  <c r="BN10" i="1" s="1"/>
  <c r="AX51" i="9"/>
  <c r="BB45" i="1"/>
  <c r="BQ45" i="1" s="1"/>
  <c r="AM45" i="9"/>
  <c r="BB45" i="9" s="1"/>
  <c r="BB34" i="1"/>
  <c r="BQ34" i="1" s="1"/>
  <c r="AM34" i="9"/>
  <c r="BB34" i="9" s="1"/>
  <c r="BB24" i="1"/>
  <c r="BQ24" i="1" s="1"/>
  <c r="AM24" i="9"/>
  <c r="BB24" i="9" s="1"/>
  <c r="BB14" i="1"/>
  <c r="BQ14" i="1" s="1"/>
  <c r="AJ27" i="9"/>
  <c r="AY27" i="9" s="1"/>
  <c r="BB48" i="1"/>
  <c r="BQ48" i="1" s="1"/>
  <c r="AM48" i="9"/>
  <c r="BB48" i="9" s="1"/>
  <c r="BB37" i="1"/>
  <c r="BQ37" i="1" s="1"/>
  <c r="AM37" i="9"/>
  <c r="BB37" i="9" s="1"/>
  <c r="BB27" i="1"/>
  <c r="BQ27" i="1" s="1"/>
  <c r="AM27" i="9"/>
  <c r="BB27" i="9" s="1"/>
  <c r="BB17" i="1"/>
  <c r="BQ17" i="1" s="1"/>
  <c r="AM17" i="9"/>
  <c r="BB17" i="9" s="1"/>
  <c r="AY7" i="1"/>
  <c r="BN7" i="1" s="1"/>
  <c r="AJ26" i="9"/>
  <c r="AY26" i="9" s="1"/>
  <c r="AM43" i="9"/>
  <c r="BB43" i="9" s="1"/>
  <c r="AJ22" i="9"/>
  <c r="AY22" i="9" s="1"/>
  <c r="AM36" i="9"/>
  <c r="BB36" i="9" s="1"/>
  <c r="AJ32" i="9"/>
  <c r="AY32" i="9" s="1"/>
  <c r="AM32" i="9"/>
  <c r="BB32" i="9" s="1"/>
  <c r="AJ47" i="9"/>
  <c r="AY47" i="9" s="1"/>
  <c r="AJ39" i="9"/>
  <c r="AY39" i="9" s="1"/>
  <c r="AJ36" i="9"/>
  <c r="AY36" i="9" s="1"/>
  <c r="AJ29" i="9"/>
  <c r="AY29" i="9" s="1"/>
  <c r="AJ45" i="9"/>
  <c r="AY45" i="9" s="1"/>
  <c r="AM16" i="9"/>
  <c r="BB16" i="9" s="1"/>
  <c r="AM47" i="9"/>
  <c r="BB47" i="9" s="1"/>
  <c r="AJ24" i="9"/>
  <c r="AY24" i="9" s="1"/>
  <c r="AJ40" i="9"/>
  <c r="AY40" i="9" s="1"/>
  <c r="AM26" i="9"/>
  <c r="BB26" i="9" s="1"/>
  <c r="AM40" i="9"/>
  <c r="BB40" i="9" s="1"/>
  <c r="AJ16" i="9"/>
  <c r="AY16" i="9" s="1"/>
  <c r="CF15" i="1"/>
  <c r="CG15" i="1" s="1"/>
  <c r="CL15" i="1" s="1"/>
  <c r="CF45" i="1"/>
  <c r="CG45" i="1" s="1"/>
  <c r="CL45" i="1" s="1"/>
  <c r="BC15" i="1"/>
  <c r="BR15" i="1" s="1"/>
  <c r="CF12" i="1"/>
  <c r="CG12" i="1" s="1"/>
  <c r="CL12" i="1" s="1"/>
  <c r="CF49" i="1"/>
  <c r="CG49" i="1" s="1"/>
  <c r="CL49" i="1" s="1"/>
  <c r="CF43" i="1"/>
  <c r="CG43" i="1" s="1"/>
  <c r="CL43" i="1" s="1"/>
  <c r="CF29" i="1"/>
  <c r="CG29" i="1" s="1"/>
  <c r="CL29" i="1" s="1"/>
  <c r="CF32" i="1"/>
  <c r="CG32" i="1" s="1"/>
  <c r="CL32" i="1" s="1"/>
  <c r="CF21" i="1"/>
  <c r="CF34" i="1"/>
  <c r="CG34" i="1" s="1"/>
  <c r="CL34" i="1" s="1"/>
  <c r="CF19" i="1"/>
  <c r="CG19" i="1" s="1"/>
  <c r="CL19" i="1" s="1"/>
  <c r="CF27" i="1"/>
  <c r="CF13" i="1"/>
  <c r="CF7" i="1"/>
  <c r="CF36" i="1"/>
  <c r="CG36" i="1" s="1"/>
  <c r="CL36" i="1" s="1"/>
  <c r="CF5" i="1"/>
  <c r="CF9" i="1"/>
  <c r="CG9" i="1" s="1"/>
  <c r="CL9" i="1" s="1"/>
  <c r="CF31" i="1"/>
  <c r="CF40" i="1"/>
  <c r="CF16" i="1"/>
  <c r="CG16" i="1" s="1"/>
  <c r="CL16" i="1" s="1"/>
  <c r="CF10" i="1"/>
  <c r="CF24" i="1"/>
  <c r="CG24" i="1" s="1"/>
  <c r="CL24" i="1" s="1"/>
  <c r="CF8" i="1"/>
  <c r="CF28" i="1"/>
  <c r="CF35" i="1"/>
  <c r="CF47" i="1"/>
  <c r="CG47" i="1" s="1"/>
  <c r="CL47" i="1" s="1"/>
  <c r="CF39" i="1"/>
  <c r="CF26" i="1"/>
  <c r="CF23" i="1"/>
  <c r="CF14" i="1"/>
  <c r="CF46" i="1"/>
  <c r="CG46" i="1" s="1"/>
  <c r="CL46" i="1" s="1"/>
  <c r="CF37" i="1"/>
  <c r="CF22" i="1"/>
  <c r="CF42" i="1"/>
  <c r="CG42" i="1" s="1"/>
  <c r="CL42" i="1" s="1"/>
  <c r="CF33" i="1"/>
  <c r="CF20" i="1"/>
  <c r="CF41" i="1"/>
  <c r="CF25" i="1"/>
  <c r="CG25" i="1" s="1"/>
  <c r="CL25" i="1" s="1"/>
  <c r="CF18" i="1"/>
  <c r="CG18" i="1" s="1"/>
  <c r="CL18" i="1" s="1"/>
  <c r="CF30" i="1"/>
  <c r="CF17" i="1"/>
  <c r="CF48" i="1"/>
  <c r="CF6" i="1"/>
  <c r="CF44" i="1"/>
  <c r="CG44" i="1" s="1"/>
  <c r="CL44" i="1" s="1"/>
  <c r="BC19" i="1"/>
  <c r="BR19" i="1" s="1"/>
  <c r="BC29" i="1"/>
  <c r="BR29" i="1" s="1"/>
  <c r="BC28" i="1"/>
  <c r="BR28" i="1" s="1"/>
  <c r="BC26" i="1"/>
  <c r="BR26" i="1" s="1"/>
  <c r="BC40" i="1"/>
  <c r="BR40" i="1" s="1"/>
  <c r="BC14" i="1"/>
  <c r="BR14" i="1" s="1"/>
  <c r="BC34" i="1"/>
  <c r="BR34" i="1" s="1"/>
  <c r="BC36" i="1"/>
  <c r="BR36" i="1" s="1"/>
  <c r="BC43" i="1"/>
  <c r="BR43" i="1" s="1"/>
  <c r="BC32" i="1"/>
  <c r="BR32" i="1" s="1"/>
  <c r="BC22" i="1"/>
  <c r="BR22" i="1" s="1"/>
  <c r="BC12" i="1"/>
  <c r="BR12" i="1" s="1"/>
  <c r="BC18" i="1"/>
  <c r="BR18" i="1" s="1"/>
  <c r="BC21" i="1"/>
  <c r="BR21" i="1" s="1"/>
  <c r="BC48" i="1"/>
  <c r="BR48" i="1" s="1"/>
  <c r="BC37" i="1"/>
  <c r="BR37" i="1" s="1"/>
  <c r="BC27" i="1"/>
  <c r="BR27" i="1" s="1"/>
  <c r="BC33" i="1"/>
  <c r="BR33" i="1" s="1"/>
  <c r="BC45" i="1"/>
  <c r="BR45" i="1" s="1"/>
  <c r="BC7" i="1"/>
  <c r="BR7" i="1" s="1"/>
  <c r="BC17" i="1"/>
  <c r="BR17" i="1" s="1"/>
  <c r="BC16" i="1"/>
  <c r="BR16" i="1" s="1"/>
  <c r="BC44" i="1"/>
  <c r="BR44" i="1" s="1"/>
  <c r="BC23" i="1"/>
  <c r="BR23" i="1" s="1"/>
  <c r="BC13" i="1"/>
  <c r="BR13" i="1" s="1"/>
  <c r="BC47" i="1"/>
  <c r="BR47" i="1" s="1"/>
  <c r="BC41" i="1"/>
  <c r="BR41" i="1" s="1"/>
  <c r="BC30" i="1"/>
  <c r="BR30" i="1" s="1"/>
  <c r="BC20" i="1"/>
  <c r="BR20" i="1" s="1"/>
  <c r="BC6" i="1"/>
  <c r="BR6" i="1" s="1"/>
  <c r="BC5" i="1"/>
  <c r="BC9" i="1"/>
  <c r="BR9" i="1" s="1"/>
  <c r="BC10" i="1"/>
  <c r="BR10" i="1" s="1"/>
  <c r="BC25" i="1"/>
  <c r="BR25" i="1" s="1"/>
  <c r="BR49" i="1"/>
  <c r="BC31" i="1"/>
  <c r="BR31" i="1" s="1"/>
  <c r="BC8" i="1"/>
  <c r="BR8" i="1" s="1"/>
  <c r="BC46" i="1"/>
  <c r="BR46" i="1" s="1"/>
  <c r="BC35" i="1"/>
  <c r="BR35" i="1" s="1"/>
  <c r="BC39" i="1"/>
  <c r="BR39" i="1" s="1"/>
  <c r="BC42" i="1"/>
  <c r="BR42" i="1" s="1"/>
  <c r="BC24" i="1"/>
  <c r="BR24" i="1" s="1"/>
  <c r="Q49" i="1"/>
  <c r="P49" i="1"/>
  <c r="AB49" i="1" s="1"/>
  <c r="Q48" i="1"/>
  <c r="P48" i="1"/>
  <c r="AB48" i="1" s="1"/>
  <c r="Q47" i="1"/>
  <c r="P47" i="1"/>
  <c r="AB47" i="1" s="1"/>
  <c r="Q46" i="1"/>
  <c r="P46" i="1"/>
  <c r="AB46" i="1" s="1"/>
  <c r="Q45" i="1"/>
  <c r="P45" i="1"/>
  <c r="AB45" i="1" s="1"/>
  <c r="Q44" i="1"/>
  <c r="P44" i="1"/>
  <c r="AB44" i="1" s="1"/>
  <c r="Q43" i="1"/>
  <c r="P43" i="1"/>
  <c r="Q42" i="1"/>
  <c r="P42" i="1"/>
  <c r="AB42" i="1" s="1"/>
  <c r="Q41" i="1"/>
  <c r="P41" i="1"/>
  <c r="AB41" i="1" s="1"/>
  <c r="Q40" i="1"/>
  <c r="P40" i="1"/>
  <c r="AB40" i="1" s="1"/>
  <c r="Q39" i="1"/>
  <c r="P39" i="1"/>
  <c r="AB39" i="1" s="1"/>
  <c r="I51" i="1"/>
  <c r="D51" i="1"/>
  <c r="Q37" i="1"/>
  <c r="P37" i="1"/>
  <c r="AB37" i="1" s="1"/>
  <c r="Q36" i="1"/>
  <c r="P36" i="1"/>
  <c r="AB36" i="1" s="1"/>
  <c r="Q35" i="1"/>
  <c r="P35" i="1"/>
  <c r="AB35" i="1" s="1"/>
  <c r="Q34" i="1"/>
  <c r="P34" i="1"/>
  <c r="AB34" i="1" s="1"/>
  <c r="Q33" i="1"/>
  <c r="P33" i="1"/>
  <c r="AB33" i="1" s="1"/>
  <c r="Q32" i="1"/>
  <c r="P32" i="1"/>
  <c r="AB32" i="1" s="1"/>
  <c r="Q31" i="1"/>
  <c r="P31" i="1"/>
  <c r="AB31" i="1" s="1"/>
  <c r="Q30" i="1"/>
  <c r="P30" i="1"/>
  <c r="AB30" i="1" s="1"/>
  <c r="Q29" i="1"/>
  <c r="P29" i="1"/>
  <c r="AB29" i="1" s="1"/>
  <c r="Q28" i="1"/>
  <c r="P28" i="1"/>
  <c r="Q27" i="1"/>
  <c r="P27" i="1"/>
  <c r="AB27" i="1" s="1"/>
  <c r="Q26" i="1"/>
  <c r="P26" i="1"/>
  <c r="AB26" i="1" s="1"/>
  <c r="Q25" i="1"/>
  <c r="P25" i="1"/>
  <c r="AB25" i="1" s="1"/>
  <c r="Q24" i="1"/>
  <c r="P24" i="1"/>
  <c r="AB24" i="1" s="1"/>
  <c r="Q23" i="1"/>
  <c r="P23" i="1"/>
  <c r="AB23" i="1" s="1"/>
  <c r="Q22" i="1"/>
  <c r="P22" i="1"/>
  <c r="AB22" i="1" s="1"/>
  <c r="Q21" i="1"/>
  <c r="P21" i="1"/>
  <c r="AB21" i="1" s="1"/>
  <c r="Q20" i="1"/>
  <c r="P20" i="1"/>
  <c r="AB20" i="1" s="1"/>
  <c r="Q19" i="1"/>
  <c r="P19" i="1"/>
  <c r="AB19" i="1" s="1"/>
  <c r="Q18" i="1"/>
  <c r="P18" i="1"/>
  <c r="AB18" i="1" s="1"/>
  <c r="Q17" i="1"/>
  <c r="P17" i="1"/>
  <c r="AB17" i="1" s="1"/>
  <c r="Q16" i="1"/>
  <c r="P16" i="1"/>
  <c r="AB16" i="1" s="1"/>
  <c r="Q15" i="1"/>
  <c r="P15" i="1"/>
  <c r="AB15" i="1" s="1"/>
  <c r="Q14" i="1"/>
  <c r="P14" i="1"/>
  <c r="AB14" i="1" s="1"/>
  <c r="Q13" i="1"/>
  <c r="P13" i="1"/>
  <c r="AB13" i="1" s="1"/>
  <c r="Q12" i="1"/>
  <c r="P12" i="1"/>
  <c r="AB12" i="1" s="1"/>
  <c r="Q11" i="1"/>
  <c r="P11" i="1"/>
  <c r="E11" i="1"/>
  <c r="Q10" i="1"/>
  <c r="P10" i="1"/>
  <c r="AB10" i="1" s="1"/>
  <c r="Q9" i="1"/>
  <c r="P9" i="1"/>
  <c r="AB9" i="1" s="1"/>
  <c r="Q8" i="1"/>
  <c r="P8" i="1"/>
  <c r="AB8" i="1" s="1"/>
  <c r="Q7" i="1"/>
  <c r="P7" i="1"/>
  <c r="AB7" i="1" s="1"/>
  <c r="Q6" i="1"/>
  <c r="P6" i="1"/>
  <c r="AB6" i="1" s="1"/>
  <c r="Q5" i="1"/>
  <c r="P5" i="1"/>
  <c r="AB5" i="1" s="1"/>
  <c r="AL37" i="29" l="1"/>
  <c r="BA37" i="29" s="1"/>
  <c r="AL37" i="27"/>
  <c r="BA37" i="27" s="1"/>
  <c r="AY26" i="29"/>
  <c r="AY16" i="29"/>
  <c r="AY49" i="29"/>
  <c r="AK9" i="29"/>
  <c r="AZ9" i="29" s="1"/>
  <c r="AK9" i="27"/>
  <c r="AZ9" i="27" s="1"/>
  <c r="AL18" i="29"/>
  <c r="BA18" i="29" s="1"/>
  <c r="AL18" i="27"/>
  <c r="BA18" i="27" s="1"/>
  <c r="AL28" i="29"/>
  <c r="BA28" i="29" s="1"/>
  <c r="AL28" i="27"/>
  <c r="BA28" i="27" s="1"/>
  <c r="AL48" i="29"/>
  <c r="BA48" i="29" s="1"/>
  <c r="AL48" i="27"/>
  <c r="BA48" i="27" s="1"/>
  <c r="AY43" i="27"/>
  <c r="AK18" i="29"/>
  <c r="AZ18" i="29" s="1"/>
  <c r="AK18" i="27"/>
  <c r="AZ18" i="27" s="1"/>
  <c r="AK48" i="29"/>
  <c r="AK48" i="27"/>
  <c r="AZ48" i="27" s="1"/>
  <c r="AY22" i="27"/>
  <c r="AY42" i="29"/>
  <c r="AY9" i="27"/>
  <c r="AY26" i="27"/>
  <c r="BB53" i="29"/>
  <c r="AY8" i="27"/>
  <c r="AY35" i="29"/>
  <c r="BB53" i="27"/>
  <c r="AK37" i="27"/>
  <c r="AZ37" i="27" s="1"/>
  <c r="AK37" i="29"/>
  <c r="AL9" i="29"/>
  <c r="BA9" i="29" s="1"/>
  <c r="AL9" i="27"/>
  <c r="BA9" i="27" s="1"/>
  <c r="AK29" i="29"/>
  <c r="AZ29" i="29" s="1"/>
  <c r="AK29" i="27"/>
  <c r="AZ29" i="27" s="1"/>
  <c r="AK49" i="27"/>
  <c r="AZ49" i="27" s="1"/>
  <c r="AK49" i="29"/>
  <c r="AZ49" i="29" s="1"/>
  <c r="AL19" i="29"/>
  <c r="BA19" i="29" s="1"/>
  <c r="AL19" i="27"/>
  <c r="BA19" i="27" s="1"/>
  <c r="AL29" i="27"/>
  <c r="BA29" i="27" s="1"/>
  <c r="AL29" i="29"/>
  <c r="BA29" i="29" s="1"/>
  <c r="AL49" i="29"/>
  <c r="BA49" i="29" s="1"/>
  <c r="AL49" i="27"/>
  <c r="BA49" i="27" s="1"/>
  <c r="AY18" i="27"/>
  <c r="AY10" i="29"/>
  <c r="AY17" i="27"/>
  <c r="AK39" i="27"/>
  <c r="AZ39" i="27" s="1"/>
  <c r="AK39" i="29"/>
  <c r="AZ39" i="29" s="1"/>
  <c r="AL39" i="27"/>
  <c r="BA39" i="27" s="1"/>
  <c r="AL39" i="29"/>
  <c r="BA39" i="29" s="1"/>
  <c r="AL10" i="29"/>
  <c r="BA10" i="29" s="1"/>
  <c r="AL10" i="27"/>
  <c r="BA10" i="27" s="1"/>
  <c r="AK20" i="27"/>
  <c r="AK20" i="29"/>
  <c r="AZ20" i="29" s="1"/>
  <c r="AK30" i="29"/>
  <c r="AK30" i="27"/>
  <c r="AZ30" i="27" s="1"/>
  <c r="AK40" i="27"/>
  <c r="AK40" i="29"/>
  <c r="AY22" i="29"/>
  <c r="AY30" i="27"/>
  <c r="AY45" i="27"/>
  <c r="AL8" i="29"/>
  <c r="BA8" i="29" s="1"/>
  <c r="AL8" i="27"/>
  <c r="BA8" i="27" s="1"/>
  <c r="AK28" i="29"/>
  <c r="AZ28" i="29" s="1"/>
  <c r="AK28" i="27"/>
  <c r="AZ28" i="27" s="1"/>
  <c r="AY21" i="29"/>
  <c r="AK19" i="29"/>
  <c r="AZ19" i="29" s="1"/>
  <c r="AK19" i="27"/>
  <c r="AZ19" i="27" s="1"/>
  <c r="AK10" i="29"/>
  <c r="AZ10" i="29" s="1"/>
  <c r="AK10" i="27"/>
  <c r="AZ10" i="27" s="1"/>
  <c r="F11" i="29"/>
  <c r="E11" i="29"/>
  <c r="D11" i="29" s="1"/>
  <c r="F11" i="27"/>
  <c r="E11" i="27"/>
  <c r="AL20" i="29"/>
  <c r="BA20" i="29" s="1"/>
  <c r="AL20" i="27"/>
  <c r="BA20" i="27" s="1"/>
  <c r="AL30" i="29"/>
  <c r="BA30" i="29" s="1"/>
  <c r="AL30" i="27"/>
  <c r="BA30" i="27" s="1"/>
  <c r="AL40" i="27"/>
  <c r="BA40" i="27" s="1"/>
  <c r="AL40" i="29"/>
  <c r="BA40" i="29" s="1"/>
  <c r="AY8" i="29"/>
  <c r="AY41" i="27"/>
  <c r="AK11" i="27"/>
  <c r="AZ11" i="27" s="1"/>
  <c r="AK11" i="29"/>
  <c r="AZ11" i="29" s="1"/>
  <c r="AK21" i="29"/>
  <c r="AZ21" i="29" s="1"/>
  <c r="AK21" i="27"/>
  <c r="AZ21" i="27" s="1"/>
  <c r="AK31" i="27"/>
  <c r="AZ31" i="27" s="1"/>
  <c r="AK31" i="29"/>
  <c r="AK41" i="29"/>
  <c r="AK41" i="27"/>
  <c r="AZ41" i="27" s="1"/>
  <c r="AY27" i="27"/>
  <c r="AY24" i="29"/>
  <c r="AY32" i="27"/>
  <c r="AY33" i="29"/>
  <c r="AY48" i="27"/>
  <c r="AL47" i="27"/>
  <c r="BA47" i="27" s="1"/>
  <c r="AL47" i="29"/>
  <c r="BA47" i="29" s="1"/>
  <c r="AY47" i="27"/>
  <c r="AY36" i="29"/>
  <c r="AY31" i="27"/>
  <c r="AY25" i="29"/>
  <c r="AY39" i="29"/>
  <c r="AY34" i="27"/>
  <c r="AL17" i="29"/>
  <c r="BA17" i="29" s="1"/>
  <c r="AL17" i="27"/>
  <c r="BA17" i="27" s="1"/>
  <c r="AY49" i="27"/>
  <c r="AY6" i="27"/>
  <c r="AY28" i="27"/>
  <c r="BD28" i="27" s="1"/>
  <c r="AY35" i="27"/>
  <c r="AY39" i="27"/>
  <c r="BD39" i="27" s="1"/>
  <c r="AK22" i="29"/>
  <c r="AZ22" i="29" s="1"/>
  <c r="AK22" i="27"/>
  <c r="AZ22" i="27" s="1"/>
  <c r="AK42" i="29"/>
  <c r="AZ42" i="29" s="1"/>
  <c r="AK42" i="27"/>
  <c r="AZ42" i="27" s="1"/>
  <c r="AL12" i="29"/>
  <c r="BA12" i="29" s="1"/>
  <c r="AL12" i="27"/>
  <c r="BA12" i="27" s="1"/>
  <c r="AY28" i="29"/>
  <c r="AY34" i="29"/>
  <c r="AY36" i="27"/>
  <c r="AK12" i="29"/>
  <c r="AZ12" i="29" s="1"/>
  <c r="AK12" i="27"/>
  <c r="AZ12" i="27" s="1"/>
  <c r="AY18" i="29"/>
  <c r="BD18" i="29" s="1"/>
  <c r="AY10" i="27"/>
  <c r="AY15" i="29"/>
  <c r="AL31" i="27"/>
  <c r="BA31" i="27" s="1"/>
  <c r="AL31" i="29"/>
  <c r="BA31" i="29" s="1"/>
  <c r="AK43" i="29"/>
  <c r="AZ43" i="29" s="1"/>
  <c r="AK43" i="27"/>
  <c r="AZ43" i="27" s="1"/>
  <c r="AY29" i="29"/>
  <c r="AY6" i="29"/>
  <c r="AY32" i="29"/>
  <c r="AY46" i="27"/>
  <c r="AY42" i="27"/>
  <c r="AY14" i="27"/>
  <c r="AK32" i="29"/>
  <c r="AZ32" i="29" s="1"/>
  <c r="AK32" i="27"/>
  <c r="AZ32" i="27" s="1"/>
  <c r="AL32" i="29"/>
  <c r="BA32" i="29" s="1"/>
  <c r="AL32" i="27"/>
  <c r="BA32" i="27" s="1"/>
  <c r="AK14" i="29"/>
  <c r="AZ14" i="29" s="1"/>
  <c r="AK14" i="27"/>
  <c r="AZ14" i="27" s="1"/>
  <c r="AK24" i="29"/>
  <c r="AZ24" i="29" s="1"/>
  <c r="AK24" i="27"/>
  <c r="AK34" i="29"/>
  <c r="AZ34" i="29" s="1"/>
  <c r="AK34" i="27"/>
  <c r="AZ34" i="27" s="1"/>
  <c r="AK44" i="27"/>
  <c r="AZ44" i="27" s="1"/>
  <c r="AK44" i="29"/>
  <c r="AY27" i="29"/>
  <c r="AY13" i="27"/>
  <c r="AY29" i="27"/>
  <c r="AL7" i="29"/>
  <c r="BA7" i="29" s="1"/>
  <c r="AL7" i="27"/>
  <c r="BA7" i="27" s="1"/>
  <c r="AK27" i="27"/>
  <c r="AZ27" i="27" s="1"/>
  <c r="AK27" i="29"/>
  <c r="AZ27" i="29" s="1"/>
  <c r="AL21" i="29"/>
  <c r="BA21" i="29" s="1"/>
  <c r="AL21" i="27"/>
  <c r="BA21" i="27" s="1"/>
  <c r="AL41" i="29"/>
  <c r="BA41" i="29" s="1"/>
  <c r="AL41" i="27"/>
  <c r="BA41" i="27" s="1"/>
  <c r="AY14" i="29"/>
  <c r="AK8" i="29"/>
  <c r="AZ8" i="29" s="1"/>
  <c r="AK8" i="27"/>
  <c r="AZ8" i="27" s="1"/>
  <c r="AL22" i="29"/>
  <c r="BA22" i="29" s="1"/>
  <c r="AL22" i="27"/>
  <c r="BA22" i="27" s="1"/>
  <c r="AL42" i="29"/>
  <c r="BA42" i="29" s="1"/>
  <c r="AL42" i="27"/>
  <c r="BA42" i="27" s="1"/>
  <c r="AK33" i="27"/>
  <c r="AK33" i="29"/>
  <c r="AZ33" i="29" s="1"/>
  <c r="AL13" i="27"/>
  <c r="BA13" i="27" s="1"/>
  <c r="AL13" i="29"/>
  <c r="BA13" i="29" s="1"/>
  <c r="AK15" i="27"/>
  <c r="AK15" i="29"/>
  <c r="AZ15" i="29" s="1"/>
  <c r="AK35" i="29"/>
  <c r="AZ35" i="29" s="1"/>
  <c r="AK35" i="27"/>
  <c r="AZ35" i="27" s="1"/>
  <c r="AY12" i="27"/>
  <c r="AY21" i="27"/>
  <c r="AL27" i="27"/>
  <c r="BA27" i="27" s="1"/>
  <c r="AL27" i="29"/>
  <c r="BA27" i="29" s="1"/>
  <c r="AL11" i="27"/>
  <c r="BA11" i="27" s="1"/>
  <c r="AL11" i="29"/>
  <c r="BA11" i="29" s="1"/>
  <c r="AL23" i="27"/>
  <c r="BA23" i="27" s="1"/>
  <c r="AL23" i="29"/>
  <c r="BA23" i="29" s="1"/>
  <c r="AL33" i="29"/>
  <c r="BA33" i="29" s="1"/>
  <c r="AL33" i="27"/>
  <c r="BA33" i="27" s="1"/>
  <c r="AL43" i="29"/>
  <c r="BA43" i="29" s="1"/>
  <c r="AL43" i="27"/>
  <c r="BA43" i="27" s="1"/>
  <c r="AK5" i="29"/>
  <c r="AK5" i="27"/>
  <c r="AL24" i="29"/>
  <c r="BA24" i="29" s="1"/>
  <c r="AL24" i="27"/>
  <c r="BA24" i="27" s="1"/>
  <c r="AL5" i="29"/>
  <c r="BA5" i="29" s="1"/>
  <c r="AL5" i="27"/>
  <c r="BA5" i="27" s="1"/>
  <c r="AK45" i="27"/>
  <c r="AZ45" i="27" s="1"/>
  <c r="AK45" i="29"/>
  <c r="AK6" i="29"/>
  <c r="AZ6" i="29" s="1"/>
  <c r="AK6" i="27"/>
  <c r="AZ6" i="27" s="1"/>
  <c r="AL45" i="27"/>
  <c r="BA45" i="27" s="1"/>
  <c r="AL45" i="29"/>
  <c r="BA45" i="29" s="1"/>
  <c r="AY16" i="27"/>
  <c r="AK13" i="27"/>
  <c r="AZ13" i="27" s="1"/>
  <c r="AK13" i="29"/>
  <c r="AK23" i="27"/>
  <c r="AK23" i="29"/>
  <c r="AZ23" i="29" s="1"/>
  <c r="AL14" i="29"/>
  <c r="BA14" i="29" s="1"/>
  <c r="AL14" i="27"/>
  <c r="BA14" i="27" s="1"/>
  <c r="AL44" i="29"/>
  <c r="BA44" i="29" s="1"/>
  <c r="AL44" i="27"/>
  <c r="BA44" i="27" s="1"/>
  <c r="CG41" i="1"/>
  <c r="CL41" i="1" s="1"/>
  <c r="AK25" i="29"/>
  <c r="AZ25" i="29" s="1"/>
  <c r="AK25" i="27"/>
  <c r="AL15" i="29"/>
  <c r="BA15" i="29" s="1"/>
  <c r="AL15" i="27"/>
  <c r="BA15" i="27" s="1"/>
  <c r="AL25" i="29"/>
  <c r="BA25" i="29" s="1"/>
  <c r="AL25" i="27"/>
  <c r="BA25" i="27" s="1"/>
  <c r="AL35" i="27"/>
  <c r="BA35" i="27" s="1"/>
  <c r="AL35" i="29"/>
  <c r="BA35" i="29" s="1"/>
  <c r="AL6" i="29"/>
  <c r="BA6" i="29" s="1"/>
  <c r="AL6" i="27"/>
  <c r="BA6" i="27" s="1"/>
  <c r="AK16" i="29"/>
  <c r="AZ16" i="29" s="1"/>
  <c r="AK16" i="27"/>
  <c r="AZ16" i="27" s="1"/>
  <c r="AK26" i="29"/>
  <c r="AZ26" i="29" s="1"/>
  <c r="AK26" i="27"/>
  <c r="AZ26" i="27" s="1"/>
  <c r="AK36" i="29"/>
  <c r="AZ36" i="29" s="1"/>
  <c r="AK36" i="27"/>
  <c r="AZ36" i="27" s="1"/>
  <c r="AK46" i="29"/>
  <c r="AZ46" i="29" s="1"/>
  <c r="AK46" i="27"/>
  <c r="AZ46" i="27" s="1"/>
  <c r="AY43" i="29"/>
  <c r="AY44" i="27"/>
  <c r="AY19" i="29"/>
  <c r="BD19" i="29" s="1"/>
  <c r="AY47" i="29"/>
  <c r="AY20" i="29"/>
  <c r="AK17" i="27"/>
  <c r="AZ17" i="27" s="1"/>
  <c r="AK17" i="29"/>
  <c r="AK47" i="27"/>
  <c r="AZ47" i="27" s="1"/>
  <c r="AK47" i="29"/>
  <c r="AZ47" i="29" s="1"/>
  <c r="AY9" i="29"/>
  <c r="BD9" i="29" s="1"/>
  <c r="AL34" i="29"/>
  <c r="BA34" i="29" s="1"/>
  <c r="AL34" i="27"/>
  <c r="BA34" i="27" s="1"/>
  <c r="AK7" i="29"/>
  <c r="AK7" i="27"/>
  <c r="AZ7" i="27" s="1"/>
  <c r="AL16" i="29"/>
  <c r="BA16" i="29" s="1"/>
  <c r="AL16" i="27"/>
  <c r="BA16" i="27" s="1"/>
  <c r="AL26" i="29"/>
  <c r="BA26" i="29" s="1"/>
  <c r="AL26" i="27"/>
  <c r="BA26" i="27" s="1"/>
  <c r="AL36" i="29"/>
  <c r="BA36" i="29" s="1"/>
  <c r="AL36" i="27"/>
  <c r="BA36" i="27" s="1"/>
  <c r="AL46" i="29"/>
  <c r="BA46" i="29" s="1"/>
  <c r="AL46" i="27"/>
  <c r="BA46" i="27" s="1"/>
  <c r="AY46" i="29"/>
  <c r="AY19" i="27"/>
  <c r="BD19" i="27" s="1"/>
  <c r="AY7" i="27"/>
  <c r="AY23" i="29"/>
  <c r="AY37" i="27"/>
  <c r="BD37" i="27" s="1"/>
  <c r="AK33" i="9"/>
  <c r="AZ33" i="9" s="1"/>
  <c r="BA23" i="1"/>
  <c r="BP23" i="1" s="1"/>
  <c r="AL23" i="9"/>
  <c r="BA23" i="9" s="1"/>
  <c r="AK14" i="9"/>
  <c r="AZ14" i="9" s="1"/>
  <c r="AK24" i="9"/>
  <c r="AZ24" i="9" s="1"/>
  <c r="AK34" i="9"/>
  <c r="AZ34" i="9" s="1"/>
  <c r="BA34" i="1"/>
  <c r="BP34" i="1" s="1"/>
  <c r="AL34" i="9"/>
  <c r="BA34" i="9" s="1"/>
  <c r="AK6" i="9"/>
  <c r="AZ6" i="9" s="1"/>
  <c r="BA15" i="1"/>
  <c r="BP15" i="1" s="1"/>
  <c r="AL15" i="9"/>
  <c r="BA15" i="9" s="1"/>
  <c r="BA35" i="1"/>
  <c r="BP35" i="1" s="1"/>
  <c r="AL35" i="9"/>
  <c r="BA35" i="9" s="1"/>
  <c r="BR5" i="1"/>
  <c r="CG33" i="1"/>
  <c r="CL33" i="1" s="1"/>
  <c r="AK16" i="9"/>
  <c r="AZ16" i="9" s="1"/>
  <c r="BA30" i="1"/>
  <c r="BP30" i="1" s="1"/>
  <c r="AL30" i="9"/>
  <c r="BA30" i="9" s="1"/>
  <c r="BA40" i="1"/>
  <c r="BP40" i="1" s="1"/>
  <c r="AL40" i="9"/>
  <c r="BA40" i="9" s="1"/>
  <c r="AK31" i="9"/>
  <c r="AZ31" i="9" s="1"/>
  <c r="BA11" i="1"/>
  <c r="BP11" i="1" s="1"/>
  <c r="AL11" i="9"/>
  <c r="BA11" i="9" s="1"/>
  <c r="BA41" i="1"/>
  <c r="BP41" i="1" s="1"/>
  <c r="AL41" i="9"/>
  <c r="BA41" i="9" s="1"/>
  <c r="AK23" i="9"/>
  <c r="AZ23" i="9" s="1"/>
  <c r="BA33" i="1"/>
  <c r="BP33" i="1" s="1"/>
  <c r="AL33" i="9"/>
  <c r="BA33" i="9" s="1"/>
  <c r="BN5" i="1"/>
  <c r="BA5" i="1"/>
  <c r="AL5" i="9"/>
  <c r="BA5" i="9" s="1"/>
  <c r="BA20" i="1"/>
  <c r="BP20" i="1" s="1"/>
  <c r="AL20" i="9"/>
  <c r="BA20" i="9" s="1"/>
  <c r="AK11" i="9"/>
  <c r="AZ11" i="9" s="1"/>
  <c r="AK21" i="9"/>
  <c r="AZ21" i="9" s="1"/>
  <c r="AK41" i="9"/>
  <c r="AZ41" i="9" s="1"/>
  <c r="BA21" i="1"/>
  <c r="BP21" i="1" s="1"/>
  <c r="AL21" i="9"/>
  <c r="BA21" i="9" s="1"/>
  <c r="BA31" i="1"/>
  <c r="BP31" i="1" s="1"/>
  <c r="AL31" i="9"/>
  <c r="BA31" i="9" s="1"/>
  <c r="AK12" i="9"/>
  <c r="AZ12" i="9" s="1"/>
  <c r="AK22" i="9"/>
  <c r="AZ22" i="9" s="1"/>
  <c r="AK32" i="9"/>
  <c r="AZ32" i="9" s="1"/>
  <c r="AK42" i="9"/>
  <c r="AZ42" i="9" s="1"/>
  <c r="AY53" i="9"/>
  <c r="BB53" i="9"/>
  <c r="BA12" i="1"/>
  <c r="BP12" i="1" s="1"/>
  <c r="AL12" i="9"/>
  <c r="BA12" i="9" s="1"/>
  <c r="BA22" i="1"/>
  <c r="BP22" i="1" s="1"/>
  <c r="AL22" i="9"/>
  <c r="BA22" i="9" s="1"/>
  <c r="BA32" i="1"/>
  <c r="BP32" i="1" s="1"/>
  <c r="AL32" i="9"/>
  <c r="BA32" i="9" s="1"/>
  <c r="BA42" i="1"/>
  <c r="BP42" i="1" s="1"/>
  <c r="AL42" i="9"/>
  <c r="BA42" i="9" s="1"/>
  <c r="CG17" i="1"/>
  <c r="CL17" i="1" s="1"/>
  <c r="CG10" i="1"/>
  <c r="CL10" i="1" s="1"/>
  <c r="AK13" i="9"/>
  <c r="AZ13" i="9" s="1"/>
  <c r="BA13" i="1"/>
  <c r="BP13" i="1" s="1"/>
  <c r="AL13" i="9"/>
  <c r="BA13" i="9" s="1"/>
  <c r="CG37" i="1"/>
  <c r="CL37" i="1" s="1"/>
  <c r="AK25" i="9"/>
  <c r="AZ25" i="9" s="1"/>
  <c r="BA43" i="1"/>
  <c r="BP43" i="1" s="1"/>
  <c r="AL43" i="9"/>
  <c r="BA43" i="9" s="1"/>
  <c r="AK44" i="9"/>
  <c r="AZ44" i="9" s="1"/>
  <c r="AK5" i="9"/>
  <c r="AZ5" i="9" s="1"/>
  <c r="BA14" i="1"/>
  <c r="BP14" i="1" s="1"/>
  <c r="AL14" i="9"/>
  <c r="BA14" i="9" s="1"/>
  <c r="BA44" i="1"/>
  <c r="BP44" i="1" s="1"/>
  <c r="AL44" i="9"/>
  <c r="BA44" i="9" s="1"/>
  <c r="AK15" i="9"/>
  <c r="AZ15" i="9" s="1"/>
  <c r="BA25" i="1"/>
  <c r="BP25" i="1" s="1"/>
  <c r="AL25" i="9"/>
  <c r="BA25" i="9" s="1"/>
  <c r="BA6" i="1"/>
  <c r="BP6" i="1" s="1"/>
  <c r="AL6" i="9"/>
  <c r="BA6" i="9" s="1"/>
  <c r="AK26" i="9"/>
  <c r="AZ26" i="9" s="1"/>
  <c r="AK36" i="9"/>
  <c r="AZ36" i="9" s="1"/>
  <c r="AK46" i="9"/>
  <c r="AZ46" i="9" s="1"/>
  <c r="AK7" i="9"/>
  <c r="AZ7" i="9" s="1"/>
  <c r="BA16" i="1"/>
  <c r="BP16" i="1" s="1"/>
  <c r="AL16" i="9"/>
  <c r="BA16" i="9" s="1"/>
  <c r="BA26" i="1"/>
  <c r="BP26" i="1" s="1"/>
  <c r="AL26" i="9"/>
  <c r="BA26" i="9" s="1"/>
  <c r="BA36" i="1"/>
  <c r="BP36" i="1" s="1"/>
  <c r="AL36" i="9"/>
  <c r="BA36" i="9" s="1"/>
  <c r="BA46" i="1"/>
  <c r="BP46" i="1" s="1"/>
  <c r="AL46" i="9"/>
  <c r="BA46" i="9" s="1"/>
  <c r="CG13" i="1"/>
  <c r="CL13" i="1" s="1"/>
  <c r="BA7" i="1"/>
  <c r="BP7" i="1" s="1"/>
  <c r="AL7" i="9"/>
  <c r="BA7" i="9" s="1"/>
  <c r="AK17" i="9"/>
  <c r="AZ17" i="9" s="1"/>
  <c r="AK27" i="9"/>
  <c r="AZ27" i="9" s="1"/>
  <c r="AK37" i="9"/>
  <c r="AZ37" i="9" s="1"/>
  <c r="AK47" i="9"/>
  <c r="AZ47" i="9" s="1"/>
  <c r="AK8" i="9"/>
  <c r="AZ8" i="9" s="1"/>
  <c r="BA17" i="1"/>
  <c r="BP17" i="1" s="1"/>
  <c r="AL17" i="9"/>
  <c r="BA17" i="9" s="1"/>
  <c r="BA27" i="1"/>
  <c r="BP27" i="1" s="1"/>
  <c r="AL27" i="9"/>
  <c r="BA27" i="9" s="1"/>
  <c r="BA37" i="1"/>
  <c r="BP37" i="1" s="1"/>
  <c r="AL37" i="9"/>
  <c r="BA37" i="9" s="1"/>
  <c r="BA47" i="1"/>
  <c r="BP47" i="1" s="1"/>
  <c r="AL47" i="9"/>
  <c r="BA47" i="9" s="1"/>
  <c r="BA8" i="1"/>
  <c r="BP8" i="1" s="1"/>
  <c r="AL8" i="9"/>
  <c r="BA8" i="9" s="1"/>
  <c r="AK18" i="9"/>
  <c r="AZ18" i="9" s="1"/>
  <c r="AK28" i="9"/>
  <c r="AZ28" i="9" s="1"/>
  <c r="AK48" i="9"/>
  <c r="AZ48" i="9" s="1"/>
  <c r="AK9" i="9"/>
  <c r="AZ9" i="9" s="1"/>
  <c r="BA18" i="1"/>
  <c r="BP18" i="1" s="1"/>
  <c r="AL18" i="9"/>
  <c r="BA18" i="9" s="1"/>
  <c r="BA28" i="1"/>
  <c r="BP28" i="1" s="1"/>
  <c r="AL28" i="9"/>
  <c r="BA28" i="9" s="1"/>
  <c r="BA48" i="1"/>
  <c r="BP48" i="1" s="1"/>
  <c r="AL48" i="9"/>
  <c r="BA48" i="9" s="1"/>
  <c r="CG23" i="1"/>
  <c r="CL23" i="1" s="1"/>
  <c r="CG21" i="1"/>
  <c r="CL21" i="1" s="1"/>
  <c r="AK19" i="9"/>
  <c r="AZ19" i="9" s="1"/>
  <c r="AK49" i="9"/>
  <c r="AZ49" i="9" s="1"/>
  <c r="BQ5" i="1"/>
  <c r="AK43" i="9"/>
  <c r="AZ43" i="9" s="1"/>
  <c r="BA24" i="1"/>
  <c r="BP24" i="1" s="1"/>
  <c r="AL24" i="9"/>
  <c r="BA24" i="9" s="1"/>
  <c r="AK35" i="9"/>
  <c r="AZ35" i="9" s="1"/>
  <c r="AK45" i="9"/>
  <c r="AZ45" i="9" s="1"/>
  <c r="CG20" i="1"/>
  <c r="CL20" i="1" s="1"/>
  <c r="BA45" i="1"/>
  <c r="BP45" i="1" s="1"/>
  <c r="AL45" i="9"/>
  <c r="BA45" i="9" s="1"/>
  <c r="BA9" i="1"/>
  <c r="BP9" i="1" s="1"/>
  <c r="AL9" i="9"/>
  <c r="BA9" i="9" s="1"/>
  <c r="AK29" i="9"/>
  <c r="AZ29" i="9" s="1"/>
  <c r="AK39" i="9"/>
  <c r="AZ39" i="9" s="1"/>
  <c r="AK10" i="9"/>
  <c r="AZ10" i="9" s="1"/>
  <c r="BA19" i="1"/>
  <c r="BP19" i="1" s="1"/>
  <c r="AL19" i="9"/>
  <c r="BA19" i="9" s="1"/>
  <c r="BA29" i="1"/>
  <c r="BP29" i="1" s="1"/>
  <c r="AL29" i="9"/>
  <c r="BA29" i="9" s="1"/>
  <c r="BA39" i="1"/>
  <c r="BP39" i="1" s="1"/>
  <c r="AL39" i="9"/>
  <c r="BA39" i="9" s="1"/>
  <c r="BA49" i="1"/>
  <c r="BP49" i="1" s="1"/>
  <c r="AL49" i="9"/>
  <c r="BA49" i="9" s="1"/>
  <c r="BA10" i="1"/>
  <c r="BP10" i="1" s="1"/>
  <c r="AL10" i="9"/>
  <c r="BA10" i="9" s="1"/>
  <c r="AK20" i="9"/>
  <c r="AZ20" i="9" s="1"/>
  <c r="AK30" i="9"/>
  <c r="AZ30" i="9" s="1"/>
  <c r="AK40" i="9"/>
  <c r="AZ40" i="9" s="1"/>
  <c r="CG5" i="1"/>
  <c r="CL5" i="1" s="1"/>
  <c r="CG28" i="1"/>
  <c r="CL28" i="1" s="1"/>
  <c r="CG31" i="1"/>
  <c r="CL31" i="1" s="1"/>
  <c r="AZ17" i="1"/>
  <c r="BO17" i="1" s="1"/>
  <c r="BS17" i="1" s="1"/>
  <c r="AZ47" i="1"/>
  <c r="BO47" i="1" s="1"/>
  <c r="AZ20" i="1"/>
  <c r="BO20" i="1" s="1"/>
  <c r="AZ30" i="1"/>
  <c r="BO30" i="1" s="1"/>
  <c r="BS30" i="1" s="1"/>
  <c r="AZ40" i="1"/>
  <c r="BO40" i="1" s="1"/>
  <c r="CG22" i="1"/>
  <c r="CL22" i="1" s="1"/>
  <c r="AZ36" i="1"/>
  <c r="BO36" i="1" s="1"/>
  <c r="BS36" i="1" s="1"/>
  <c r="CG8" i="1"/>
  <c r="CL8" i="1" s="1"/>
  <c r="CG40" i="1"/>
  <c r="CL40" i="1" s="1"/>
  <c r="AZ39" i="1"/>
  <c r="BO39" i="1" s="1"/>
  <c r="AZ11" i="1"/>
  <c r="BO11" i="1" s="1"/>
  <c r="AZ41" i="1"/>
  <c r="BO41" i="1" s="1"/>
  <c r="AZ45" i="1"/>
  <c r="BO45" i="1" s="1"/>
  <c r="AZ6" i="1"/>
  <c r="BO6" i="1" s="1"/>
  <c r="BS6" i="1" s="1"/>
  <c r="AZ9" i="1"/>
  <c r="BO9" i="1" s="1"/>
  <c r="AZ19" i="1"/>
  <c r="BO19" i="1" s="1"/>
  <c r="AZ49" i="1"/>
  <c r="BO49" i="1" s="1"/>
  <c r="CG14" i="1"/>
  <c r="CL14" i="1" s="1"/>
  <c r="AZ37" i="1"/>
  <c r="BO37" i="1" s="1"/>
  <c r="AZ32" i="1"/>
  <c r="BO32" i="1" s="1"/>
  <c r="BS32" i="1" s="1"/>
  <c r="CG6" i="1"/>
  <c r="CL6" i="1" s="1"/>
  <c r="AZ5" i="1"/>
  <c r="AZ27" i="1"/>
  <c r="BO27" i="1" s="1"/>
  <c r="AZ12" i="1"/>
  <c r="BO12" i="1" s="1"/>
  <c r="BS12" i="1" s="1"/>
  <c r="AZ42" i="1"/>
  <c r="BO42" i="1" s="1"/>
  <c r="CG48" i="1"/>
  <c r="CL48" i="1" s="1"/>
  <c r="CG26" i="1"/>
  <c r="CL26" i="1" s="1"/>
  <c r="CG7" i="1"/>
  <c r="CL7" i="1" s="1"/>
  <c r="AZ10" i="1"/>
  <c r="BO10" i="1" s="1"/>
  <c r="AZ22" i="1"/>
  <c r="BO22" i="1" s="1"/>
  <c r="BS22" i="1" s="1"/>
  <c r="AZ13" i="1"/>
  <c r="BO13" i="1" s="1"/>
  <c r="BS13" i="1" s="1"/>
  <c r="AZ23" i="1"/>
  <c r="BO23" i="1" s="1"/>
  <c r="AZ33" i="1"/>
  <c r="BO33" i="1" s="1"/>
  <c r="CG39" i="1"/>
  <c r="CL39" i="1" s="1"/>
  <c r="AZ8" i="1"/>
  <c r="BO8" i="1" s="1"/>
  <c r="AZ48" i="1"/>
  <c r="BO48" i="1" s="1"/>
  <c r="AZ29" i="1"/>
  <c r="BO29" i="1" s="1"/>
  <c r="CG30" i="1"/>
  <c r="CL30" i="1" s="1"/>
  <c r="CG27" i="1"/>
  <c r="CL27" i="1" s="1"/>
  <c r="AZ44" i="1"/>
  <c r="BO44" i="1" s="1"/>
  <c r="CG35" i="1"/>
  <c r="CL35" i="1" s="1"/>
  <c r="O11" i="1"/>
  <c r="N11" i="1"/>
  <c r="W11" i="1" s="1"/>
  <c r="BC11" i="1" s="1"/>
  <c r="BR11" i="1" s="1"/>
  <c r="AZ34" i="1"/>
  <c r="BO34" i="1" s="1"/>
  <c r="BS34" i="1" s="1"/>
  <c r="AZ15" i="1"/>
  <c r="BO15" i="1" s="1"/>
  <c r="BS15" i="1" s="1"/>
  <c r="Z35" i="1"/>
  <c r="AZ35" i="1"/>
  <c r="BO35" i="1" s="1"/>
  <c r="BS35" i="1" s="1"/>
  <c r="AZ43" i="1"/>
  <c r="BO43" i="1" s="1"/>
  <c r="BS43" i="1" s="1"/>
  <c r="AZ14" i="1"/>
  <c r="BO14" i="1" s="1"/>
  <c r="BS14" i="1" s="1"/>
  <c r="AZ24" i="1"/>
  <c r="BO24" i="1" s="1"/>
  <c r="AZ25" i="1"/>
  <c r="BO25" i="1" s="1"/>
  <c r="AZ16" i="1"/>
  <c r="BO16" i="1" s="1"/>
  <c r="BS16" i="1" s="1"/>
  <c r="AZ26" i="1"/>
  <c r="BO26" i="1" s="1"/>
  <c r="AZ46" i="1"/>
  <c r="BO46" i="1" s="1"/>
  <c r="Z7" i="1"/>
  <c r="AO7" i="27" s="1"/>
  <c r="AZ7" i="1"/>
  <c r="BO7" i="1" s="1"/>
  <c r="Z18" i="1"/>
  <c r="AZ18" i="1"/>
  <c r="BO18" i="1" s="1"/>
  <c r="AZ28" i="1"/>
  <c r="BO28" i="1" s="1"/>
  <c r="BS28" i="1" s="1"/>
  <c r="Z21" i="1"/>
  <c r="AO21" i="27" s="1"/>
  <c r="AZ21" i="1"/>
  <c r="BO21" i="1" s="1"/>
  <c r="BS21" i="1" s="1"/>
  <c r="AZ31" i="1"/>
  <c r="BO31" i="1" s="1"/>
  <c r="Z19" i="1"/>
  <c r="AO19" i="29" s="1"/>
  <c r="Z39" i="1"/>
  <c r="AO39" i="27" s="1"/>
  <c r="Z22" i="1"/>
  <c r="Z32" i="1"/>
  <c r="Z17" i="1"/>
  <c r="Z37" i="1"/>
  <c r="AO37" i="27" s="1"/>
  <c r="Z27" i="1"/>
  <c r="Z30" i="1"/>
  <c r="AO30" i="27" s="1"/>
  <c r="Z13" i="1"/>
  <c r="Z9" i="1"/>
  <c r="AO9" i="27" s="1"/>
  <c r="Z40" i="1"/>
  <c r="Z10" i="1"/>
  <c r="AO10" i="27" s="1"/>
  <c r="Z23" i="1"/>
  <c r="AO23" i="29" s="1"/>
  <c r="Z6" i="1"/>
  <c r="Z46" i="1"/>
  <c r="AO46" i="29" s="1"/>
  <c r="Z12" i="1"/>
  <c r="AO12" i="27" s="1"/>
  <c r="Z34" i="1"/>
  <c r="Z8" i="1"/>
  <c r="AO8" i="29" s="1"/>
  <c r="Z25" i="1"/>
  <c r="Z24" i="1"/>
  <c r="Z28" i="1"/>
  <c r="AO28" i="29" s="1"/>
  <c r="Z49" i="1"/>
  <c r="Z20" i="1"/>
  <c r="AO20" i="29" s="1"/>
  <c r="Z15" i="1"/>
  <c r="Z33" i="1"/>
  <c r="Z43" i="1"/>
  <c r="Z41" i="1"/>
  <c r="Z16" i="1"/>
  <c r="Z31" i="1"/>
  <c r="Z36" i="1"/>
  <c r="Z44" i="1"/>
  <c r="AO44" i="27" s="1"/>
  <c r="Z45" i="1"/>
  <c r="Z14" i="1"/>
  <c r="Z26" i="1"/>
  <c r="Z29" i="1"/>
  <c r="AO29" i="27" s="1"/>
  <c r="Z48" i="1"/>
  <c r="AO48" i="27" s="1"/>
  <c r="Z42" i="1"/>
  <c r="AO42" i="27" s="1"/>
  <c r="Z47" i="1"/>
  <c r="Q38" i="1"/>
  <c r="Z5" i="1"/>
  <c r="O38" i="1"/>
  <c r="P38" i="1"/>
  <c r="H51" i="1"/>
  <c r="R51" i="1" s="1"/>
  <c r="R38" i="1"/>
  <c r="J51" i="1"/>
  <c r="S51" i="1" s="1"/>
  <c r="S38" i="1"/>
  <c r="K51" i="1"/>
  <c r="T51" i="1" s="1"/>
  <c r="T38" i="1"/>
  <c r="U38" i="1"/>
  <c r="L51" i="1"/>
  <c r="U51" i="1" s="1"/>
  <c r="M51" i="1"/>
  <c r="V51" i="1" s="1"/>
  <c r="V38" i="1"/>
  <c r="E51" i="1"/>
  <c r="F51" i="1"/>
  <c r="G51" i="1"/>
  <c r="Q51" i="1" s="1"/>
  <c r="BD10" i="27" l="1"/>
  <c r="BD18" i="27"/>
  <c r="BD12" i="29"/>
  <c r="BD28" i="29"/>
  <c r="BD44" i="27"/>
  <c r="BD29" i="27"/>
  <c r="BS39" i="1"/>
  <c r="BD35" i="29"/>
  <c r="BD8" i="27"/>
  <c r="AO25" i="29"/>
  <c r="BD8" i="29"/>
  <c r="AO18" i="27"/>
  <c r="BD9" i="27"/>
  <c r="BD14" i="29"/>
  <c r="BD30" i="27"/>
  <c r="BD21" i="27"/>
  <c r="AB11" i="1"/>
  <c r="BD23" i="29"/>
  <c r="BD12" i="27"/>
  <c r="BD42" i="27"/>
  <c r="AB38" i="1"/>
  <c r="BD7" i="27"/>
  <c r="BD20" i="29"/>
  <c r="AO43" i="27"/>
  <c r="BD27" i="27"/>
  <c r="BD25" i="29"/>
  <c r="AO8" i="27"/>
  <c r="BD43" i="27"/>
  <c r="AO43" i="29"/>
  <c r="AZ45" i="29"/>
  <c r="BD45" i="29" s="1"/>
  <c r="AO45" i="29"/>
  <c r="AO15" i="29"/>
  <c r="BD31" i="27"/>
  <c r="AZ41" i="29"/>
  <c r="BD41" i="29" s="1"/>
  <c r="AO41" i="29"/>
  <c r="D11" i="27"/>
  <c r="E51" i="27"/>
  <c r="O51" i="27" s="1"/>
  <c r="O11" i="27"/>
  <c r="BD22" i="29"/>
  <c r="N11" i="29"/>
  <c r="D51" i="29"/>
  <c r="N51" i="29" s="1"/>
  <c r="M11" i="29"/>
  <c r="BD43" i="29"/>
  <c r="AZ25" i="27"/>
  <c r="BD25" i="27" s="1"/>
  <c r="AO25" i="27"/>
  <c r="BD15" i="29"/>
  <c r="AO36" i="29"/>
  <c r="AZ31" i="29"/>
  <c r="BD31" i="29" s="1"/>
  <c r="AO31" i="29"/>
  <c r="P11" i="27"/>
  <c r="F51" i="27"/>
  <c r="P51" i="27" s="1"/>
  <c r="BA53" i="27" s="1"/>
  <c r="AZ40" i="29"/>
  <c r="BD40" i="29" s="1"/>
  <c r="AO40" i="29"/>
  <c r="AO35" i="27"/>
  <c r="BD36" i="29"/>
  <c r="O11" i="29"/>
  <c r="E51" i="29"/>
  <c r="AZ40" i="27"/>
  <c r="BD40" i="27" s="1"/>
  <c r="AO40" i="27"/>
  <c r="AJ11" i="27"/>
  <c r="AJ11" i="29"/>
  <c r="BP54" i="1"/>
  <c r="AL51" i="29"/>
  <c r="BA51" i="29" s="1"/>
  <c r="BA54" i="29" s="1"/>
  <c r="AL51" i="27"/>
  <c r="BA51" i="27" s="1"/>
  <c r="BA54" i="27" s="1"/>
  <c r="BS49" i="1"/>
  <c r="AZ7" i="29"/>
  <c r="BD7" i="29" s="1"/>
  <c r="AO7" i="29"/>
  <c r="BD35" i="27"/>
  <c r="AO47" i="27"/>
  <c r="P11" i="29"/>
  <c r="F51" i="29"/>
  <c r="P51" i="29" s="1"/>
  <c r="BA53" i="29" s="1"/>
  <c r="BA55" i="29" s="1"/>
  <c r="BS18" i="1"/>
  <c r="E66" i="29"/>
  <c r="E54" i="29"/>
  <c r="E55" i="29" s="1"/>
  <c r="E56" i="29" s="1"/>
  <c r="AO14" i="27"/>
  <c r="AO18" i="29"/>
  <c r="BD47" i="27"/>
  <c r="AZ30" i="29"/>
  <c r="BD30" i="29" s="1"/>
  <c r="AO30" i="29"/>
  <c r="AO26" i="27"/>
  <c r="AO22" i="29"/>
  <c r="E53" i="29"/>
  <c r="E53" i="27"/>
  <c r="E54" i="27" s="1"/>
  <c r="E55" i="27" s="1"/>
  <c r="AZ15" i="27"/>
  <c r="BD15" i="27" s="1"/>
  <c r="AO15" i="27"/>
  <c r="BD14" i="27"/>
  <c r="AO28" i="27"/>
  <c r="BD26" i="27"/>
  <c r="AO9" i="29"/>
  <c r="AZ5" i="27"/>
  <c r="BD5" i="27" s="1"/>
  <c r="AO5" i="27"/>
  <c r="AZ20" i="27"/>
  <c r="BD20" i="27" s="1"/>
  <c r="AO20" i="27"/>
  <c r="AJ38" i="29"/>
  <c r="AJ38" i="27"/>
  <c r="AZ5" i="29"/>
  <c r="BD5" i="29" s="1"/>
  <c r="AO5" i="29"/>
  <c r="AO6" i="27"/>
  <c r="AO12" i="29"/>
  <c r="AO13" i="27"/>
  <c r="AO46" i="27"/>
  <c r="AO36" i="27"/>
  <c r="BD6" i="27"/>
  <c r="AO41" i="27"/>
  <c r="AO21" i="29"/>
  <c r="AO42" i="29"/>
  <c r="AO49" i="29"/>
  <c r="AO19" i="27"/>
  <c r="AZ23" i="27"/>
  <c r="BD23" i="27" s="1"/>
  <c r="AO23" i="27"/>
  <c r="AZ33" i="27"/>
  <c r="BD33" i="27" s="1"/>
  <c r="AO33" i="27"/>
  <c r="BD13" i="27"/>
  <c r="BD46" i="27"/>
  <c r="BD36" i="27"/>
  <c r="AO49" i="27"/>
  <c r="BD48" i="27"/>
  <c r="BD41" i="27"/>
  <c r="BD21" i="29"/>
  <c r="BD42" i="29"/>
  <c r="BD49" i="29"/>
  <c r="AZ17" i="29"/>
  <c r="BD17" i="29" s="1"/>
  <c r="AO17" i="29"/>
  <c r="AZ13" i="29"/>
  <c r="BD13" i="29" s="1"/>
  <c r="AO13" i="29"/>
  <c r="AO27" i="29"/>
  <c r="AO32" i="29"/>
  <c r="AO34" i="29"/>
  <c r="BD49" i="27"/>
  <c r="AO33" i="29"/>
  <c r="AO22" i="27"/>
  <c r="AO16" i="29"/>
  <c r="AL38" i="29"/>
  <c r="BA38" i="29" s="1"/>
  <c r="AL38" i="27"/>
  <c r="BA38" i="27" s="1"/>
  <c r="BD27" i="29"/>
  <c r="BD32" i="29"/>
  <c r="BD34" i="29"/>
  <c r="BD33" i="29"/>
  <c r="AZ37" i="29"/>
  <c r="BD37" i="29" s="1"/>
  <c r="AO37" i="29"/>
  <c r="BD22" i="27"/>
  <c r="BD16" i="29"/>
  <c r="BP53" i="1"/>
  <c r="AO16" i="27"/>
  <c r="AZ44" i="29"/>
  <c r="BD44" i="29" s="1"/>
  <c r="AO44" i="29"/>
  <c r="AO6" i="29"/>
  <c r="AO32" i="27"/>
  <c r="AO26" i="29"/>
  <c r="BS45" i="1"/>
  <c r="BS10" i="1"/>
  <c r="BD46" i="29"/>
  <c r="BD16" i="27"/>
  <c r="BD6" i="29"/>
  <c r="AO34" i="27"/>
  <c r="BD32" i="27"/>
  <c r="AO17" i="27"/>
  <c r="BD26" i="29"/>
  <c r="AO31" i="27"/>
  <c r="AM38" i="29"/>
  <c r="BB38" i="29" s="1"/>
  <c r="AM38" i="27"/>
  <c r="BB38" i="27" s="1"/>
  <c r="AO47" i="29"/>
  <c r="AO29" i="29"/>
  <c r="BD34" i="27"/>
  <c r="AO24" i="29"/>
  <c r="AO45" i="27"/>
  <c r="BD17" i="27"/>
  <c r="AZ48" i="29"/>
  <c r="BD48" i="29" s="1"/>
  <c r="AO48" i="29"/>
  <c r="AM51" i="29"/>
  <c r="BB51" i="29" s="1"/>
  <c r="BB54" i="29" s="1"/>
  <c r="BB55" i="29" s="1"/>
  <c r="BQ54" i="1"/>
  <c r="AM51" i="27"/>
  <c r="BB51" i="27" s="1"/>
  <c r="BB54" i="27" s="1"/>
  <c r="BB55" i="27" s="1"/>
  <c r="BD47" i="29"/>
  <c r="BD29" i="29"/>
  <c r="AO39" i="29"/>
  <c r="BD24" i="29"/>
  <c r="BD45" i="27"/>
  <c r="AO10" i="29"/>
  <c r="BS26" i="1"/>
  <c r="AK38" i="29"/>
  <c r="AZ38" i="29" s="1"/>
  <c r="AK38" i="27"/>
  <c r="AZ38" i="27" s="1"/>
  <c r="AO14" i="29"/>
  <c r="AZ24" i="27"/>
  <c r="BD24" i="27" s="1"/>
  <c r="AO24" i="27"/>
  <c r="BD39" i="29"/>
  <c r="AO27" i="27"/>
  <c r="BD10" i="29"/>
  <c r="AO35" i="29"/>
  <c r="BS7" i="1"/>
  <c r="BS42" i="1"/>
  <c r="BS40" i="1"/>
  <c r="BA38" i="1"/>
  <c r="BA51" i="1" s="1"/>
  <c r="AL38" i="9"/>
  <c r="BA38" i="9" s="1"/>
  <c r="BS46" i="1"/>
  <c r="BS27" i="1"/>
  <c r="BS20" i="1"/>
  <c r="AJ11" i="9"/>
  <c r="AY11" i="9" s="1"/>
  <c r="BO5" i="1"/>
  <c r="BS47" i="1"/>
  <c r="BB38" i="1"/>
  <c r="BB51" i="1" s="1"/>
  <c r="AM38" i="9"/>
  <c r="BB38" i="9" s="1"/>
  <c r="AM51" i="9"/>
  <c r="BB51" i="9" s="1"/>
  <c r="BB54" i="9" s="1"/>
  <c r="BB55" i="9" s="1"/>
  <c r="AK38" i="9"/>
  <c r="AZ38" i="9" s="1"/>
  <c r="BQ53" i="1"/>
  <c r="AJ38" i="9"/>
  <c r="AY38" i="9" s="1"/>
  <c r="BS44" i="1"/>
  <c r="BS25" i="1"/>
  <c r="BS29" i="1"/>
  <c r="BS48" i="1"/>
  <c r="BS19" i="1"/>
  <c r="AL51" i="9"/>
  <c r="BA51" i="9" s="1"/>
  <c r="BA54" i="9" s="1"/>
  <c r="BS31" i="1"/>
  <c r="BS33" i="1"/>
  <c r="BP5" i="1"/>
  <c r="BS37" i="1"/>
  <c r="O51" i="1"/>
  <c r="BS24" i="1"/>
  <c r="BS8" i="1"/>
  <c r="BS9" i="1"/>
  <c r="BS23" i="1"/>
  <c r="BS41" i="1"/>
  <c r="AC22" i="1"/>
  <c r="AD22" i="1" s="1"/>
  <c r="BD9" i="1"/>
  <c r="BD30" i="1"/>
  <c r="BD12" i="1"/>
  <c r="BD47" i="1"/>
  <c r="BD6" i="1"/>
  <c r="Z11" i="1"/>
  <c r="Z51" i="1" s="1"/>
  <c r="BD27" i="1"/>
  <c r="BD42" i="1"/>
  <c r="BD33" i="1"/>
  <c r="BD44" i="1"/>
  <c r="BD10" i="1"/>
  <c r="BD39" i="1"/>
  <c r="BD8" i="1"/>
  <c r="BD17" i="1"/>
  <c r="BD19" i="1"/>
  <c r="BD40" i="1"/>
  <c r="BD36" i="1"/>
  <c r="BD41" i="1"/>
  <c r="BD37" i="1"/>
  <c r="AZ38" i="1"/>
  <c r="AZ51" i="1" s="1"/>
  <c r="AY38" i="1"/>
  <c r="BN38" i="1" s="1"/>
  <c r="CF38" i="1"/>
  <c r="BD48" i="1"/>
  <c r="BD29" i="1"/>
  <c r="AY11" i="1"/>
  <c r="CF11" i="1"/>
  <c r="P51" i="1"/>
  <c r="E53" i="9"/>
  <c r="BD23" i="1"/>
  <c r="BD32" i="1"/>
  <c r="BD22" i="1"/>
  <c r="BD13" i="1"/>
  <c r="AC18" i="1"/>
  <c r="AD18" i="1" s="1"/>
  <c r="BD20" i="1"/>
  <c r="BD45" i="1"/>
  <c r="N51" i="1"/>
  <c r="W51" i="1" s="1"/>
  <c r="BR54" i="1" s="1"/>
  <c r="AC39" i="1"/>
  <c r="AD39" i="1" s="1"/>
  <c r="AC35" i="1"/>
  <c r="AD35" i="1" s="1"/>
  <c r="AC7" i="1"/>
  <c r="AD7" i="1" s="1"/>
  <c r="AC21" i="1"/>
  <c r="AD21" i="1" s="1"/>
  <c r="AC27" i="1"/>
  <c r="AD27" i="1" s="1"/>
  <c r="BD35" i="1"/>
  <c r="BD18" i="1"/>
  <c r="BD7" i="1"/>
  <c r="BD21" i="1"/>
  <c r="BC38" i="1"/>
  <c r="BC51" i="1" s="1"/>
  <c r="AC25" i="1"/>
  <c r="AD25" i="1" s="1"/>
  <c r="BD25" i="1"/>
  <c r="AC31" i="1"/>
  <c r="AD31" i="1" s="1"/>
  <c r="BD31" i="1"/>
  <c r="AC24" i="1"/>
  <c r="AD24" i="1" s="1"/>
  <c r="BD24" i="1"/>
  <c r="AC46" i="1"/>
  <c r="AD46" i="1" s="1"/>
  <c r="BD46" i="1"/>
  <c r="AC43" i="1"/>
  <c r="AD43" i="1" s="1"/>
  <c r="BD43" i="1"/>
  <c r="AC16" i="1"/>
  <c r="AD16" i="1" s="1"/>
  <c r="BD16" i="1"/>
  <c r="AC32" i="1"/>
  <c r="AD32" i="1" s="1"/>
  <c r="AC15" i="1"/>
  <c r="AD15" i="1" s="1"/>
  <c r="BD15" i="1"/>
  <c r="AC28" i="1"/>
  <c r="AD28" i="1" s="1"/>
  <c r="BD28" i="1"/>
  <c r="AC19" i="1"/>
  <c r="AD19" i="1" s="1"/>
  <c r="AC34" i="1"/>
  <c r="AD34" i="1" s="1"/>
  <c r="BD34" i="1"/>
  <c r="AC26" i="1"/>
  <c r="AD26" i="1" s="1"/>
  <c r="BD26" i="1"/>
  <c r="AC14" i="1"/>
  <c r="AD14" i="1" s="1"/>
  <c r="BD14" i="1"/>
  <c r="AC49" i="1"/>
  <c r="AD49" i="1" s="1"/>
  <c r="BD49" i="1"/>
  <c r="BD5" i="1"/>
  <c r="AC47" i="1"/>
  <c r="AD47" i="1" s="1"/>
  <c r="AC13" i="1"/>
  <c r="AD13" i="1" s="1"/>
  <c r="AC12" i="1"/>
  <c r="AD12" i="1" s="1"/>
  <c r="AC42" i="1"/>
  <c r="AD42" i="1" s="1"/>
  <c r="AC45" i="1"/>
  <c r="AD45" i="1" s="1"/>
  <c r="AC17" i="1"/>
  <c r="AD17" i="1" s="1"/>
  <c r="AC10" i="1"/>
  <c r="AD10" i="1" s="1"/>
  <c r="AC30" i="1"/>
  <c r="AD30" i="1" s="1"/>
  <c r="AC40" i="1"/>
  <c r="AD40" i="1" s="1"/>
  <c r="AC48" i="1"/>
  <c r="AD48" i="1" s="1"/>
  <c r="AC33" i="1"/>
  <c r="AD33" i="1" s="1"/>
  <c r="AC37" i="1"/>
  <c r="AD37" i="1" s="1"/>
  <c r="AC23" i="1"/>
  <c r="AD23" i="1" s="1"/>
  <c r="AC9" i="1"/>
  <c r="AD9" i="1" s="1"/>
  <c r="AC41" i="1"/>
  <c r="AD41" i="1" s="1"/>
  <c r="AC8" i="1"/>
  <c r="AC6" i="1"/>
  <c r="AD6" i="1" s="1"/>
  <c r="AC44" i="1"/>
  <c r="AD44" i="1" s="1"/>
  <c r="AC36" i="1"/>
  <c r="AC20" i="1"/>
  <c r="AD20" i="1" s="1"/>
  <c r="AC29" i="1"/>
  <c r="AD29" i="1" s="1"/>
  <c r="AC5" i="1"/>
  <c r="Z38" i="1"/>
  <c r="AB51" i="1" l="1"/>
  <c r="BA55" i="27"/>
  <c r="BQ55" i="1"/>
  <c r="AY11" i="29"/>
  <c r="V11" i="29"/>
  <c r="AH11" i="29" s="1"/>
  <c r="M51" i="29"/>
  <c r="V51" i="29" s="1"/>
  <c r="AY38" i="29"/>
  <c r="BD38" i="29" s="1"/>
  <c r="AO38" i="29"/>
  <c r="AG11" i="29"/>
  <c r="AY38" i="27"/>
  <c r="BD38" i="27" s="1"/>
  <c r="AO38" i="27"/>
  <c r="AY53" i="29"/>
  <c r="AK51" i="29"/>
  <c r="AZ51" i="29" s="1"/>
  <c r="AZ54" i="29" s="1"/>
  <c r="BO54" i="1"/>
  <c r="AK51" i="27"/>
  <c r="AZ51" i="27" s="1"/>
  <c r="AZ54" i="27" s="1"/>
  <c r="E57" i="29"/>
  <c r="E58" i="29" s="1"/>
  <c r="E65" i="29"/>
  <c r="O51" i="29"/>
  <c r="E67" i="29"/>
  <c r="AZ53" i="27"/>
  <c r="AY51" i="1"/>
  <c r="N11" i="27"/>
  <c r="M11" i="27"/>
  <c r="D51" i="27"/>
  <c r="N51" i="27" s="1"/>
  <c r="AJ51" i="29"/>
  <c r="AY51" i="29" s="1"/>
  <c r="AY54" i="29" s="1"/>
  <c r="BN54" i="1"/>
  <c r="AJ51" i="27"/>
  <c r="AY51" i="27" s="1"/>
  <c r="AY54" i="27" s="1"/>
  <c r="AY11" i="27"/>
  <c r="BP55" i="1"/>
  <c r="E56" i="27"/>
  <c r="E57" i="27" s="1"/>
  <c r="E58" i="27" s="1"/>
  <c r="E59" i="27"/>
  <c r="E59" i="29"/>
  <c r="AK51" i="9"/>
  <c r="AZ51" i="9" s="1"/>
  <c r="AZ54" i="9" s="1"/>
  <c r="BO53" i="1"/>
  <c r="AJ51" i="9"/>
  <c r="AY51" i="9" s="1"/>
  <c r="AY54" i="9" s="1"/>
  <c r="AY55" i="9" s="1"/>
  <c r="BN53" i="1"/>
  <c r="BN11" i="1"/>
  <c r="BN51" i="1" s="1"/>
  <c r="BO51" i="1"/>
  <c r="BP38" i="1"/>
  <c r="BP51" i="1" s="1"/>
  <c r="BQ38" i="1"/>
  <c r="BQ51" i="1" s="1"/>
  <c r="BS5" i="1"/>
  <c r="BO38" i="1"/>
  <c r="BR38" i="1"/>
  <c r="BR51" i="1" s="1"/>
  <c r="CG38" i="1"/>
  <c r="CL38" i="1" s="1"/>
  <c r="CF51" i="1"/>
  <c r="AC11" i="1"/>
  <c r="AD11" i="1" s="1"/>
  <c r="BD11" i="1"/>
  <c r="BD51" i="1" s="1"/>
  <c r="CG11" i="1"/>
  <c r="AV51" i="1"/>
  <c r="AW51" i="1"/>
  <c r="E54" i="9"/>
  <c r="BD38" i="1"/>
  <c r="AC38" i="1"/>
  <c r="AD8" i="1"/>
  <c r="AD36" i="1"/>
  <c r="AD5" i="1"/>
  <c r="E68" i="29" l="1"/>
  <c r="E69" i="29" s="1"/>
  <c r="E70" i="29" s="1"/>
  <c r="AY55" i="29"/>
  <c r="AY53" i="27"/>
  <c r="BN55" i="1"/>
  <c r="BR53" i="1"/>
  <c r="BR55" i="1" s="1"/>
  <c r="BO55" i="1"/>
  <c r="AG11" i="27"/>
  <c r="V11" i="27"/>
  <c r="M51" i="27"/>
  <c r="V51" i="27" s="1"/>
  <c r="BS38" i="1"/>
  <c r="AZ55" i="27"/>
  <c r="AG51" i="29"/>
  <c r="AN51" i="29"/>
  <c r="BC51" i="29" s="1"/>
  <c r="BC54" i="29" s="1"/>
  <c r="AN11" i="29"/>
  <c r="AZ53" i="29"/>
  <c r="AZ55" i="29" s="1"/>
  <c r="AH51" i="29"/>
  <c r="BS11" i="1"/>
  <c r="AC51" i="1"/>
  <c r="CL11" i="1"/>
  <c r="CG51" i="1"/>
  <c r="CL51" i="1" s="1"/>
  <c r="H77" i="9"/>
  <c r="AD38" i="1"/>
  <c r="AD51" i="1" s="1"/>
  <c r="AE47" i="1"/>
  <c r="AW47" i="1" s="1"/>
  <c r="AE40" i="1"/>
  <c r="AW40" i="1" s="1"/>
  <c r="AE37" i="1"/>
  <c r="AW37" i="1" s="1"/>
  <c r="AE27" i="1"/>
  <c r="AW27" i="1" s="1"/>
  <c r="AE20" i="1"/>
  <c r="AW20" i="1" s="1"/>
  <c r="AE16" i="1"/>
  <c r="AW16" i="1" s="1"/>
  <c r="AE7" i="1"/>
  <c r="AW7" i="1" s="1"/>
  <c r="AE19" i="1"/>
  <c r="AW19" i="1" s="1"/>
  <c r="AE32" i="1"/>
  <c r="AW32" i="1" s="1"/>
  <c r="AE46" i="1"/>
  <c r="AW46" i="1" s="1"/>
  <c r="AE38" i="1"/>
  <c r="AW38" i="1" s="1"/>
  <c r="AE10" i="1"/>
  <c r="AW10" i="1" s="1"/>
  <c r="AE26" i="1"/>
  <c r="AW26" i="1" s="1"/>
  <c r="AE17" i="1"/>
  <c r="AW17" i="1" s="1"/>
  <c r="AE8" i="1"/>
  <c r="AW8" i="1" s="1"/>
  <c r="AE6" i="1"/>
  <c r="AW6" i="1" s="1"/>
  <c r="AE14" i="1"/>
  <c r="AW14" i="1" s="1"/>
  <c r="AE45" i="1"/>
  <c r="AW45" i="1" s="1"/>
  <c r="AE12" i="1"/>
  <c r="AW12" i="1" s="1"/>
  <c r="AE25" i="1"/>
  <c r="AW25" i="1" s="1"/>
  <c r="AE31" i="1"/>
  <c r="AW31" i="1" s="1"/>
  <c r="AE33" i="1"/>
  <c r="AW33" i="1" s="1"/>
  <c r="AE44" i="1"/>
  <c r="AW44" i="1" s="1"/>
  <c r="AE13" i="1"/>
  <c r="AW13" i="1" s="1"/>
  <c r="AE30" i="1"/>
  <c r="AW30" i="1" s="1"/>
  <c r="AE5" i="1"/>
  <c r="AW5" i="1" s="1"/>
  <c r="AE29" i="1"/>
  <c r="AW29" i="1" s="1"/>
  <c r="AE39" i="1"/>
  <c r="AW39" i="1" s="1"/>
  <c r="AE23" i="1"/>
  <c r="AW23" i="1" s="1"/>
  <c r="AE11" i="1"/>
  <c r="AW11" i="1" s="1"/>
  <c r="AE15" i="1"/>
  <c r="AW15" i="1" s="1"/>
  <c r="AE9" i="1"/>
  <c r="AW9" i="1" s="1"/>
  <c r="AE34" i="1"/>
  <c r="AW34" i="1" s="1"/>
  <c r="AE49" i="1"/>
  <c r="AW49" i="1" s="1"/>
  <c r="AE22" i="1"/>
  <c r="AE48" i="1"/>
  <c r="AW48" i="1" s="1"/>
  <c r="AE21" i="1"/>
  <c r="AW21" i="1" s="1"/>
  <c r="AE24" i="1"/>
  <c r="AW24" i="1" s="1"/>
  <c r="AE28" i="1"/>
  <c r="AW28" i="1" s="1"/>
  <c r="AE43" i="1"/>
  <c r="AW43" i="1" s="1"/>
  <c r="AE18" i="1"/>
  <c r="AW18" i="1" s="1"/>
  <c r="AE36" i="1"/>
  <c r="AW36" i="1" s="1"/>
  <c r="AE41" i="1"/>
  <c r="AW41" i="1" s="1"/>
  <c r="AE42" i="1"/>
  <c r="AW42" i="1" s="1"/>
  <c r="AE35" i="1"/>
  <c r="AW35" i="1" s="1"/>
  <c r="AN51" i="27" l="1"/>
  <c r="BC51" i="27" s="1"/>
  <c r="BC54" i="27" s="1"/>
  <c r="AH51" i="27"/>
  <c r="AN11" i="27"/>
  <c r="AH11" i="27"/>
  <c r="BC11" i="29"/>
  <c r="BD11" i="29" s="1"/>
  <c r="BD51" i="29" s="1"/>
  <c r="AO11" i="29"/>
  <c r="AO51" i="29" s="1"/>
  <c r="BS51" i="1"/>
  <c r="AG51" i="27"/>
  <c r="AY55" i="27"/>
  <c r="BC53" i="27"/>
  <c r="BC55" i="27" s="1"/>
  <c r="BC53" i="29"/>
  <c r="BC55" i="29" s="1"/>
  <c r="F44" i="9"/>
  <c r="O26" i="9"/>
  <c r="F42" i="9"/>
  <c r="P42" i="9" s="1"/>
  <c r="O30" i="9"/>
  <c r="F37" i="9"/>
  <c r="P37" i="9" s="1"/>
  <c r="F31" i="9"/>
  <c r="P31" i="9" s="1"/>
  <c r="O18" i="9"/>
  <c r="F7" i="9"/>
  <c r="P7" i="9" s="1"/>
  <c r="F27" i="9"/>
  <c r="P27" i="9" s="1"/>
  <c r="F28" i="9"/>
  <c r="P28" i="9" s="1"/>
  <c r="O19" i="9"/>
  <c r="O39" i="9"/>
  <c r="O17" i="9"/>
  <c r="F20" i="9"/>
  <c r="M20" i="9" s="1"/>
  <c r="V20" i="9" s="1"/>
  <c r="O14" i="9"/>
  <c r="O29" i="9"/>
  <c r="F11" i="9"/>
  <c r="P11" i="9" s="1"/>
  <c r="F32" i="9"/>
  <c r="P32" i="9" s="1"/>
  <c r="O25" i="9"/>
  <c r="F46" i="9"/>
  <c r="P46" i="9" s="1"/>
  <c r="O13" i="9"/>
  <c r="E55" i="9"/>
  <c r="E56" i="9" s="1"/>
  <c r="E57" i="9" s="1"/>
  <c r="E58" i="9" s="1"/>
  <c r="O36" i="9"/>
  <c r="F36" i="9"/>
  <c r="P36" i="9" s="1"/>
  <c r="O48" i="9"/>
  <c r="F48" i="9"/>
  <c r="P48" i="9" s="1"/>
  <c r="O7" i="9"/>
  <c r="O38" i="9"/>
  <c r="F38" i="9"/>
  <c r="P38" i="9" s="1"/>
  <c r="O10" i="9"/>
  <c r="F10" i="9"/>
  <c r="P10" i="9" s="1"/>
  <c r="O32" i="9"/>
  <c r="F25" i="9"/>
  <c r="P25" i="9" s="1"/>
  <c r="O33" i="9"/>
  <c r="F33" i="9"/>
  <c r="O40" i="9"/>
  <c r="F40" i="9"/>
  <c r="O37" i="9"/>
  <c r="F13" i="9"/>
  <c r="P13" i="9" s="1"/>
  <c r="F15" i="9"/>
  <c r="O15" i="9"/>
  <c r="O21" i="9"/>
  <c r="F21" i="9"/>
  <c r="P21" i="9" s="1"/>
  <c r="O49" i="9"/>
  <c r="F49" i="9"/>
  <c r="P49" i="9" s="1"/>
  <c r="F35" i="9"/>
  <c r="P35" i="9" s="1"/>
  <c r="O35" i="9"/>
  <c r="O41" i="9"/>
  <c r="F41" i="9"/>
  <c r="P41" i="9" s="1"/>
  <c r="F24" i="9"/>
  <c r="P24" i="9" s="1"/>
  <c r="O24" i="9"/>
  <c r="F45" i="9"/>
  <c r="P45" i="9" s="1"/>
  <c r="O45" i="9"/>
  <c r="O8" i="9"/>
  <c r="F8" i="9"/>
  <c r="P8" i="9" s="1"/>
  <c r="F22" i="9"/>
  <c r="O22" i="9"/>
  <c r="O6" i="9"/>
  <c r="F6" i="9"/>
  <c r="P6" i="9" s="1"/>
  <c r="O47" i="9"/>
  <c r="F47" i="9"/>
  <c r="P47" i="9" s="1"/>
  <c r="O42" i="9"/>
  <c r="O9" i="9"/>
  <c r="F9" i="9"/>
  <c r="F34" i="9"/>
  <c r="P34" i="9" s="1"/>
  <c r="O34" i="9"/>
  <c r="F23" i="9"/>
  <c r="P23" i="9" s="1"/>
  <c r="O23" i="9"/>
  <c r="AW22" i="1"/>
  <c r="O12" i="9"/>
  <c r="F12" i="9"/>
  <c r="P12" i="9" s="1"/>
  <c r="O16" i="9"/>
  <c r="F16" i="9"/>
  <c r="P16" i="9" s="1"/>
  <c r="F43" i="9"/>
  <c r="P43" i="9" s="1"/>
  <c r="O43" i="9"/>
  <c r="AV48" i="1"/>
  <c r="AV24" i="1"/>
  <c r="AV21" i="1"/>
  <c r="AV8" i="1"/>
  <c r="AV34" i="1"/>
  <c r="AV15" i="1"/>
  <c r="AV16" i="1"/>
  <c r="AV45" i="1"/>
  <c r="AV6" i="1"/>
  <c r="AV49" i="1"/>
  <c r="AV17" i="1"/>
  <c r="AV10" i="1"/>
  <c r="AV38" i="1"/>
  <c r="AV46" i="1"/>
  <c r="AV23" i="1"/>
  <c r="AV19" i="1"/>
  <c r="AV5" i="1"/>
  <c r="AV30" i="1"/>
  <c r="AV27" i="1"/>
  <c r="AV25" i="1"/>
  <c r="AV14" i="1"/>
  <c r="AV22" i="1"/>
  <c r="AV26" i="1"/>
  <c r="AV9" i="1"/>
  <c r="AV11" i="1"/>
  <c r="AV32" i="1"/>
  <c r="AV39" i="1"/>
  <c r="AV29" i="1"/>
  <c r="AV7" i="1"/>
  <c r="AV35" i="1"/>
  <c r="AV20" i="1"/>
  <c r="AV42" i="1"/>
  <c r="AV13" i="1"/>
  <c r="AV41" i="1"/>
  <c r="AV44" i="1"/>
  <c r="AV37" i="1"/>
  <c r="AV36" i="1"/>
  <c r="AV33" i="1"/>
  <c r="AV40" i="1"/>
  <c r="AV31" i="1"/>
  <c r="AV47" i="1"/>
  <c r="AV43" i="1"/>
  <c r="AV28" i="1"/>
  <c r="AV12" i="1"/>
  <c r="AF28" i="1"/>
  <c r="AG28" i="1" s="1"/>
  <c r="AF18" i="1"/>
  <c r="AG18" i="1" s="1"/>
  <c r="AF31" i="1"/>
  <c r="AG31" i="1" s="1"/>
  <c r="AF17" i="1"/>
  <c r="AG17" i="1" s="1"/>
  <c r="AF21" i="1"/>
  <c r="AG21" i="1" s="1"/>
  <c r="AF8" i="1"/>
  <c r="AG8" i="1" s="1"/>
  <c r="AF19" i="1"/>
  <c r="AG19" i="1" s="1"/>
  <c r="AF16" i="1"/>
  <c r="AG16" i="1" s="1"/>
  <c r="AF14" i="1"/>
  <c r="AG14" i="1" s="1"/>
  <c r="AF10" i="1"/>
  <c r="AG10" i="1" s="1"/>
  <c r="AF33" i="1"/>
  <c r="AG33" i="1" s="1"/>
  <c r="AF37" i="1"/>
  <c r="AG37" i="1" s="1"/>
  <c r="AF22" i="1"/>
  <c r="AG22" i="1" s="1"/>
  <c r="AF9" i="1"/>
  <c r="AG9" i="1" s="1"/>
  <c r="AF40" i="1"/>
  <c r="AG40" i="1" s="1"/>
  <c r="AF11" i="1"/>
  <c r="AG11" i="1" s="1"/>
  <c r="AF38" i="1"/>
  <c r="AG38" i="1" s="1"/>
  <c r="AF6" i="1"/>
  <c r="AG6" i="1" s="1"/>
  <c r="AF15" i="1"/>
  <c r="AG15" i="1" s="1"/>
  <c r="AF35" i="1"/>
  <c r="AG35" i="1" s="1"/>
  <c r="AF30" i="1"/>
  <c r="AG30" i="1" s="1"/>
  <c r="AF26" i="1"/>
  <c r="AG26" i="1" s="1"/>
  <c r="AF44" i="1"/>
  <c r="AG44" i="1" s="1"/>
  <c r="AF34" i="1"/>
  <c r="AG34" i="1" s="1"/>
  <c r="AF29" i="1"/>
  <c r="AG29" i="1" s="1"/>
  <c r="AF36" i="1"/>
  <c r="AG36" i="1" s="1"/>
  <c r="AF20" i="1"/>
  <c r="AG20" i="1" s="1"/>
  <c r="AF41" i="1"/>
  <c r="AG41" i="1" s="1"/>
  <c r="AF47" i="1"/>
  <c r="AG47" i="1" s="1"/>
  <c r="AF48" i="1"/>
  <c r="AG48" i="1" s="1"/>
  <c r="AF49" i="1"/>
  <c r="AG49" i="1" s="1"/>
  <c r="AF27" i="1"/>
  <c r="AG27" i="1" s="1"/>
  <c r="AF24" i="1"/>
  <c r="AG24" i="1" s="1"/>
  <c r="AF32" i="1"/>
  <c r="AG32" i="1" s="1"/>
  <c r="AF45" i="1"/>
  <c r="AG45" i="1" s="1"/>
  <c r="AF12" i="1"/>
  <c r="AG12" i="1" s="1"/>
  <c r="AF43" i="1"/>
  <c r="AG43" i="1" s="1"/>
  <c r="AF46" i="1"/>
  <c r="AG46" i="1" s="1"/>
  <c r="AF42" i="1"/>
  <c r="AG42" i="1" s="1"/>
  <c r="AF7" i="1"/>
  <c r="AG7" i="1" s="1"/>
  <c r="AF25" i="1"/>
  <c r="AG25" i="1" s="1"/>
  <c r="AF23" i="1"/>
  <c r="AG23" i="1" s="1"/>
  <c r="AF13" i="1"/>
  <c r="AG13" i="1" s="1"/>
  <c r="AF39" i="1"/>
  <c r="AG39" i="1" s="1"/>
  <c r="BC11" i="27" l="1"/>
  <c r="BD11" i="27" s="1"/>
  <c r="BD51" i="27" s="1"/>
  <c r="AO11" i="27"/>
  <c r="AO51" i="27" s="1"/>
  <c r="F29" i="9"/>
  <c r="P29" i="9" s="1"/>
  <c r="F30" i="9"/>
  <c r="P30" i="9" s="1"/>
  <c r="O20" i="9"/>
  <c r="O31" i="9"/>
  <c r="F14" i="9"/>
  <c r="P14" i="9" s="1"/>
  <c r="F39" i="9"/>
  <c r="P39" i="9" s="1"/>
  <c r="F26" i="9"/>
  <c r="P26" i="9" s="1"/>
  <c r="O44" i="9"/>
  <c r="F19" i="9"/>
  <c r="P19" i="9" s="1"/>
  <c r="O27" i="9"/>
  <c r="O28" i="9"/>
  <c r="O46" i="9"/>
  <c r="O11" i="9"/>
  <c r="F17" i="9"/>
  <c r="P17" i="9" s="1"/>
  <c r="F18" i="9"/>
  <c r="P18" i="9" s="1"/>
  <c r="M16" i="9"/>
  <c r="V16" i="9" s="1"/>
  <c r="AH16" i="9" s="1"/>
  <c r="M48" i="9"/>
  <c r="V48" i="9" s="1"/>
  <c r="AN48" i="9" s="1"/>
  <c r="M46" i="9"/>
  <c r="V46" i="9" s="1"/>
  <c r="AN46" i="9" s="1"/>
  <c r="AN20" i="9"/>
  <c r="M11" i="9"/>
  <c r="V11" i="9" s="1"/>
  <c r="M36" i="9"/>
  <c r="V36" i="9" s="1"/>
  <c r="AG36" i="9" s="1"/>
  <c r="M33" i="9"/>
  <c r="V33" i="9" s="1"/>
  <c r="M43" i="9"/>
  <c r="V43" i="9" s="1"/>
  <c r="AG43" i="9" s="1"/>
  <c r="M8" i="9"/>
  <c r="V8" i="9" s="1"/>
  <c r="AG8" i="9" s="1"/>
  <c r="M27" i="9"/>
  <c r="V27" i="9" s="1"/>
  <c r="M7" i="9"/>
  <c r="V7" i="9" s="1"/>
  <c r="AG7" i="9" s="1"/>
  <c r="M6" i="9"/>
  <c r="V6" i="9" s="1"/>
  <c r="AG6" i="9" s="1"/>
  <c r="M37" i="9"/>
  <c r="V37" i="9" s="1"/>
  <c r="AG37" i="9" s="1"/>
  <c r="M32" i="9"/>
  <c r="V32" i="9" s="1"/>
  <c r="AG32" i="9" s="1"/>
  <c r="M28" i="9"/>
  <c r="V28" i="9" s="1"/>
  <c r="M13" i="9"/>
  <c r="V13" i="9" s="1"/>
  <c r="AG13" i="9" s="1"/>
  <c r="M38" i="9"/>
  <c r="V38" i="9" s="1"/>
  <c r="AG38" i="9" s="1"/>
  <c r="M41" i="9"/>
  <c r="V41" i="9" s="1"/>
  <c r="AG41" i="9" s="1"/>
  <c r="M9" i="9"/>
  <c r="V9" i="9" s="1"/>
  <c r="M44" i="9"/>
  <c r="V44" i="9" s="1"/>
  <c r="M49" i="9"/>
  <c r="V49" i="9" s="1"/>
  <c r="AG49" i="9" s="1"/>
  <c r="M40" i="9"/>
  <c r="V40" i="9" s="1"/>
  <c r="M21" i="9"/>
  <c r="V21" i="9" s="1"/>
  <c r="AG21" i="9" s="1"/>
  <c r="M15" i="9"/>
  <c r="V15" i="9" s="1"/>
  <c r="M22" i="9"/>
  <c r="V22" i="9" s="1"/>
  <c r="M30" i="9"/>
  <c r="V30" i="9" s="1"/>
  <c r="AG30" i="9" s="1"/>
  <c r="M23" i="9"/>
  <c r="V23" i="9" s="1"/>
  <c r="AG23" i="9" s="1"/>
  <c r="M12" i="9"/>
  <c r="V12" i="9" s="1"/>
  <c r="AG12" i="9" s="1"/>
  <c r="P40" i="9"/>
  <c r="M34" i="9"/>
  <c r="V34" i="9" s="1"/>
  <c r="AG34" i="9" s="1"/>
  <c r="M31" i="9"/>
  <c r="V31" i="9" s="1"/>
  <c r="M45" i="9"/>
  <c r="V45" i="9" s="1"/>
  <c r="AG45" i="9" s="1"/>
  <c r="M24" i="9"/>
  <c r="V24" i="9" s="1"/>
  <c r="AG24" i="9" s="1"/>
  <c r="P33" i="9"/>
  <c r="P9" i="9"/>
  <c r="P22" i="9"/>
  <c r="P15" i="9"/>
  <c r="P20" i="9"/>
  <c r="M47" i="9"/>
  <c r="V47" i="9" s="1"/>
  <c r="AG47" i="9" s="1"/>
  <c r="M42" i="9"/>
  <c r="V42" i="9" s="1"/>
  <c r="AG42" i="9" s="1"/>
  <c r="P44" i="9"/>
  <c r="M35" i="9"/>
  <c r="V35" i="9" s="1"/>
  <c r="AG35" i="9" s="1"/>
  <c r="M25" i="9"/>
  <c r="V25" i="9" s="1"/>
  <c r="AG25" i="9" s="1"/>
  <c r="M10" i="9"/>
  <c r="V10" i="9" s="1"/>
  <c r="AG10" i="9" s="1"/>
  <c r="AH11" i="1"/>
  <c r="AI11" i="1"/>
  <c r="AJ11" i="1" s="1"/>
  <c r="AK11" i="1" s="1"/>
  <c r="AI39" i="1"/>
  <c r="AH39" i="1"/>
  <c r="AH38" i="1"/>
  <c r="AI38" i="1"/>
  <c r="AH24" i="1"/>
  <c r="AI24" i="1"/>
  <c r="AH22" i="1"/>
  <c r="AI22" i="1"/>
  <c r="AI42" i="1"/>
  <c r="AH42" i="1"/>
  <c r="AI12" i="1"/>
  <c r="AH12" i="1"/>
  <c r="AH37" i="1"/>
  <c r="AI37" i="1"/>
  <c r="AI49" i="1"/>
  <c r="AH49" i="1"/>
  <c r="AH33" i="1"/>
  <c r="AI33" i="1"/>
  <c r="AI6" i="1"/>
  <c r="AH6" i="1"/>
  <c r="AI32" i="1"/>
  <c r="AH32" i="1"/>
  <c r="AH48" i="1"/>
  <c r="AI48" i="1"/>
  <c r="AH10" i="1"/>
  <c r="AI10" i="1"/>
  <c r="AH15" i="1"/>
  <c r="AI15" i="1"/>
  <c r="AH9" i="1"/>
  <c r="AI9" i="1"/>
  <c r="AI47" i="1"/>
  <c r="AH47" i="1"/>
  <c r="AI14" i="1"/>
  <c r="AH14" i="1"/>
  <c r="AH34" i="1"/>
  <c r="AI34" i="1"/>
  <c r="AI43" i="1"/>
  <c r="AH43" i="1"/>
  <c r="AI27" i="1"/>
  <c r="AH27" i="1"/>
  <c r="AH41" i="1"/>
  <c r="AI41" i="1"/>
  <c r="AI16" i="1"/>
  <c r="AH16" i="1"/>
  <c r="AI46" i="1"/>
  <c r="AH46" i="1"/>
  <c r="AH20" i="1"/>
  <c r="AI20" i="1"/>
  <c r="AH19" i="1"/>
  <c r="AI19" i="1"/>
  <c r="AH40" i="1"/>
  <c r="AI40" i="1"/>
  <c r="AH36" i="1"/>
  <c r="AI36" i="1"/>
  <c r="AI8" i="1"/>
  <c r="AH8" i="1"/>
  <c r="AH45" i="1"/>
  <c r="AI45" i="1"/>
  <c r="AI29" i="1"/>
  <c r="AH29" i="1"/>
  <c r="AH21" i="1"/>
  <c r="AI21" i="1"/>
  <c r="AH17" i="1"/>
  <c r="AI17" i="1"/>
  <c r="AH13" i="1"/>
  <c r="AI13" i="1"/>
  <c r="AH44" i="1"/>
  <c r="AI44" i="1"/>
  <c r="AH31" i="1"/>
  <c r="AI31" i="1"/>
  <c r="AH23" i="1"/>
  <c r="AI23" i="1"/>
  <c r="AH26" i="1"/>
  <c r="AI26" i="1"/>
  <c r="AI18" i="1"/>
  <c r="AH18" i="1"/>
  <c r="AI25" i="1"/>
  <c r="AH25" i="1"/>
  <c r="AH30" i="1"/>
  <c r="AI30" i="1"/>
  <c r="AH28" i="1"/>
  <c r="AI28" i="1"/>
  <c r="AI7" i="1"/>
  <c r="AH7" i="1"/>
  <c r="AH35" i="1"/>
  <c r="AI35" i="1"/>
  <c r="W11" i="29" l="1"/>
  <c r="W11" i="27"/>
  <c r="AG28" i="9"/>
  <c r="M29" i="9"/>
  <c r="V29" i="9" s="1"/>
  <c r="AG29" i="9" s="1"/>
  <c r="AG20" i="9"/>
  <c r="M39" i="9"/>
  <c r="V39" i="9" s="1"/>
  <c r="AG39" i="9" s="1"/>
  <c r="M26" i="9"/>
  <c r="V26" i="9" s="1"/>
  <c r="AG26" i="9" s="1"/>
  <c r="M14" i="9"/>
  <c r="V14" i="9" s="1"/>
  <c r="AG14" i="9" s="1"/>
  <c r="AG31" i="9"/>
  <c r="AG27" i="9"/>
  <c r="AN16" i="9"/>
  <c r="AO16" i="9" s="1"/>
  <c r="M17" i="9"/>
  <c r="V17" i="9" s="1"/>
  <c r="AG17" i="9" s="1"/>
  <c r="AG16" i="9"/>
  <c r="AH48" i="9"/>
  <c r="M19" i="9"/>
  <c r="V19" i="9" s="1"/>
  <c r="AG19" i="9" s="1"/>
  <c r="AG11" i="9"/>
  <c r="AG48" i="9"/>
  <c r="M18" i="9"/>
  <c r="V18" i="9" s="1"/>
  <c r="AG18" i="9" s="1"/>
  <c r="BU11" i="1"/>
  <c r="W11" i="9"/>
  <c r="X11" i="9" s="1"/>
  <c r="AG46" i="9"/>
  <c r="AH46" i="9"/>
  <c r="AG9" i="9"/>
  <c r="AG33" i="9"/>
  <c r="AG15" i="9"/>
  <c r="AG44" i="9"/>
  <c r="AG40" i="9"/>
  <c r="AH36" i="9"/>
  <c r="AO20" i="9"/>
  <c r="BC20" i="9"/>
  <c r="BD20" i="9" s="1"/>
  <c r="AO46" i="9"/>
  <c r="BC46" i="9"/>
  <c r="BD46" i="9" s="1"/>
  <c r="AG22" i="9"/>
  <c r="AO48" i="9"/>
  <c r="BC48" i="9"/>
  <c r="BD48" i="9" s="1"/>
  <c r="AN37" i="9"/>
  <c r="AN35" i="9"/>
  <c r="AN11" i="9"/>
  <c r="AN23" i="9"/>
  <c r="AN27" i="9"/>
  <c r="AN8" i="9"/>
  <c r="AN30" i="9"/>
  <c r="AN45" i="9"/>
  <c r="AN22" i="9"/>
  <c r="AN33" i="9"/>
  <c r="AN31" i="9"/>
  <c r="AN34" i="9"/>
  <c r="AN44" i="9"/>
  <c r="AN6" i="9"/>
  <c r="AN36" i="9"/>
  <c r="AN42" i="9"/>
  <c r="AN32" i="9"/>
  <c r="AN24" i="9"/>
  <c r="AN7" i="9"/>
  <c r="AN18" i="9"/>
  <c r="AN14" i="9"/>
  <c r="AN43" i="9"/>
  <c r="AN40" i="9"/>
  <c r="AN10" i="9"/>
  <c r="AN49" i="9"/>
  <c r="AN25" i="9"/>
  <c r="AN15" i="9"/>
  <c r="AN9" i="9"/>
  <c r="AN39" i="9"/>
  <c r="AN41" i="9"/>
  <c r="AN38" i="9"/>
  <c r="AN13" i="9"/>
  <c r="AN47" i="9"/>
  <c r="AN12" i="9"/>
  <c r="AN21" i="9"/>
  <c r="AN28" i="9"/>
  <c r="AH11" i="9"/>
  <c r="AH29" i="9"/>
  <c r="AH6" i="9"/>
  <c r="AH8" i="9"/>
  <c r="AH27" i="9"/>
  <c r="AH37" i="9"/>
  <c r="AH32" i="9"/>
  <c r="AH43" i="9"/>
  <c r="AH7" i="9"/>
  <c r="AH12" i="9"/>
  <c r="AH38" i="9"/>
  <c r="AH28" i="9"/>
  <c r="AH41" i="9"/>
  <c r="AH49" i="9"/>
  <c r="AH13" i="9"/>
  <c r="AH9" i="9"/>
  <c r="AH30" i="9"/>
  <c r="AH20" i="9"/>
  <c r="AH44" i="9"/>
  <c r="AH23" i="9"/>
  <c r="AH39" i="9"/>
  <c r="AH21" i="9"/>
  <c r="AH47" i="9"/>
  <c r="AH22" i="9"/>
  <c r="AH45" i="9"/>
  <c r="AH35" i="9"/>
  <c r="AH25" i="9"/>
  <c r="AH42" i="9"/>
  <c r="AH31" i="9"/>
  <c r="AH15" i="9"/>
  <c r="AH34" i="9"/>
  <c r="AH33" i="9"/>
  <c r="AH40" i="9"/>
  <c r="AH10" i="9"/>
  <c r="AH24" i="9"/>
  <c r="AJ34" i="1"/>
  <c r="AK34" i="1" s="1"/>
  <c r="AJ23" i="1"/>
  <c r="AK23" i="1" s="1"/>
  <c r="AJ9" i="1"/>
  <c r="AK9" i="1" s="1"/>
  <c r="AJ36" i="1"/>
  <c r="AK36" i="1" s="1"/>
  <c r="AJ14" i="1"/>
  <c r="AK14" i="1" s="1"/>
  <c r="AJ15" i="1"/>
  <c r="AK15" i="1" s="1"/>
  <c r="AJ24" i="1"/>
  <c r="AK24" i="1" s="1"/>
  <c r="AJ26" i="1"/>
  <c r="AK26" i="1" s="1"/>
  <c r="AJ20" i="1"/>
  <c r="AK20" i="1" s="1"/>
  <c r="AJ37" i="1"/>
  <c r="AK37" i="1" s="1"/>
  <c r="AJ31" i="1"/>
  <c r="AK31" i="1" s="1"/>
  <c r="AJ44" i="1"/>
  <c r="AK44" i="1" s="1"/>
  <c r="AJ22" i="1"/>
  <c r="AK22" i="1" s="1"/>
  <c r="AJ13" i="1"/>
  <c r="AK13" i="1" s="1"/>
  <c r="AJ48" i="1"/>
  <c r="AK48" i="1" s="1"/>
  <c r="AJ8" i="1"/>
  <c r="AK8" i="1" s="1"/>
  <c r="AJ47" i="1"/>
  <c r="AK47" i="1" s="1"/>
  <c r="AJ19" i="1"/>
  <c r="AK19" i="1" s="1"/>
  <c r="AJ38" i="1"/>
  <c r="AK38" i="1" s="1"/>
  <c r="AJ7" i="1"/>
  <c r="AK7" i="1" s="1"/>
  <c r="AJ16" i="1"/>
  <c r="AK16" i="1" s="1"/>
  <c r="AJ21" i="1"/>
  <c r="AK21" i="1" s="1"/>
  <c r="AJ32" i="1"/>
  <c r="AK32" i="1" s="1"/>
  <c r="AJ39" i="1"/>
  <c r="AK39" i="1" s="1"/>
  <c r="AJ18" i="1"/>
  <c r="AK18" i="1" s="1"/>
  <c r="AJ40" i="1"/>
  <c r="AK40" i="1" s="1"/>
  <c r="AJ41" i="1"/>
  <c r="AK41" i="1" s="1"/>
  <c r="AJ30" i="1"/>
  <c r="AK30" i="1" s="1"/>
  <c r="AJ25" i="1"/>
  <c r="AK25" i="1" s="1"/>
  <c r="AJ49" i="1"/>
  <c r="AK49" i="1" s="1"/>
  <c r="AJ10" i="1"/>
  <c r="AK10" i="1" s="1"/>
  <c r="AJ28" i="1"/>
  <c r="AK28" i="1" s="1"/>
  <c r="AJ29" i="1"/>
  <c r="AK29" i="1" s="1"/>
  <c r="AJ27" i="1"/>
  <c r="AK27" i="1" s="1"/>
  <c r="AJ6" i="1"/>
  <c r="AK6" i="1" s="1"/>
  <c r="AJ43" i="1"/>
  <c r="AK43" i="1" s="1"/>
  <c r="AJ12" i="1"/>
  <c r="AK12" i="1" s="1"/>
  <c r="AJ42" i="1"/>
  <c r="AK42" i="1" s="1"/>
  <c r="AJ35" i="1"/>
  <c r="AK35" i="1" s="1"/>
  <c r="AJ46" i="1"/>
  <c r="AK46" i="1" s="1"/>
  <c r="AJ17" i="1"/>
  <c r="AK17" i="1" s="1"/>
  <c r="AJ45" i="1"/>
  <c r="AK45" i="1" s="1"/>
  <c r="AJ33" i="1"/>
  <c r="AK33" i="1" s="1"/>
  <c r="BJ11" i="1"/>
  <c r="CA11" i="1" s="1"/>
  <c r="AF5" i="1"/>
  <c r="AF51" i="1" s="1"/>
  <c r="W10" i="29" l="1"/>
  <c r="W10" i="27"/>
  <c r="W28" i="29"/>
  <c r="W28" i="27"/>
  <c r="W24" i="29"/>
  <c r="W24" i="27"/>
  <c r="W30" i="29"/>
  <c r="W30" i="27"/>
  <c r="W41" i="29"/>
  <c r="W41" i="27"/>
  <c r="W40" i="29"/>
  <c r="W40" i="27"/>
  <c r="W15" i="29"/>
  <c r="W15" i="27"/>
  <c r="W31" i="29"/>
  <c r="W31" i="27"/>
  <c r="W36" i="29"/>
  <c r="W36" i="27"/>
  <c r="W44" i="29"/>
  <c r="W44" i="27"/>
  <c r="W33" i="29"/>
  <c r="W33" i="27"/>
  <c r="W38" i="29"/>
  <c r="W38" i="27"/>
  <c r="W25" i="29"/>
  <c r="W25" i="27"/>
  <c r="W9" i="29"/>
  <c r="W9" i="27"/>
  <c r="W7" i="29"/>
  <c r="W7" i="27"/>
  <c r="W26" i="29"/>
  <c r="W26" i="27"/>
  <c r="W23" i="29"/>
  <c r="W23" i="27"/>
  <c r="W12" i="29"/>
  <c r="W12" i="27"/>
  <c r="W47" i="29"/>
  <c r="W47" i="27"/>
  <c r="W20" i="29"/>
  <c r="W20" i="27"/>
  <c r="W39" i="29"/>
  <c r="W39" i="27"/>
  <c r="W45" i="29"/>
  <c r="W45" i="27"/>
  <c r="W16" i="29"/>
  <c r="W16" i="27"/>
  <c r="W42" i="29"/>
  <c r="W42" i="27"/>
  <c r="W14" i="29"/>
  <c r="W14" i="27"/>
  <c r="W21" i="29"/>
  <c r="W21" i="27"/>
  <c r="W34" i="29"/>
  <c r="W34" i="27"/>
  <c r="W35" i="29"/>
  <c r="W35" i="27"/>
  <c r="W19" i="29"/>
  <c r="W19" i="27"/>
  <c r="W48" i="29"/>
  <c r="W48" i="27"/>
  <c r="W49" i="29"/>
  <c r="W49" i="27"/>
  <c r="W18" i="29"/>
  <c r="W18" i="27"/>
  <c r="W32" i="29"/>
  <c r="W32" i="27"/>
  <c r="W17" i="29"/>
  <c r="W17" i="27"/>
  <c r="W46" i="29"/>
  <c r="W46" i="27"/>
  <c r="W43" i="29"/>
  <c r="W43" i="27"/>
  <c r="W6" i="29"/>
  <c r="W6" i="27"/>
  <c r="W27" i="29"/>
  <c r="W27" i="27"/>
  <c r="W13" i="29"/>
  <c r="W13" i="27"/>
  <c r="AT11" i="27"/>
  <c r="BK11" i="27" s="1"/>
  <c r="BF11" i="27"/>
  <c r="AU11" i="27"/>
  <c r="BL11" i="27" s="1"/>
  <c r="AS11" i="27"/>
  <c r="BJ11" i="27" s="1"/>
  <c r="X11" i="27"/>
  <c r="AC11" i="27" s="1"/>
  <c r="AD11" i="27" s="1"/>
  <c r="AR11" i="27"/>
  <c r="BI11" i="27" s="1"/>
  <c r="AQ11" i="27"/>
  <c r="W37" i="29"/>
  <c r="W37" i="27"/>
  <c r="W8" i="29"/>
  <c r="W8" i="27"/>
  <c r="W29" i="29"/>
  <c r="W29" i="27"/>
  <c r="W22" i="29"/>
  <c r="W22" i="27"/>
  <c r="BF11" i="29"/>
  <c r="AS11" i="29"/>
  <c r="BJ11" i="29" s="1"/>
  <c r="AR11" i="29"/>
  <c r="BI11" i="29" s="1"/>
  <c r="AT11" i="29"/>
  <c r="BK11" i="29" s="1"/>
  <c r="AQ11" i="29"/>
  <c r="X11" i="29"/>
  <c r="AE11" i="29" s="1"/>
  <c r="AF11" i="29" s="1"/>
  <c r="AU11" i="29"/>
  <c r="BL11" i="29" s="1"/>
  <c r="AU11" i="9"/>
  <c r="BL11" i="9" s="1"/>
  <c r="AH14" i="9"/>
  <c r="AH17" i="9"/>
  <c r="AN29" i="9"/>
  <c r="AO29" i="9" s="1"/>
  <c r="AN26" i="9"/>
  <c r="AO26" i="9" s="1"/>
  <c r="AH26" i="9"/>
  <c r="AN17" i="9"/>
  <c r="BC17" i="9" s="1"/>
  <c r="BD17" i="9" s="1"/>
  <c r="AH19" i="9"/>
  <c r="AH18" i="9"/>
  <c r="BC16" i="9"/>
  <c r="BD16" i="9" s="1"/>
  <c r="AN19" i="9"/>
  <c r="AO19" i="9" s="1"/>
  <c r="BU32" i="1"/>
  <c r="W32" i="9"/>
  <c r="BU35" i="1"/>
  <c r="W35" i="9"/>
  <c r="BU42" i="1"/>
  <c r="W42" i="9"/>
  <c r="BU27" i="1"/>
  <c r="W27" i="9"/>
  <c r="BU17" i="1"/>
  <c r="W17" i="9"/>
  <c r="BU12" i="1"/>
  <c r="W12" i="9"/>
  <c r="BU29" i="1"/>
  <c r="W29" i="9"/>
  <c r="BU28" i="1"/>
  <c r="W28" i="9"/>
  <c r="BU10" i="1"/>
  <c r="W10" i="9"/>
  <c r="BU20" i="1"/>
  <c r="W20" i="9"/>
  <c r="BU30" i="1"/>
  <c r="W30" i="9"/>
  <c r="BU26" i="1"/>
  <c r="W26" i="9"/>
  <c r="BU9" i="1"/>
  <c r="W9" i="9"/>
  <c r="BU23" i="1"/>
  <c r="W23" i="9"/>
  <c r="BU33" i="1"/>
  <c r="W33" i="9"/>
  <c r="BU45" i="1"/>
  <c r="W45" i="9"/>
  <c r="BU16" i="1"/>
  <c r="W16" i="9"/>
  <c r="BU8" i="1"/>
  <c r="W8" i="9"/>
  <c r="BU6" i="1"/>
  <c r="W6" i="9"/>
  <c r="BU34" i="1"/>
  <c r="W34" i="9"/>
  <c r="BU7" i="1"/>
  <c r="W7" i="9"/>
  <c r="BU48" i="1"/>
  <c r="W48" i="9"/>
  <c r="BU22" i="1"/>
  <c r="W22" i="9"/>
  <c r="BU44" i="1"/>
  <c r="W44" i="9"/>
  <c r="BU31" i="1"/>
  <c r="W31" i="9"/>
  <c r="BU37" i="1"/>
  <c r="W37" i="9"/>
  <c r="BU15" i="1"/>
  <c r="W15" i="9"/>
  <c r="BU18" i="1"/>
  <c r="W18" i="9"/>
  <c r="BU14" i="1"/>
  <c r="W14" i="9"/>
  <c r="BU21" i="1"/>
  <c r="W21" i="9"/>
  <c r="BU46" i="1"/>
  <c r="W46" i="9"/>
  <c r="BU38" i="1"/>
  <c r="W38" i="9"/>
  <c r="BU19" i="1"/>
  <c r="W19" i="9"/>
  <c r="BU47" i="1"/>
  <c r="W47" i="9"/>
  <c r="BU43" i="1"/>
  <c r="W43" i="9"/>
  <c r="BU13" i="1"/>
  <c r="W13" i="9"/>
  <c r="AT11" i="9"/>
  <c r="BK11" i="9" s="1"/>
  <c r="BF11" i="9"/>
  <c r="AQ11" i="9"/>
  <c r="BG11" i="9" s="1"/>
  <c r="AS11" i="9"/>
  <c r="BJ11" i="9" s="1"/>
  <c r="AR11" i="9"/>
  <c r="BI11" i="9" s="1"/>
  <c r="BU49" i="1"/>
  <c r="W49" i="9"/>
  <c r="BU25" i="1"/>
  <c r="W25" i="9"/>
  <c r="BU41" i="1"/>
  <c r="W41" i="9"/>
  <c r="BU24" i="1"/>
  <c r="W24" i="9"/>
  <c r="BU40" i="1"/>
  <c r="W40" i="9"/>
  <c r="BU39" i="1"/>
  <c r="W39" i="9"/>
  <c r="BU36" i="1"/>
  <c r="W36" i="9"/>
  <c r="AO14" i="9"/>
  <c r="BC14" i="9"/>
  <c r="BD14" i="9" s="1"/>
  <c r="AO23" i="9"/>
  <c r="BC23" i="9"/>
  <c r="BD23" i="9" s="1"/>
  <c r="AO21" i="9"/>
  <c r="BC21" i="9"/>
  <c r="BD21" i="9" s="1"/>
  <c r="AO24" i="9"/>
  <c r="BC24" i="9"/>
  <c r="BD24" i="9" s="1"/>
  <c r="AO11" i="9"/>
  <c r="BC11" i="9"/>
  <c r="BD11" i="9" s="1"/>
  <c r="AO7" i="9"/>
  <c r="BC7" i="9"/>
  <c r="BD7" i="9" s="1"/>
  <c r="AO28" i="9"/>
  <c r="BC28" i="9"/>
  <c r="BD28" i="9" s="1"/>
  <c r="AO33" i="9"/>
  <c r="BC33" i="9"/>
  <c r="BD33" i="9" s="1"/>
  <c r="AO39" i="9"/>
  <c r="BC39" i="9"/>
  <c r="BD39" i="9" s="1"/>
  <c r="AO22" i="9"/>
  <c r="BC22" i="9"/>
  <c r="BD22" i="9" s="1"/>
  <c r="AO12" i="9"/>
  <c r="BC12" i="9"/>
  <c r="BD12" i="9" s="1"/>
  <c r="AO35" i="9"/>
  <c r="BC35" i="9"/>
  <c r="BD35" i="9" s="1"/>
  <c r="AO18" i="9"/>
  <c r="BC18" i="9"/>
  <c r="BD18" i="9" s="1"/>
  <c r="AO15" i="9"/>
  <c r="BC15" i="9"/>
  <c r="BD15" i="9" s="1"/>
  <c r="AC11" i="9"/>
  <c r="AE11" i="9"/>
  <c r="AO47" i="9"/>
  <c r="BC47" i="9"/>
  <c r="BD47" i="9" s="1"/>
  <c r="AO49" i="9"/>
  <c r="BC49" i="9"/>
  <c r="BD49" i="9" s="1"/>
  <c r="AO42" i="9"/>
  <c r="BC42" i="9"/>
  <c r="BD42" i="9" s="1"/>
  <c r="AO45" i="9"/>
  <c r="BC45" i="9"/>
  <c r="BD45" i="9" s="1"/>
  <c r="AO44" i="9"/>
  <c r="BC44" i="9"/>
  <c r="BD44" i="9" s="1"/>
  <c r="AO31" i="9"/>
  <c r="BC31" i="9"/>
  <c r="BD31" i="9" s="1"/>
  <c r="AO10" i="9"/>
  <c r="BC10" i="9"/>
  <c r="BD10" i="9" s="1"/>
  <c r="AO36" i="9"/>
  <c r="BC36" i="9"/>
  <c r="BD36" i="9" s="1"/>
  <c r="AO34" i="9"/>
  <c r="BC34" i="9"/>
  <c r="BD34" i="9" s="1"/>
  <c r="AO32" i="9"/>
  <c r="BC32" i="9"/>
  <c r="BD32" i="9" s="1"/>
  <c r="AO13" i="9"/>
  <c r="BC13" i="9"/>
  <c r="BD13" i="9" s="1"/>
  <c r="AO30" i="9"/>
  <c r="BC30" i="9"/>
  <c r="BD30" i="9" s="1"/>
  <c r="AO27" i="9"/>
  <c r="BC27" i="9"/>
  <c r="BD27" i="9" s="1"/>
  <c r="AO25" i="9"/>
  <c r="BC25" i="9"/>
  <c r="BD25" i="9" s="1"/>
  <c r="AO40" i="9"/>
  <c r="BC40" i="9"/>
  <c r="BD40" i="9" s="1"/>
  <c r="AO38" i="9"/>
  <c r="BC38" i="9"/>
  <c r="BD38" i="9" s="1"/>
  <c r="AO6" i="9"/>
  <c r="BC6" i="9"/>
  <c r="BD6" i="9" s="1"/>
  <c r="AO37" i="9"/>
  <c r="BC37" i="9"/>
  <c r="BD37" i="9" s="1"/>
  <c r="AO9" i="9"/>
  <c r="BC9" i="9"/>
  <c r="BD9" i="9" s="1"/>
  <c r="AO41" i="9"/>
  <c r="BC41" i="9"/>
  <c r="BD41" i="9" s="1"/>
  <c r="AO43" i="9"/>
  <c r="BC43" i="9"/>
  <c r="BD43" i="9" s="1"/>
  <c r="AO8" i="9"/>
  <c r="BC8" i="9"/>
  <c r="BD8" i="9" s="1"/>
  <c r="BG46" i="1"/>
  <c r="BX46" i="1" s="1"/>
  <c r="BJ42" i="1"/>
  <c r="CA42" i="1" s="1"/>
  <c r="AM13" i="1"/>
  <c r="BH28" i="1"/>
  <c r="BY28" i="1" s="1"/>
  <c r="BI31" i="1"/>
  <c r="BZ31" i="1" s="1"/>
  <c r="BJ44" i="1"/>
  <c r="CA44" i="1" s="1"/>
  <c r="BJ49" i="1"/>
  <c r="CA49" i="1" s="1"/>
  <c r="BJ30" i="1"/>
  <c r="CA30" i="1" s="1"/>
  <c r="BH37" i="1"/>
  <c r="BY37" i="1" s="1"/>
  <c r="BJ41" i="1"/>
  <c r="CA41" i="1" s="1"/>
  <c r="BI24" i="1"/>
  <c r="BZ24" i="1" s="1"/>
  <c r="BJ40" i="1"/>
  <c r="CA40" i="1" s="1"/>
  <c r="BI32" i="1"/>
  <c r="BZ32" i="1" s="1"/>
  <c r="BF19" i="1"/>
  <c r="BV19" i="1" s="1"/>
  <c r="BF33" i="1"/>
  <c r="BV33" i="1" s="1"/>
  <c r="AL45" i="1"/>
  <c r="AT45" i="1" s="1"/>
  <c r="AU45" i="1" s="1"/>
  <c r="BF21" i="1"/>
  <c r="BV21" i="1" s="1"/>
  <c r="BH23" i="1"/>
  <c r="BY23" i="1" s="1"/>
  <c r="BF17" i="1"/>
  <c r="BV17" i="1" s="1"/>
  <c r="BI23" i="1"/>
  <c r="BZ23" i="1" s="1"/>
  <c r="BG21" i="1"/>
  <c r="BX21" i="1" s="1"/>
  <c r="BJ23" i="1"/>
  <c r="CA23" i="1" s="1"/>
  <c r="AL21" i="1"/>
  <c r="AR21" i="1" s="1"/>
  <c r="AS21" i="1" s="1"/>
  <c r="AM21" i="1"/>
  <c r="BH21" i="1"/>
  <c r="BY21" i="1" s="1"/>
  <c r="BI21" i="1"/>
  <c r="BZ21" i="1" s="1"/>
  <c r="BJ21" i="1"/>
  <c r="CA21" i="1" s="1"/>
  <c r="AM28" i="1"/>
  <c r="BI42" i="1"/>
  <c r="BZ42" i="1" s="1"/>
  <c r="AL28" i="1"/>
  <c r="BG33" i="1"/>
  <c r="BX33" i="1" s="1"/>
  <c r="BH33" i="1"/>
  <c r="BY33" i="1" s="1"/>
  <c r="BI45" i="1"/>
  <c r="BZ45" i="1" s="1"/>
  <c r="BG28" i="1"/>
  <c r="BX28" i="1" s="1"/>
  <c r="BI33" i="1"/>
  <c r="BZ33" i="1" s="1"/>
  <c r="BF45" i="1"/>
  <c r="BV45" i="1" s="1"/>
  <c r="BG45" i="1"/>
  <c r="BX45" i="1" s="1"/>
  <c r="AM33" i="1"/>
  <c r="BJ45" i="1"/>
  <c r="CA45" i="1" s="1"/>
  <c r="BJ28" i="1"/>
  <c r="CA28" i="1" s="1"/>
  <c r="AL23" i="1"/>
  <c r="AT23" i="1" s="1"/>
  <c r="AU23" i="1" s="1"/>
  <c r="BF44" i="1"/>
  <c r="BV44" i="1" s="1"/>
  <c r="AM23" i="1"/>
  <c r="BG44" i="1"/>
  <c r="BX44" i="1" s="1"/>
  <c r="AM45" i="1"/>
  <c r="BH45" i="1"/>
  <c r="BY45" i="1" s="1"/>
  <c r="BH44" i="1"/>
  <c r="BY44" i="1" s="1"/>
  <c r="AM44" i="1"/>
  <c r="AL44" i="1"/>
  <c r="AR44" i="1" s="1"/>
  <c r="AS44" i="1" s="1"/>
  <c r="BI44" i="1"/>
  <c r="BZ44" i="1" s="1"/>
  <c r="AM31" i="1"/>
  <c r="AL31" i="1"/>
  <c r="BG17" i="1"/>
  <c r="BX17" i="1" s="1"/>
  <c r="AM17" i="1"/>
  <c r="BJ31" i="1"/>
  <c r="CA31" i="1" s="1"/>
  <c r="BH31" i="1"/>
  <c r="BY31" i="1" s="1"/>
  <c r="BJ17" i="1"/>
  <c r="CA17" i="1" s="1"/>
  <c r="BG31" i="1"/>
  <c r="BX31" i="1" s="1"/>
  <c r="AL17" i="1"/>
  <c r="BF31" i="1"/>
  <c r="BV31" i="1" s="1"/>
  <c r="BI17" i="1"/>
  <c r="BZ17" i="1" s="1"/>
  <c r="BH17" i="1"/>
  <c r="BY17" i="1" s="1"/>
  <c r="BF23" i="1"/>
  <c r="BV23" i="1" s="1"/>
  <c r="BF41" i="1"/>
  <c r="BV41" i="1" s="1"/>
  <c r="BH41" i="1"/>
  <c r="BY41" i="1" s="1"/>
  <c r="AL32" i="1"/>
  <c r="AR32" i="1" s="1"/>
  <c r="AS32" i="1" s="1"/>
  <c r="BF28" i="1"/>
  <c r="BV28" i="1" s="1"/>
  <c r="AM32" i="1"/>
  <c r="AM40" i="1"/>
  <c r="BI28" i="1"/>
  <c r="BZ28" i="1" s="1"/>
  <c r="BG23" i="1"/>
  <c r="BX23" i="1" s="1"/>
  <c r="BG13" i="1"/>
  <c r="BX13" i="1" s="1"/>
  <c r="AL40" i="1"/>
  <c r="AR40" i="1" s="1"/>
  <c r="AS40" i="1" s="1"/>
  <c r="AL13" i="1"/>
  <c r="AT13" i="1" s="1"/>
  <c r="AU13" i="1" s="1"/>
  <c r="BJ33" i="1"/>
  <c r="CA33" i="1" s="1"/>
  <c r="BI13" i="1"/>
  <c r="BZ13" i="1" s="1"/>
  <c r="AL41" i="1"/>
  <c r="AR41" i="1" s="1"/>
  <c r="AS41" i="1" s="1"/>
  <c r="BJ13" i="1"/>
  <c r="CA13" i="1" s="1"/>
  <c r="AM41" i="1"/>
  <c r="BF13" i="1"/>
  <c r="BV13" i="1" s="1"/>
  <c r="BH13" i="1"/>
  <c r="BY13" i="1" s="1"/>
  <c r="BG40" i="1"/>
  <c r="BX40" i="1" s="1"/>
  <c r="BG41" i="1"/>
  <c r="BX41" i="1" s="1"/>
  <c r="BI41" i="1"/>
  <c r="BZ41" i="1" s="1"/>
  <c r="BH40" i="1"/>
  <c r="BY40" i="1" s="1"/>
  <c r="BF40" i="1"/>
  <c r="BV40" i="1" s="1"/>
  <c r="BJ32" i="1"/>
  <c r="CA32" i="1" s="1"/>
  <c r="BI37" i="1"/>
  <c r="BZ37" i="1" s="1"/>
  <c r="AM30" i="1"/>
  <c r="BI40" i="1"/>
  <c r="BZ40" i="1" s="1"/>
  <c r="BH24" i="1"/>
  <c r="BY24" i="1" s="1"/>
  <c r="AL49" i="1"/>
  <c r="BH46" i="1"/>
  <c r="BY46" i="1" s="1"/>
  <c r="AL30" i="1"/>
  <c r="AR30" i="1" s="1"/>
  <c r="AS30" i="1" s="1"/>
  <c r="BF37" i="1"/>
  <c r="BV37" i="1" s="1"/>
  <c r="AM49" i="1"/>
  <c r="BI46" i="1"/>
  <c r="BZ46" i="1" s="1"/>
  <c r="BG19" i="1"/>
  <c r="BX19" i="1" s="1"/>
  <c r="BG37" i="1"/>
  <c r="BX37" i="1" s="1"/>
  <c r="BH19" i="1"/>
  <c r="BY19" i="1" s="1"/>
  <c r="BF24" i="1"/>
  <c r="BV24" i="1" s="1"/>
  <c r="AM19" i="1"/>
  <c r="AM37" i="1"/>
  <c r="BJ24" i="1"/>
  <c r="CA24" i="1" s="1"/>
  <c r="BF49" i="1"/>
  <c r="BV49" i="1" s="1"/>
  <c r="BJ46" i="1"/>
  <c r="CA46" i="1" s="1"/>
  <c r="BH49" i="1"/>
  <c r="BY49" i="1" s="1"/>
  <c r="BI49" i="1"/>
  <c r="BZ49" i="1" s="1"/>
  <c r="AL37" i="1"/>
  <c r="AT37" i="1" s="1"/>
  <c r="AU37" i="1" s="1"/>
  <c r="BH11" i="1"/>
  <c r="BY11" i="1" s="1"/>
  <c r="BG24" i="1"/>
  <c r="BX24" i="1" s="1"/>
  <c r="AL19" i="1"/>
  <c r="AR19" i="1" s="1"/>
  <c r="AS19" i="1" s="1"/>
  <c r="AL24" i="1"/>
  <c r="AR24" i="1" s="1"/>
  <c r="AS24" i="1" s="1"/>
  <c r="BG30" i="1"/>
  <c r="BX30" i="1" s="1"/>
  <c r="BF32" i="1"/>
  <c r="BV32" i="1" s="1"/>
  <c r="BF42" i="1"/>
  <c r="BV42" i="1" s="1"/>
  <c r="BJ19" i="1"/>
  <c r="CA19" i="1" s="1"/>
  <c r="BJ37" i="1"/>
  <c r="CA37" i="1" s="1"/>
  <c r="BI19" i="1"/>
  <c r="BZ19" i="1" s="1"/>
  <c r="BF46" i="1"/>
  <c r="BV46" i="1" s="1"/>
  <c r="AM24" i="1"/>
  <c r="BG49" i="1"/>
  <c r="BX49" i="1" s="1"/>
  <c r="AL42" i="1"/>
  <c r="AL33" i="1"/>
  <c r="BH30" i="1"/>
  <c r="BY30" i="1" s="1"/>
  <c r="BG32" i="1"/>
  <c r="BX32" i="1" s="1"/>
  <c r="BG42" i="1"/>
  <c r="BX42" i="1" s="1"/>
  <c r="AM42" i="1"/>
  <c r="BI30" i="1"/>
  <c r="BZ30" i="1" s="1"/>
  <c r="BH32" i="1"/>
  <c r="BY32" i="1" s="1"/>
  <c r="BH42" i="1"/>
  <c r="BY42" i="1" s="1"/>
  <c r="AM46" i="1"/>
  <c r="AL46" i="1"/>
  <c r="BF30" i="1"/>
  <c r="BV30" i="1" s="1"/>
  <c r="BF11" i="1"/>
  <c r="BV11" i="1" s="1"/>
  <c r="BG11" i="1"/>
  <c r="BX11" i="1" s="1"/>
  <c r="AM11" i="1"/>
  <c r="AL11" i="1"/>
  <c r="AT11" i="1" s="1"/>
  <c r="AU11" i="1" s="1"/>
  <c r="BI11" i="1"/>
  <c r="BZ11" i="1" s="1"/>
  <c r="BG10" i="1"/>
  <c r="BX10" i="1" s="1"/>
  <c r="BJ10" i="1"/>
  <c r="CA10" i="1" s="1"/>
  <c r="BF10" i="1"/>
  <c r="BV10" i="1" s="1"/>
  <c r="BI10" i="1"/>
  <c r="BZ10" i="1" s="1"/>
  <c r="BH10" i="1"/>
  <c r="BY10" i="1" s="1"/>
  <c r="BF16" i="1"/>
  <c r="BV16" i="1" s="1"/>
  <c r="BJ16" i="1"/>
  <c r="CA16" i="1" s="1"/>
  <c r="BH16" i="1"/>
  <c r="BY16" i="1" s="1"/>
  <c r="BG16" i="1"/>
  <c r="BX16" i="1" s="1"/>
  <c r="BI16" i="1"/>
  <c r="BZ16" i="1" s="1"/>
  <c r="BF29" i="1"/>
  <c r="BV29" i="1" s="1"/>
  <c r="BH29" i="1"/>
  <c r="BY29" i="1" s="1"/>
  <c r="BG29" i="1"/>
  <c r="BX29" i="1" s="1"/>
  <c r="BJ29" i="1"/>
  <c r="CA29" i="1" s="1"/>
  <c r="BI29" i="1"/>
  <c r="BZ29" i="1" s="1"/>
  <c r="BJ39" i="1"/>
  <c r="CA39" i="1" s="1"/>
  <c r="BH39" i="1"/>
  <c r="BY39" i="1" s="1"/>
  <c r="BF39" i="1"/>
  <c r="BV39" i="1" s="1"/>
  <c r="BG39" i="1"/>
  <c r="BX39" i="1" s="1"/>
  <c r="BI39" i="1"/>
  <c r="BZ39" i="1" s="1"/>
  <c r="BJ18" i="1"/>
  <c r="CA18" i="1" s="1"/>
  <c r="BI18" i="1"/>
  <c r="BZ18" i="1" s="1"/>
  <c r="BH18" i="1"/>
  <c r="BY18" i="1" s="1"/>
  <c r="BG18" i="1"/>
  <c r="BX18" i="1" s="1"/>
  <c r="BF18" i="1"/>
  <c r="BV18" i="1" s="1"/>
  <c r="BJ36" i="1"/>
  <c r="CA36" i="1" s="1"/>
  <c r="BI36" i="1"/>
  <c r="BZ36" i="1" s="1"/>
  <c r="BH36" i="1"/>
  <c r="BY36" i="1" s="1"/>
  <c r="BG36" i="1"/>
  <c r="BX36" i="1" s="1"/>
  <c r="BF36" i="1"/>
  <c r="BV36" i="1" s="1"/>
  <c r="BI26" i="1"/>
  <c r="BZ26" i="1" s="1"/>
  <c r="BJ26" i="1"/>
  <c r="CA26" i="1" s="1"/>
  <c r="BH26" i="1"/>
  <c r="BY26" i="1" s="1"/>
  <c r="BG26" i="1"/>
  <c r="BX26" i="1" s="1"/>
  <c r="BF26" i="1"/>
  <c r="BV26" i="1" s="1"/>
  <c r="BI12" i="1"/>
  <c r="BZ12" i="1" s="1"/>
  <c r="BJ12" i="1"/>
  <c r="CA12" i="1" s="1"/>
  <c r="BH12" i="1"/>
  <c r="BY12" i="1" s="1"/>
  <c r="BF12" i="1"/>
  <c r="BV12" i="1" s="1"/>
  <c r="BG12" i="1"/>
  <c r="BX12" i="1" s="1"/>
  <c r="BJ34" i="1"/>
  <c r="CA34" i="1" s="1"/>
  <c r="BH34" i="1"/>
  <c r="BY34" i="1" s="1"/>
  <c r="BI34" i="1"/>
  <c r="BZ34" i="1" s="1"/>
  <c r="BG34" i="1"/>
  <c r="BX34" i="1" s="1"/>
  <c r="BF34" i="1"/>
  <c r="BV34" i="1" s="1"/>
  <c r="BF47" i="1"/>
  <c r="BV47" i="1" s="1"/>
  <c r="BI47" i="1"/>
  <c r="BZ47" i="1" s="1"/>
  <c r="BJ47" i="1"/>
  <c r="CA47" i="1" s="1"/>
  <c r="BG47" i="1"/>
  <c r="BX47" i="1" s="1"/>
  <c r="BH47" i="1"/>
  <c r="BY47" i="1" s="1"/>
  <c r="BJ20" i="1"/>
  <c r="CA20" i="1" s="1"/>
  <c r="BI20" i="1"/>
  <c r="BZ20" i="1" s="1"/>
  <c r="BH20" i="1"/>
  <c r="BY20" i="1" s="1"/>
  <c r="BG20" i="1"/>
  <c r="BX20" i="1" s="1"/>
  <c r="BF20" i="1"/>
  <c r="BV20" i="1" s="1"/>
  <c r="BI22" i="1"/>
  <c r="BZ22" i="1" s="1"/>
  <c r="BJ22" i="1"/>
  <c r="CA22" i="1" s="1"/>
  <c r="BH22" i="1"/>
  <c r="BY22" i="1" s="1"/>
  <c r="BG22" i="1"/>
  <c r="BX22" i="1" s="1"/>
  <c r="BF22" i="1"/>
  <c r="BV22" i="1" s="1"/>
  <c r="BH43" i="1"/>
  <c r="BY43" i="1" s="1"/>
  <c r="BF43" i="1"/>
  <c r="BV43" i="1" s="1"/>
  <c r="BJ43" i="1"/>
  <c r="CA43" i="1" s="1"/>
  <c r="BI43" i="1"/>
  <c r="BZ43" i="1" s="1"/>
  <c r="BG43" i="1"/>
  <c r="BX43" i="1" s="1"/>
  <c r="BJ27" i="1"/>
  <c r="CA27" i="1" s="1"/>
  <c r="BG27" i="1"/>
  <c r="BX27" i="1" s="1"/>
  <c r="BF27" i="1"/>
  <c r="BV27" i="1" s="1"/>
  <c r="BH27" i="1"/>
  <c r="BY27" i="1" s="1"/>
  <c r="BI27" i="1"/>
  <c r="BZ27" i="1" s="1"/>
  <c r="BH6" i="1"/>
  <c r="BG6" i="1"/>
  <c r="BF6" i="1"/>
  <c r="BJ6" i="1"/>
  <c r="BI6" i="1"/>
  <c r="BI48" i="1"/>
  <c r="BZ48" i="1" s="1"/>
  <c r="BH48" i="1"/>
  <c r="BY48" i="1" s="1"/>
  <c r="BG48" i="1"/>
  <c r="BX48" i="1" s="1"/>
  <c r="BF48" i="1"/>
  <c r="BV48" i="1" s="1"/>
  <c r="BJ48" i="1"/>
  <c r="CA48" i="1" s="1"/>
  <c r="BH9" i="1"/>
  <c r="BY9" i="1" s="1"/>
  <c r="BG9" i="1"/>
  <c r="BX9" i="1" s="1"/>
  <c r="BF9" i="1"/>
  <c r="BV9" i="1" s="1"/>
  <c r="BI9" i="1"/>
  <c r="BZ9" i="1" s="1"/>
  <c r="BJ9" i="1"/>
  <c r="CA9" i="1" s="1"/>
  <c r="BI7" i="1"/>
  <c r="BZ7" i="1" s="1"/>
  <c r="BG7" i="1"/>
  <c r="BX7" i="1" s="1"/>
  <c r="BJ7" i="1"/>
  <c r="CA7" i="1" s="1"/>
  <c r="BH7" i="1"/>
  <c r="BY7" i="1" s="1"/>
  <c r="BF7" i="1"/>
  <c r="BV7" i="1" s="1"/>
  <c r="BJ14" i="1"/>
  <c r="CA14" i="1" s="1"/>
  <c r="BF14" i="1"/>
  <c r="BV14" i="1" s="1"/>
  <c r="BI14" i="1"/>
  <c r="BZ14" i="1" s="1"/>
  <c r="BH14" i="1"/>
  <c r="BY14" i="1" s="1"/>
  <c r="BG14" i="1"/>
  <c r="BX14" i="1" s="1"/>
  <c r="BF8" i="1"/>
  <c r="BV8" i="1" s="1"/>
  <c r="BG8" i="1"/>
  <c r="BX8" i="1" s="1"/>
  <c r="BI8" i="1"/>
  <c r="BZ8" i="1" s="1"/>
  <c r="BJ8" i="1"/>
  <c r="CA8" i="1" s="1"/>
  <c r="BH8" i="1"/>
  <c r="BY8" i="1" s="1"/>
  <c r="BI35" i="1"/>
  <c r="BZ35" i="1" s="1"/>
  <c r="BH35" i="1"/>
  <c r="BY35" i="1" s="1"/>
  <c r="BG35" i="1"/>
  <c r="BX35" i="1" s="1"/>
  <c r="BJ35" i="1"/>
  <c r="CA35" i="1" s="1"/>
  <c r="BF35" i="1"/>
  <c r="BV35" i="1" s="1"/>
  <c r="BJ15" i="1"/>
  <c r="CA15" i="1" s="1"/>
  <c r="BI15" i="1"/>
  <c r="BZ15" i="1" s="1"/>
  <c r="BG15" i="1"/>
  <c r="BX15" i="1" s="1"/>
  <c r="BH15" i="1"/>
  <c r="BY15" i="1" s="1"/>
  <c r="BF15" i="1"/>
  <c r="BV15" i="1" s="1"/>
  <c r="BG25" i="1"/>
  <c r="BX25" i="1" s="1"/>
  <c r="BF25" i="1"/>
  <c r="BV25" i="1" s="1"/>
  <c r="BH25" i="1"/>
  <c r="BY25" i="1" s="1"/>
  <c r="BJ25" i="1"/>
  <c r="CA25" i="1" s="1"/>
  <c r="BI25" i="1"/>
  <c r="BZ25" i="1" s="1"/>
  <c r="BJ38" i="1"/>
  <c r="CA38" i="1" s="1"/>
  <c r="BI38" i="1"/>
  <c r="BZ38" i="1" s="1"/>
  <c r="BG38" i="1"/>
  <c r="BX38" i="1" s="1"/>
  <c r="BH38" i="1"/>
  <c r="BY38" i="1" s="1"/>
  <c r="BF38" i="1"/>
  <c r="BV38" i="1" s="1"/>
  <c r="AM6" i="1"/>
  <c r="AL6" i="1"/>
  <c r="AL26" i="1"/>
  <c r="AT26" i="1" s="1"/>
  <c r="AU26" i="1" s="1"/>
  <c r="AM26" i="1"/>
  <c r="AL10" i="1"/>
  <c r="AM10" i="1"/>
  <c r="AN10" i="1" s="1"/>
  <c r="AL15" i="1"/>
  <c r="AM15" i="1"/>
  <c r="AM16" i="1"/>
  <c r="AL16" i="1"/>
  <c r="AM27" i="1"/>
  <c r="AL27" i="1"/>
  <c r="AM14" i="1"/>
  <c r="AL14" i="1"/>
  <c r="AM47" i="1"/>
  <c r="AL47" i="1"/>
  <c r="AR47" i="1" s="1"/>
  <c r="AS47" i="1" s="1"/>
  <c r="AM48" i="1"/>
  <c r="AL48" i="1"/>
  <c r="AR48" i="1" s="1"/>
  <c r="AS48" i="1" s="1"/>
  <c r="AL18" i="1"/>
  <c r="AM18" i="1"/>
  <c r="AM43" i="1"/>
  <c r="AL43" i="1"/>
  <c r="AL29" i="1"/>
  <c r="AR29" i="1" s="1"/>
  <c r="AS29" i="1" s="1"/>
  <c r="AM29" i="1"/>
  <c r="AL25" i="1"/>
  <c r="AM25" i="1"/>
  <c r="AN25" i="1" s="1"/>
  <c r="AL9" i="1"/>
  <c r="AM9" i="1"/>
  <c r="AL7" i="1"/>
  <c r="AM7" i="1"/>
  <c r="AL22" i="1"/>
  <c r="AM22" i="1"/>
  <c r="AL35" i="1"/>
  <c r="AT35" i="1" s="1"/>
  <c r="AU35" i="1" s="1"/>
  <c r="AM35" i="1"/>
  <c r="AL8" i="1"/>
  <c r="AM8" i="1"/>
  <c r="AM39" i="1"/>
  <c r="AL39" i="1"/>
  <c r="AL36" i="1"/>
  <c r="AR36" i="1" s="1"/>
  <c r="AS36" i="1" s="1"/>
  <c r="AM36" i="1"/>
  <c r="AL38" i="1"/>
  <c r="AM38" i="1"/>
  <c r="AM12" i="1"/>
  <c r="AL12" i="1"/>
  <c r="AM20" i="1"/>
  <c r="AL20" i="1"/>
  <c r="AM34" i="1"/>
  <c r="AL34" i="1"/>
  <c r="AR34" i="1" s="1"/>
  <c r="AS34" i="1" s="1"/>
  <c r="AG5" i="1"/>
  <c r="AG51" i="1" s="1"/>
  <c r="AC11" i="29" l="1"/>
  <c r="AD11" i="29" s="1"/>
  <c r="AN41" i="1"/>
  <c r="AN29" i="1"/>
  <c r="AR48" i="29"/>
  <c r="BI48" i="29" s="1"/>
  <c r="BF48" i="29"/>
  <c r="AS48" i="29"/>
  <c r="BJ48" i="29" s="1"/>
  <c r="AT48" i="29"/>
  <c r="BK48" i="29" s="1"/>
  <c r="X48" i="29"/>
  <c r="AQ48" i="29"/>
  <c r="AU48" i="29"/>
  <c r="BL48" i="29" s="1"/>
  <c r="AC48" i="29"/>
  <c r="AD48" i="29" s="1"/>
  <c r="AE48" i="29"/>
  <c r="AF48" i="29" s="1"/>
  <c r="AT20" i="29"/>
  <c r="BK20" i="29" s="1"/>
  <c r="BF20" i="29"/>
  <c r="AR20" i="29"/>
  <c r="BI20" i="29" s="1"/>
  <c r="AS20" i="29"/>
  <c r="BJ20" i="29" s="1"/>
  <c r="X20" i="29"/>
  <c r="AE20" i="29" s="1"/>
  <c r="AF20" i="29" s="1"/>
  <c r="AQ20" i="29"/>
  <c r="AU20" i="29"/>
  <c r="BL20" i="29" s="1"/>
  <c r="AC20" i="29"/>
  <c r="AD20" i="29" s="1"/>
  <c r="BF44" i="29"/>
  <c r="AT44" i="29"/>
  <c r="BK44" i="29" s="1"/>
  <c r="AS44" i="29"/>
  <c r="BJ44" i="29" s="1"/>
  <c r="AR44" i="29"/>
  <c r="BI44" i="29" s="1"/>
  <c r="AU44" i="29"/>
  <c r="BL44" i="29" s="1"/>
  <c r="AQ44" i="29"/>
  <c r="X44" i="29"/>
  <c r="AC44" i="29" s="1"/>
  <c r="AD44" i="29" s="1"/>
  <c r="BF13" i="27"/>
  <c r="AT13" i="27"/>
  <c r="BK13" i="27" s="1"/>
  <c r="AQ13" i="27"/>
  <c r="AS13" i="27"/>
  <c r="BJ13" i="27" s="1"/>
  <c r="AR13" i="27"/>
  <c r="BI13" i="27" s="1"/>
  <c r="AU13" i="27"/>
  <c r="BL13" i="27" s="1"/>
  <c r="X13" i="27"/>
  <c r="AE13" i="27"/>
  <c r="AF13" i="27" s="1"/>
  <c r="AC13" i="27"/>
  <c r="AD13" i="27" s="1"/>
  <c r="BF13" i="29"/>
  <c r="AT13" i="29"/>
  <c r="BK13" i="29" s="1"/>
  <c r="AS13" i="29"/>
  <c r="BJ13" i="29" s="1"/>
  <c r="AR13" i="29"/>
  <c r="BI13" i="29" s="1"/>
  <c r="AQ13" i="29"/>
  <c r="X13" i="29"/>
  <c r="AU13" i="29"/>
  <c r="BL13" i="29" s="1"/>
  <c r="AC13" i="29"/>
  <c r="AD13" i="29" s="1"/>
  <c r="AE13" i="29"/>
  <c r="AF13" i="29" s="1"/>
  <c r="BF19" i="29"/>
  <c r="AT19" i="29"/>
  <c r="BK19" i="29" s="1"/>
  <c r="AS19" i="29"/>
  <c r="BJ19" i="29" s="1"/>
  <c r="AR19" i="29"/>
  <c r="BI19" i="29" s="1"/>
  <c r="AU19" i="29"/>
  <c r="BL19" i="29" s="1"/>
  <c r="AQ19" i="29"/>
  <c r="X19" i="29"/>
  <c r="AE19" i="29" s="1"/>
  <c r="AF19" i="29" s="1"/>
  <c r="AC19" i="29"/>
  <c r="AD19" i="29" s="1"/>
  <c r="AT47" i="29"/>
  <c r="BK47" i="29" s="1"/>
  <c r="AR47" i="29"/>
  <c r="BI47" i="29" s="1"/>
  <c r="AS47" i="29"/>
  <c r="BJ47" i="29" s="1"/>
  <c r="BF47" i="29"/>
  <c r="AU47" i="29"/>
  <c r="BL47" i="29" s="1"/>
  <c r="AQ47" i="29"/>
  <c r="X47" i="29"/>
  <c r="AC47" i="29" s="1"/>
  <c r="AD47" i="29" s="1"/>
  <c r="AE47" i="29"/>
  <c r="AF47" i="29" s="1"/>
  <c r="AT36" i="29"/>
  <c r="BK36" i="29" s="1"/>
  <c r="AR36" i="29"/>
  <c r="BI36" i="29" s="1"/>
  <c r="BF36" i="29"/>
  <c r="AS36" i="29"/>
  <c r="BJ36" i="29" s="1"/>
  <c r="AU36" i="29"/>
  <c r="BL36" i="29" s="1"/>
  <c r="AQ36" i="29"/>
  <c r="X36" i="29"/>
  <c r="AE36" i="29" s="1"/>
  <c r="AF36" i="29" s="1"/>
  <c r="AC36" i="29"/>
  <c r="AD36" i="29" s="1"/>
  <c r="BF27" i="27"/>
  <c r="AT27" i="27"/>
  <c r="BK27" i="27" s="1"/>
  <c r="AQ27" i="27"/>
  <c r="AS27" i="27"/>
  <c r="BJ27" i="27" s="1"/>
  <c r="AR27" i="27"/>
  <c r="BI27" i="27" s="1"/>
  <c r="AU27" i="27"/>
  <c r="BL27" i="27" s="1"/>
  <c r="X27" i="27"/>
  <c r="AC27" i="27" s="1"/>
  <c r="AD27" i="27" s="1"/>
  <c r="BF35" i="27"/>
  <c r="AT35" i="27"/>
  <c r="BK35" i="27" s="1"/>
  <c r="AQ35" i="27"/>
  <c r="AR35" i="27"/>
  <c r="BI35" i="27" s="1"/>
  <c r="AS35" i="27"/>
  <c r="BJ35" i="27" s="1"/>
  <c r="X35" i="27"/>
  <c r="AE35" i="27" s="1"/>
  <c r="AF35" i="27" s="1"/>
  <c r="AU35" i="27"/>
  <c r="BL35" i="27" s="1"/>
  <c r="AC35" i="27"/>
  <c r="AD35" i="27" s="1"/>
  <c r="AQ12" i="27"/>
  <c r="BF12" i="27"/>
  <c r="AT12" i="27"/>
  <c r="BK12" i="27" s="1"/>
  <c r="AR12" i="27"/>
  <c r="BI12" i="27" s="1"/>
  <c r="AS12" i="27"/>
  <c r="BJ12" i="27" s="1"/>
  <c r="X12" i="27"/>
  <c r="AU12" i="27"/>
  <c r="BL12" i="27" s="1"/>
  <c r="AC12" i="27"/>
  <c r="AD12" i="27" s="1"/>
  <c r="BF31" i="27"/>
  <c r="AT31" i="27"/>
  <c r="BK31" i="27" s="1"/>
  <c r="AQ31" i="27"/>
  <c r="AS31" i="27"/>
  <c r="BJ31" i="27" s="1"/>
  <c r="AR31" i="27"/>
  <c r="BI31" i="27" s="1"/>
  <c r="X31" i="27"/>
  <c r="AC31" i="27" s="1"/>
  <c r="AD31" i="27" s="1"/>
  <c r="AU31" i="27"/>
  <c r="BL31" i="27" s="1"/>
  <c r="BF20" i="27"/>
  <c r="AT20" i="27"/>
  <c r="BK20" i="27" s="1"/>
  <c r="AQ20" i="27"/>
  <c r="AU20" i="27"/>
  <c r="BL20" i="27" s="1"/>
  <c r="AS20" i="27"/>
  <c r="BJ20" i="27" s="1"/>
  <c r="X20" i="27"/>
  <c r="AE20" i="27" s="1"/>
  <c r="AF20" i="27" s="1"/>
  <c r="AR20" i="27"/>
  <c r="BI20" i="27" s="1"/>
  <c r="BF22" i="27"/>
  <c r="AT22" i="27"/>
  <c r="BK22" i="27" s="1"/>
  <c r="AQ22" i="27"/>
  <c r="AR22" i="27"/>
  <c r="BI22" i="27" s="1"/>
  <c r="AS22" i="27"/>
  <c r="BJ22" i="27" s="1"/>
  <c r="X22" i="27"/>
  <c r="AC22" i="27" s="1"/>
  <c r="AD22" i="27" s="1"/>
  <c r="AU22" i="27"/>
  <c r="BL22" i="27" s="1"/>
  <c r="AT27" i="29"/>
  <c r="BK27" i="29" s="1"/>
  <c r="BF27" i="29"/>
  <c r="AS27" i="29"/>
  <c r="BJ27" i="29" s="1"/>
  <c r="AQ27" i="29"/>
  <c r="AR27" i="29"/>
  <c r="BI27" i="29" s="1"/>
  <c r="X27" i="29"/>
  <c r="AE27" i="29" s="1"/>
  <c r="AF27" i="29" s="1"/>
  <c r="AU27" i="29"/>
  <c r="BL27" i="29" s="1"/>
  <c r="BF35" i="29"/>
  <c r="AS35" i="29"/>
  <c r="BJ35" i="29" s="1"/>
  <c r="AR35" i="29"/>
  <c r="BI35" i="29" s="1"/>
  <c r="AT35" i="29"/>
  <c r="BK35" i="29" s="1"/>
  <c r="AU35" i="29"/>
  <c r="BL35" i="29" s="1"/>
  <c r="AQ35" i="29"/>
  <c r="X35" i="29"/>
  <c r="AC35" i="29" s="1"/>
  <c r="AD35" i="29" s="1"/>
  <c r="AE35" i="29"/>
  <c r="AF35" i="29" s="1"/>
  <c r="BF12" i="29"/>
  <c r="AR12" i="29"/>
  <c r="BI12" i="29" s="1"/>
  <c r="AT12" i="29"/>
  <c r="BK12" i="29" s="1"/>
  <c r="AQ12" i="29"/>
  <c r="AS12" i="29"/>
  <c r="BJ12" i="29" s="1"/>
  <c r="X12" i="29"/>
  <c r="AC12" i="29" s="1"/>
  <c r="AD12" i="29" s="1"/>
  <c r="AU12" i="29"/>
  <c r="BL12" i="29" s="1"/>
  <c r="AT31" i="29"/>
  <c r="BK31" i="29" s="1"/>
  <c r="BF31" i="29"/>
  <c r="AS31" i="29"/>
  <c r="BJ31" i="29" s="1"/>
  <c r="AR31" i="29"/>
  <c r="BI31" i="29" s="1"/>
  <c r="AQ31" i="29"/>
  <c r="AU31" i="29"/>
  <c r="BL31" i="29" s="1"/>
  <c r="X31" i="29"/>
  <c r="AE31" i="29"/>
  <c r="AF31" i="29" s="1"/>
  <c r="AP49" i="1"/>
  <c r="BC26" i="9"/>
  <c r="BD26" i="9" s="1"/>
  <c r="AS22" i="29"/>
  <c r="BJ22" i="29" s="1"/>
  <c r="AR22" i="29"/>
  <c r="BI22" i="29" s="1"/>
  <c r="AT22" i="29"/>
  <c r="BK22" i="29" s="1"/>
  <c r="BF22" i="29"/>
  <c r="AQ22" i="29"/>
  <c r="X22" i="29"/>
  <c r="AE22" i="29" s="1"/>
  <c r="AF22" i="29" s="1"/>
  <c r="AU22" i="29"/>
  <c r="BL22" i="29" s="1"/>
  <c r="BF6" i="27"/>
  <c r="AT6" i="27"/>
  <c r="BK6" i="27" s="1"/>
  <c r="AQ6" i="27"/>
  <c r="AR6" i="27"/>
  <c r="BI6" i="27" s="1"/>
  <c r="AS6" i="27"/>
  <c r="BJ6" i="27" s="1"/>
  <c r="AU6" i="27"/>
  <c r="BL6" i="27" s="1"/>
  <c r="X6" i="27"/>
  <c r="AC6" i="27" s="1"/>
  <c r="AD6" i="27" s="1"/>
  <c r="BF34" i="27"/>
  <c r="AT34" i="27"/>
  <c r="BK34" i="27" s="1"/>
  <c r="AQ34" i="27"/>
  <c r="AS34" i="27"/>
  <c r="BJ34" i="27" s="1"/>
  <c r="AR34" i="27"/>
  <c r="BI34" i="27" s="1"/>
  <c r="X34" i="27"/>
  <c r="AU34" i="27"/>
  <c r="BL34" i="27" s="1"/>
  <c r="AT23" i="27"/>
  <c r="BK23" i="27" s="1"/>
  <c r="BF23" i="27"/>
  <c r="AQ23" i="27"/>
  <c r="AR23" i="27"/>
  <c r="BI23" i="27" s="1"/>
  <c r="AS23" i="27"/>
  <c r="BJ23" i="27" s="1"/>
  <c r="X23" i="27"/>
  <c r="AE23" i="27" s="1"/>
  <c r="AF23" i="27" s="1"/>
  <c r="AU23" i="27"/>
  <c r="BL23" i="27" s="1"/>
  <c r="AT15" i="27"/>
  <c r="BK15" i="27" s="1"/>
  <c r="BF15" i="27"/>
  <c r="AQ15" i="27"/>
  <c r="AS15" i="27"/>
  <c r="BJ15" i="27" s="1"/>
  <c r="AR15" i="27"/>
  <c r="BI15" i="27" s="1"/>
  <c r="AU15" i="27"/>
  <c r="BL15" i="27" s="1"/>
  <c r="X15" i="27"/>
  <c r="AE15" i="27" s="1"/>
  <c r="AF15" i="27" s="1"/>
  <c r="BF29" i="27"/>
  <c r="AT29" i="27"/>
  <c r="BK29" i="27" s="1"/>
  <c r="AQ29" i="27"/>
  <c r="AS29" i="27"/>
  <c r="BJ29" i="27" s="1"/>
  <c r="AR29" i="27"/>
  <c r="BI29" i="27" s="1"/>
  <c r="X29" i="27"/>
  <c r="AE29" i="27" s="1"/>
  <c r="AF29" i="27" s="1"/>
  <c r="AU29" i="27"/>
  <c r="BL29" i="27" s="1"/>
  <c r="BF6" i="29"/>
  <c r="AS6" i="29"/>
  <c r="BJ6" i="29" s="1"/>
  <c r="AT6" i="29"/>
  <c r="BK6" i="29" s="1"/>
  <c r="AR6" i="29"/>
  <c r="BI6" i="29" s="1"/>
  <c r="AU6" i="29"/>
  <c r="BL6" i="29" s="1"/>
  <c r="X6" i="29"/>
  <c r="AC6" i="29" s="1"/>
  <c r="AD6" i="29" s="1"/>
  <c r="AQ6" i="29"/>
  <c r="BF34" i="29"/>
  <c r="AR34" i="29"/>
  <c r="BI34" i="29" s="1"/>
  <c r="AS34" i="29"/>
  <c r="BJ34" i="29" s="1"/>
  <c r="AT34" i="29"/>
  <c r="BK34" i="29" s="1"/>
  <c r="AQ34" i="29"/>
  <c r="AU34" i="29"/>
  <c r="BL34" i="29" s="1"/>
  <c r="X34" i="29"/>
  <c r="AE34" i="29" s="1"/>
  <c r="AF34" i="29" s="1"/>
  <c r="BF23" i="29"/>
  <c r="AS23" i="29"/>
  <c r="BJ23" i="29" s="1"/>
  <c r="AT23" i="29"/>
  <c r="BK23" i="29" s="1"/>
  <c r="AR23" i="29"/>
  <c r="BI23" i="29" s="1"/>
  <c r="AU23" i="29"/>
  <c r="BL23" i="29" s="1"/>
  <c r="X23" i="29"/>
  <c r="AC23" i="29" s="1"/>
  <c r="AD23" i="29" s="1"/>
  <c r="AQ23" i="29"/>
  <c r="AT15" i="29"/>
  <c r="BK15" i="29" s="1"/>
  <c r="AS15" i="29"/>
  <c r="BJ15" i="29" s="1"/>
  <c r="BF15" i="29"/>
  <c r="AQ15" i="29"/>
  <c r="AR15" i="29"/>
  <c r="BI15" i="29" s="1"/>
  <c r="X15" i="29"/>
  <c r="AC15" i="29" s="1"/>
  <c r="AD15" i="29" s="1"/>
  <c r="AU15" i="29"/>
  <c r="BL15" i="29" s="1"/>
  <c r="BF29" i="29"/>
  <c r="AR29" i="29"/>
  <c r="BI29" i="29" s="1"/>
  <c r="AS29" i="29"/>
  <c r="BJ29" i="29" s="1"/>
  <c r="AT29" i="29"/>
  <c r="BK29" i="29" s="1"/>
  <c r="AQ29" i="29"/>
  <c r="AU29" i="29"/>
  <c r="BL29" i="29" s="1"/>
  <c r="X29" i="29"/>
  <c r="AE29" i="29" s="1"/>
  <c r="AF29" i="29" s="1"/>
  <c r="BF43" i="27"/>
  <c r="AT43" i="27"/>
  <c r="BK43" i="27" s="1"/>
  <c r="AQ43" i="27"/>
  <c r="AS43" i="27"/>
  <c r="BJ43" i="27" s="1"/>
  <c r="AR43" i="27"/>
  <c r="BI43" i="27" s="1"/>
  <c r="AU43" i="27"/>
  <c r="BL43" i="27" s="1"/>
  <c r="X43" i="27"/>
  <c r="AE43" i="27" s="1"/>
  <c r="AF43" i="27" s="1"/>
  <c r="AT21" i="27"/>
  <c r="BK21" i="27" s="1"/>
  <c r="AQ21" i="27"/>
  <c r="BF21" i="27"/>
  <c r="AS21" i="27"/>
  <c r="BJ21" i="27" s="1"/>
  <c r="AR21" i="27"/>
  <c r="BI21" i="27" s="1"/>
  <c r="AU21" i="27"/>
  <c r="BL21" i="27" s="1"/>
  <c r="X21" i="27"/>
  <c r="AE21" i="27" s="1"/>
  <c r="AF21" i="27" s="1"/>
  <c r="BF26" i="27"/>
  <c r="AT26" i="27"/>
  <c r="BK26" i="27" s="1"/>
  <c r="AQ26" i="27"/>
  <c r="AR26" i="27"/>
  <c r="BI26" i="27" s="1"/>
  <c r="AU26" i="27"/>
  <c r="BL26" i="27" s="1"/>
  <c r="AS26" i="27"/>
  <c r="BJ26" i="27" s="1"/>
  <c r="X26" i="27"/>
  <c r="AE26" i="27" s="1"/>
  <c r="AF26" i="27" s="1"/>
  <c r="AT40" i="27"/>
  <c r="BK40" i="27" s="1"/>
  <c r="BF40" i="27"/>
  <c r="AQ40" i="27"/>
  <c r="AS40" i="27"/>
  <c r="BJ40" i="27" s="1"/>
  <c r="AU40" i="27"/>
  <c r="BL40" i="27" s="1"/>
  <c r="AR40" i="27"/>
  <c r="BI40" i="27" s="1"/>
  <c r="X40" i="27"/>
  <c r="AE40" i="27" s="1"/>
  <c r="AF40" i="27" s="1"/>
  <c r="BF36" i="27"/>
  <c r="AT36" i="27"/>
  <c r="BK36" i="27" s="1"/>
  <c r="AQ36" i="27"/>
  <c r="AR36" i="27"/>
  <c r="BI36" i="27" s="1"/>
  <c r="AS36" i="27"/>
  <c r="BJ36" i="27" s="1"/>
  <c r="X36" i="27"/>
  <c r="AU36" i="27"/>
  <c r="BL36" i="27" s="1"/>
  <c r="AT8" i="27"/>
  <c r="BK8" i="27" s="1"/>
  <c r="BF8" i="27"/>
  <c r="AQ8" i="27"/>
  <c r="AR8" i="27"/>
  <c r="BI8" i="27" s="1"/>
  <c r="AS8" i="27"/>
  <c r="BJ8" i="27" s="1"/>
  <c r="X8" i="27"/>
  <c r="AE8" i="27" s="1"/>
  <c r="AF8" i="27" s="1"/>
  <c r="AU8" i="27"/>
  <c r="BL8" i="27" s="1"/>
  <c r="AC8" i="27"/>
  <c r="AD8" i="27" s="1"/>
  <c r="BF43" i="29"/>
  <c r="AT43" i="29"/>
  <c r="BK43" i="29" s="1"/>
  <c r="AS43" i="29"/>
  <c r="BJ43" i="29" s="1"/>
  <c r="AQ43" i="29"/>
  <c r="AR43" i="29"/>
  <c r="BI43" i="29" s="1"/>
  <c r="AU43" i="29"/>
  <c r="BL43" i="29" s="1"/>
  <c r="X43" i="29"/>
  <c r="AE43" i="29" s="1"/>
  <c r="AF43" i="29" s="1"/>
  <c r="AT21" i="29"/>
  <c r="BK21" i="29" s="1"/>
  <c r="BF21" i="29"/>
  <c r="AS21" i="29"/>
  <c r="BJ21" i="29" s="1"/>
  <c r="AQ21" i="29"/>
  <c r="AR21" i="29"/>
  <c r="BI21" i="29" s="1"/>
  <c r="AU21" i="29"/>
  <c r="BL21" i="29" s="1"/>
  <c r="X21" i="29"/>
  <c r="AC21" i="29" s="1"/>
  <c r="AD21" i="29" s="1"/>
  <c r="AT26" i="29"/>
  <c r="BK26" i="29" s="1"/>
  <c r="AR26" i="29"/>
  <c r="BI26" i="29" s="1"/>
  <c r="BF26" i="29"/>
  <c r="AS26" i="29"/>
  <c r="BJ26" i="29" s="1"/>
  <c r="AQ26" i="29"/>
  <c r="AU26" i="29"/>
  <c r="BL26" i="29" s="1"/>
  <c r="X26" i="29"/>
  <c r="AE26" i="29" s="1"/>
  <c r="AF26" i="29" s="1"/>
  <c r="BF40" i="29"/>
  <c r="AR40" i="29"/>
  <c r="BI40" i="29" s="1"/>
  <c r="AT40" i="29"/>
  <c r="BK40" i="29" s="1"/>
  <c r="AS40" i="29"/>
  <c r="BJ40" i="29" s="1"/>
  <c r="AQ40" i="29"/>
  <c r="X40" i="29"/>
  <c r="AU40" i="29"/>
  <c r="BL40" i="29" s="1"/>
  <c r="AE40" i="29"/>
  <c r="AF40" i="29" s="1"/>
  <c r="BF8" i="29"/>
  <c r="AT8" i="29"/>
  <c r="BK8" i="29" s="1"/>
  <c r="AS8" i="29"/>
  <c r="BJ8" i="29" s="1"/>
  <c r="AR8" i="29"/>
  <c r="BI8" i="29" s="1"/>
  <c r="AQ8" i="29"/>
  <c r="X8" i="29"/>
  <c r="AE8" i="29" s="1"/>
  <c r="AF8" i="29" s="1"/>
  <c r="AU8" i="29"/>
  <c r="BL8" i="29" s="1"/>
  <c r="BF46" i="27"/>
  <c r="AT46" i="27"/>
  <c r="BK46" i="27" s="1"/>
  <c r="AQ46" i="27"/>
  <c r="AR46" i="27"/>
  <c r="BI46" i="27" s="1"/>
  <c r="AS46" i="27"/>
  <c r="BJ46" i="27" s="1"/>
  <c r="X46" i="27"/>
  <c r="AE46" i="27" s="1"/>
  <c r="AF46" i="27" s="1"/>
  <c r="AU46" i="27"/>
  <c r="BL46" i="27" s="1"/>
  <c r="BF14" i="27"/>
  <c r="AT14" i="27"/>
  <c r="BK14" i="27" s="1"/>
  <c r="AQ14" i="27"/>
  <c r="AR14" i="27"/>
  <c r="BI14" i="27" s="1"/>
  <c r="AS14" i="27"/>
  <c r="BJ14" i="27" s="1"/>
  <c r="X14" i="27"/>
  <c r="AE14" i="27" s="1"/>
  <c r="AF14" i="27" s="1"/>
  <c r="AU14" i="27"/>
  <c r="BL14" i="27" s="1"/>
  <c r="BF7" i="27"/>
  <c r="AQ7" i="27"/>
  <c r="AT7" i="27"/>
  <c r="BK7" i="27" s="1"/>
  <c r="AS7" i="27"/>
  <c r="BJ7" i="27" s="1"/>
  <c r="AR7" i="27"/>
  <c r="BI7" i="27" s="1"/>
  <c r="AU7" i="27"/>
  <c r="BL7" i="27" s="1"/>
  <c r="X7" i="27"/>
  <c r="AC7" i="27" s="1"/>
  <c r="AD7" i="27" s="1"/>
  <c r="AT41" i="27"/>
  <c r="BK41" i="27" s="1"/>
  <c r="BF41" i="27"/>
  <c r="AQ41" i="27"/>
  <c r="AR41" i="27"/>
  <c r="BI41" i="27" s="1"/>
  <c r="AS41" i="27"/>
  <c r="BJ41" i="27" s="1"/>
  <c r="X41" i="27"/>
  <c r="AU41" i="27"/>
  <c r="BL41" i="27" s="1"/>
  <c r="AE41" i="27"/>
  <c r="AF41" i="27" s="1"/>
  <c r="AC41" i="27"/>
  <c r="AD41" i="27" s="1"/>
  <c r="AT37" i="27"/>
  <c r="BK37" i="27" s="1"/>
  <c r="AQ37" i="27"/>
  <c r="BF37" i="27"/>
  <c r="AR37" i="27"/>
  <c r="BI37" i="27" s="1"/>
  <c r="AS37" i="27"/>
  <c r="BJ37" i="27" s="1"/>
  <c r="X37" i="27"/>
  <c r="AC37" i="27" s="1"/>
  <c r="AD37" i="27" s="1"/>
  <c r="AU37" i="27"/>
  <c r="BL37" i="27" s="1"/>
  <c r="BF46" i="29"/>
  <c r="AT46" i="29"/>
  <c r="BK46" i="29" s="1"/>
  <c r="AS46" i="29"/>
  <c r="BJ46" i="29" s="1"/>
  <c r="AR46" i="29"/>
  <c r="BI46" i="29" s="1"/>
  <c r="AQ46" i="29"/>
  <c r="X46" i="29"/>
  <c r="AE46" i="29" s="1"/>
  <c r="AF46" i="29" s="1"/>
  <c r="AU46" i="29"/>
  <c r="BL46" i="29" s="1"/>
  <c r="BF14" i="29"/>
  <c r="AS14" i="29"/>
  <c r="BJ14" i="29" s="1"/>
  <c r="AT14" i="29"/>
  <c r="BK14" i="29" s="1"/>
  <c r="AR14" i="29"/>
  <c r="BI14" i="29" s="1"/>
  <c r="X14" i="29"/>
  <c r="AC14" i="29" s="1"/>
  <c r="AD14" i="29" s="1"/>
  <c r="AQ14" i="29"/>
  <c r="AU14" i="29"/>
  <c r="BL14" i="29" s="1"/>
  <c r="AE14" i="29"/>
  <c r="AF14" i="29" s="1"/>
  <c r="BF7" i="29"/>
  <c r="AT7" i="29"/>
  <c r="BK7" i="29" s="1"/>
  <c r="AS7" i="29"/>
  <c r="BJ7" i="29" s="1"/>
  <c r="AR7" i="29"/>
  <c r="BI7" i="29" s="1"/>
  <c r="AQ7" i="29"/>
  <c r="X7" i="29"/>
  <c r="AC7" i="29" s="1"/>
  <c r="AD7" i="29" s="1"/>
  <c r="AU7" i="29"/>
  <c r="BL7" i="29" s="1"/>
  <c r="BF41" i="29"/>
  <c r="AR41" i="29"/>
  <c r="BI41" i="29" s="1"/>
  <c r="AT41" i="29"/>
  <c r="BK41" i="29" s="1"/>
  <c r="AS41" i="29"/>
  <c r="BJ41" i="29" s="1"/>
  <c r="AU41" i="29"/>
  <c r="BL41" i="29" s="1"/>
  <c r="AQ41" i="29"/>
  <c r="X41" i="29"/>
  <c r="AE41" i="29" s="1"/>
  <c r="AF41" i="29" s="1"/>
  <c r="BF19" i="27"/>
  <c r="AQ19" i="27"/>
  <c r="AT19" i="27"/>
  <c r="BK19" i="27" s="1"/>
  <c r="AS19" i="27"/>
  <c r="BJ19" i="27" s="1"/>
  <c r="AR19" i="27"/>
  <c r="BI19" i="27" s="1"/>
  <c r="X19" i="27"/>
  <c r="AC19" i="27" s="1"/>
  <c r="AD19" i="27" s="1"/>
  <c r="AU19" i="27"/>
  <c r="BL19" i="27" s="1"/>
  <c r="AS37" i="29"/>
  <c r="BJ37" i="29" s="1"/>
  <c r="AT37" i="29"/>
  <c r="BK37" i="29" s="1"/>
  <c r="AR37" i="29"/>
  <c r="BI37" i="29" s="1"/>
  <c r="BF37" i="29"/>
  <c r="AQ37" i="29"/>
  <c r="AU37" i="29"/>
  <c r="BL37" i="29" s="1"/>
  <c r="X37" i="29"/>
  <c r="AC37" i="29" s="1"/>
  <c r="AD37" i="29" s="1"/>
  <c r="BF17" i="27"/>
  <c r="AT17" i="27"/>
  <c r="BK17" i="27" s="1"/>
  <c r="AQ17" i="27"/>
  <c r="AR17" i="27"/>
  <c r="BI17" i="27" s="1"/>
  <c r="AS17" i="27"/>
  <c r="BJ17" i="27" s="1"/>
  <c r="X17" i="27"/>
  <c r="AE17" i="27" s="1"/>
  <c r="AF17" i="27" s="1"/>
  <c r="AU17" i="27"/>
  <c r="BL17" i="27" s="1"/>
  <c r="BF42" i="27"/>
  <c r="AT42" i="27"/>
  <c r="BK42" i="27" s="1"/>
  <c r="AQ42" i="27"/>
  <c r="AU42" i="27"/>
  <c r="BL42" i="27" s="1"/>
  <c r="X42" i="27"/>
  <c r="AR42" i="27"/>
  <c r="BI42" i="27" s="1"/>
  <c r="AS42" i="27"/>
  <c r="BJ42" i="27" s="1"/>
  <c r="BF9" i="27"/>
  <c r="AT9" i="27"/>
  <c r="BK9" i="27" s="1"/>
  <c r="AQ9" i="27"/>
  <c r="AR9" i="27"/>
  <c r="BI9" i="27" s="1"/>
  <c r="AS9" i="27"/>
  <c r="BJ9" i="27" s="1"/>
  <c r="AU9" i="27"/>
  <c r="BL9" i="27" s="1"/>
  <c r="X9" i="27"/>
  <c r="AE9" i="27" s="1"/>
  <c r="AF9" i="27" s="1"/>
  <c r="BF30" i="27"/>
  <c r="AT30" i="27"/>
  <c r="BK30" i="27" s="1"/>
  <c r="AQ30" i="27"/>
  <c r="AS30" i="27"/>
  <c r="BJ30" i="27" s="1"/>
  <c r="AU30" i="27"/>
  <c r="BL30" i="27" s="1"/>
  <c r="AR30" i="27"/>
  <c r="BI30" i="27" s="1"/>
  <c r="X30" i="27"/>
  <c r="AC30" i="27" s="1"/>
  <c r="AD30" i="27" s="1"/>
  <c r="BG11" i="27"/>
  <c r="AV11" i="27"/>
  <c r="AT17" i="29"/>
  <c r="BK17" i="29" s="1"/>
  <c r="AS17" i="29"/>
  <c r="BJ17" i="29" s="1"/>
  <c r="BF17" i="29"/>
  <c r="AU17" i="29"/>
  <c r="BL17" i="29" s="1"/>
  <c r="AR17" i="29"/>
  <c r="BI17" i="29" s="1"/>
  <c r="AQ17" i="29"/>
  <c r="BG17" i="29" s="1"/>
  <c r="X17" i="29"/>
  <c r="AC17" i="29" s="1"/>
  <c r="AD17" i="29" s="1"/>
  <c r="BF42" i="29"/>
  <c r="AR42" i="29"/>
  <c r="BI42" i="29" s="1"/>
  <c r="AT42" i="29"/>
  <c r="BK42" i="29" s="1"/>
  <c r="AS42" i="29"/>
  <c r="BJ42" i="29" s="1"/>
  <c r="AU42" i="29"/>
  <c r="BL42" i="29" s="1"/>
  <c r="AQ42" i="29"/>
  <c r="X42" i="29"/>
  <c r="BF9" i="29"/>
  <c r="AR9" i="29"/>
  <c r="BI9" i="29" s="1"/>
  <c r="AT9" i="29"/>
  <c r="BK9" i="29" s="1"/>
  <c r="AS9" i="29"/>
  <c r="BJ9" i="29" s="1"/>
  <c r="AQ9" i="29"/>
  <c r="X9" i="29"/>
  <c r="AC9" i="29" s="1"/>
  <c r="AD9" i="29" s="1"/>
  <c r="AU9" i="29"/>
  <c r="BL9" i="29" s="1"/>
  <c r="BF30" i="29"/>
  <c r="AR30" i="29"/>
  <c r="BI30" i="29" s="1"/>
  <c r="AS30" i="29"/>
  <c r="BJ30" i="29" s="1"/>
  <c r="AT30" i="29"/>
  <c r="BK30" i="29" s="1"/>
  <c r="AU30" i="29"/>
  <c r="BL30" i="29" s="1"/>
  <c r="AQ30" i="29"/>
  <c r="X30" i="29"/>
  <c r="AE30" i="29" s="1"/>
  <c r="AF30" i="29" s="1"/>
  <c r="BF32" i="27"/>
  <c r="AT32" i="27"/>
  <c r="BK32" i="27" s="1"/>
  <c r="AQ32" i="27"/>
  <c r="AS32" i="27"/>
  <c r="BJ32" i="27" s="1"/>
  <c r="AR32" i="27"/>
  <c r="BI32" i="27" s="1"/>
  <c r="AU32" i="27"/>
  <c r="BL32" i="27" s="1"/>
  <c r="X32" i="27"/>
  <c r="AC32" i="27" s="1"/>
  <c r="AD32" i="27" s="1"/>
  <c r="AE32" i="27"/>
  <c r="AF32" i="27" s="1"/>
  <c r="BF16" i="27"/>
  <c r="AT16" i="27"/>
  <c r="BK16" i="27" s="1"/>
  <c r="AQ16" i="27"/>
  <c r="AS16" i="27"/>
  <c r="BJ16" i="27" s="1"/>
  <c r="AR16" i="27"/>
  <c r="BI16" i="27" s="1"/>
  <c r="X16" i="27"/>
  <c r="AC16" i="27" s="1"/>
  <c r="AD16" i="27" s="1"/>
  <c r="AU16" i="27"/>
  <c r="BL16" i="27" s="1"/>
  <c r="BF25" i="27"/>
  <c r="AT25" i="27"/>
  <c r="BK25" i="27" s="1"/>
  <c r="AQ25" i="27"/>
  <c r="AR25" i="27"/>
  <c r="BI25" i="27" s="1"/>
  <c r="AS25" i="27"/>
  <c r="BJ25" i="27" s="1"/>
  <c r="AU25" i="27"/>
  <c r="BL25" i="27" s="1"/>
  <c r="X25" i="27"/>
  <c r="AE25" i="27" s="1"/>
  <c r="AF25" i="27" s="1"/>
  <c r="BF24" i="27"/>
  <c r="AT24" i="27"/>
  <c r="BK24" i="27" s="1"/>
  <c r="AQ24" i="27"/>
  <c r="AR24" i="27"/>
  <c r="BI24" i="27" s="1"/>
  <c r="AS24" i="27"/>
  <c r="BJ24" i="27" s="1"/>
  <c r="X24" i="27"/>
  <c r="AC24" i="27" s="1"/>
  <c r="AD24" i="27" s="1"/>
  <c r="AU24" i="27"/>
  <c r="BL24" i="27" s="1"/>
  <c r="AE24" i="27"/>
  <c r="AF24" i="27" s="1"/>
  <c r="BF47" i="27"/>
  <c r="AT47" i="27"/>
  <c r="BK47" i="27" s="1"/>
  <c r="AQ47" i="27"/>
  <c r="AU47" i="27"/>
  <c r="BL47" i="27" s="1"/>
  <c r="AS47" i="27"/>
  <c r="BJ47" i="27" s="1"/>
  <c r="AR47" i="27"/>
  <c r="BI47" i="27" s="1"/>
  <c r="X47" i="27"/>
  <c r="AC47" i="27" s="1"/>
  <c r="AD47" i="27" s="1"/>
  <c r="BF32" i="29"/>
  <c r="AR32" i="29"/>
  <c r="BI32" i="29" s="1"/>
  <c r="AT32" i="29"/>
  <c r="BK32" i="29" s="1"/>
  <c r="AS32" i="29"/>
  <c r="BJ32" i="29" s="1"/>
  <c r="AQ32" i="29"/>
  <c r="X32" i="29"/>
  <c r="AC32" i="29" s="1"/>
  <c r="AD32" i="29" s="1"/>
  <c r="AU32" i="29"/>
  <c r="BL32" i="29" s="1"/>
  <c r="AT16" i="29"/>
  <c r="BK16" i="29" s="1"/>
  <c r="BF16" i="29"/>
  <c r="AS16" i="29"/>
  <c r="BJ16" i="29" s="1"/>
  <c r="AR16" i="29"/>
  <c r="BI16" i="29" s="1"/>
  <c r="AQ16" i="29"/>
  <c r="AU16" i="29"/>
  <c r="BL16" i="29" s="1"/>
  <c r="X16" i="29"/>
  <c r="AE16" i="29" s="1"/>
  <c r="AF16" i="29" s="1"/>
  <c r="BF25" i="29"/>
  <c r="AT25" i="29"/>
  <c r="BK25" i="29" s="1"/>
  <c r="AR25" i="29"/>
  <c r="BI25" i="29" s="1"/>
  <c r="AS25" i="29"/>
  <c r="BJ25" i="29" s="1"/>
  <c r="X25" i="29"/>
  <c r="AC25" i="29" s="1"/>
  <c r="AD25" i="29" s="1"/>
  <c r="AQ25" i="29"/>
  <c r="AU25" i="29"/>
  <c r="BL25" i="29" s="1"/>
  <c r="BF24" i="29"/>
  <c r="AS24" i="29"/>
  <c r="BJ24" i="29" s="1"/>
  <c r="AT24" i="29"/>
  <c r="BK24" i="29" s="1"/>
  <c r="AR24" i="29"/>
  <c r="BI24" i="29" s="1"/>
  <c r="AU24" i="29"/>
  <c r="BL24" i="29" s="1"/>
  <c r="AQ24" i="29"/>
  <c r="X24" i="29"/>
  <c r="AC24" i="29" s="1"/>
  <c r="AD24" i="29" s="1"/>
  <c r="AE24" i="29"/>
  <c r="AF24" i="29" s="1"/>
  <c r="BF18" i="27"/>
  <c r="AT18" i="27"/>
  <c r="BK18" i="27" s="1"/>
  <c r="AQ18" i="27"/>
  <c r="AR18" i="27"/>
  <c r="BI18" i="27" s="1"/>
  <c r="AS18" i="27"/>
  <c r="BJ18" i="27" s="1"/>
  <c r="X18" i="27"/>
  <c r="AC18" i="27" s="1"/>
  <c r="AD18" i="27" s="1"/>
  <c r="AU18" i="27"/>
  <c r="BL18" i="27" s="1"/>
  <c r="BF45" i="27"/>
  <c r="AT45" i="27"/>
  <c r="BK45" i="27" s="1"/>
  <c r="AQ45" i="27"/>
  <c r="AR45" i="27"/>
  <c r="BI45" i="27" s="1"/>
  <c r="X45" i="27"/>
  <c r="AC45" i="27" s="1"/>
  <c r="AD45" i="27" s="1"/>
  <c r="AS45" i="27"/>
  <c r="BJ45" i="27" s="1"/>
  <c r="AU45" i="27"/>
  <c r="BL45" i="27" s="1"/>
  <c r="BF38" i="27"/>
  <c r="AT38" i="27"/>
  <c r="BK38" i="27" s="1"/>
  <c r="AQ38" i="27"/>
  <c r="AU38" i="27"/>
  <c r="BL38" i="27" s="1"/>
  <c r="X38" i="27"/>
  <c r="AS38" i="27"/>
  <c r="BJ38" i="27" s="1"/>
  <c r="AR38" i="27"/>
  <c r="BI38" i="27" s="1"/>
  <c r="AC38" i="27"/>
  <c r="AD38" i="27" s="1"/>
  <c r="AT28" i="27"/>
  <c r="BK28" i="27" s="1"/>
  <c r="AQ28" i="27"/>
  <c r="BF28" i="27"/>
  <c r="AS28" i="27"/>
  <c r="BJ28" i="27" s="1"/>
  <c r="AR28" i="27"/>
  <c r="BI28" i="27" s="1"/>
  <c r="AU28" i="27"/>
  <c r="BL28" i="27" s="1"/>
  <c r="X28" i="27"/>
  <c r="AE28" i="27" s="1"/>
  <c r="AF28" i="27" s="1"/>
  <c r="BF44" i="27"/>
  <c r="AT44" i="27"/>
  <c r="BK44" i="27" s="1"/>
  <c r="AQ44" i="27"/>
  <c r="AS44" i="27"/>
  <c r="BJ44" i="27" s="1"/>
  <c r="AR44" i="27"/>
  <c r="BI44" i="27" s="1"/>
  <c r="AU44" i="27"/>
  <c r="BL44" i="27" s="1"/>
  <c r="X44" i="27"/>
  <c r="AE44" i="27"/>
  <c r="AF44" i="27" s="1"/>
  <c r="AC44" i="27"/>
  <c r="AD44" i="27" s="1"/>
  <c r="AE11" i="27"/>
  <c r="AF11" i="27" s="1"/>
  <c r="AT18" i="29"/>
  <c r="BK18" i="29" s="1"/>
  <c r="BF18" i="29"/>
  <c r="AR18" i="29"/>
  <c r="BI18" i="29" s="1"/>
  <c r="AS18" i="29"/>
  <c r="BJ18" i="29" s="1"/>
  <c r="AQ18" i="29"/>
  <c r="X18" i="29"/>
  <c r="AC18" i="29" s="1"/>
  <c r="AD18" i="29" s="1"/>
  <c r="AU18" i="29"/>
  <c r="BL18" i="29" s="1"/>
  <c r="BF45" i="29"/>
  <c r="AS45" i="29"/>
  <c r="BJ45" i="29" s="1"/>
  <c r="AT45" i="29"/>
  <c r="BK45" i="29" s="1"/>
  <c r="AR45" i="29"/>
  <c r="BI45" i="29" s="1"/>
  <c r="AU45" i="29"/>
  <c r="BL45" i="29" s="1"/>
  <c r="X45" i="29"/>
  <c r="AC45" i="29" s="1"/>
  <c r="AD45" i="29" s="1"/>
  <c r="AQ45" i="29"/>
  <c r="AT38" i="29"/>
  <c r="BK38" i="29" s="1"/>
  <c r="AS38" i="29"/>
  <c r="BJ38" i="29" s="1"/>
  <c r="BF38" i="29"/>
  <c r="AR38" i="29"/>
  <c r="BI38" i="29" s="1"/>
  <c r="AQ38" i="29"/>
  <c r="X38" i="29"/>
  <c r="AC38" i="29" s="1"/>
  <c r="AD38" i="29" s="1"/>
  <c r="AU38" i="29"/>
  <c r="BL38" i="29" s="1"/>
  <c r="AE38" i="29"/>
  <c r="AF38" i="29" s="1"/>
  <c r="BF28" i="29"/>
  <c r="AT28" i="29"/>
  <c r="BK28" i="29" s="1"/>
  <c r="AS28" i="29"/>
  <c r="BJ28" i="29" s="1"/>
  <c r="AR28" i="29"/>
  <c r="BI28" i="29" s="1"/>
  <c r="X28" i="29"/>
  <c r="AC28" i="29" s="1"/>
  <c r="AD28" i="29" s="1"/>
  <c r="AQ28" i="29"/>
  <c r="AU28" i="29"/>
  <c r="BL28" i="29" s="1"/>
  <c r="BG11" i="29"/>
  <c r="AV11" i="29"/>
  <c r="BF49" i="27"/>
  <c r="AT49" i="27"/>
  <c r="BK49" i="27" s="1"/>
  <c r="AQ49" i="27"/>
  <c r="AS49" i="27"/>
  <c r="BJ49" i="27" s="1"/>
  <c r="AR49" i="27"/>
  <c r="BI49" i="27" s="1"/>
  <c r="X49" i="27"/>
  <c r="AC49" i="27" s="1"/>
  <c r="AD49" i="27" s="1"/>
  <c r="AU49" i="27"/>
  <c r="BL49" i="27" s="1"/>
  <c r="BF39" i="27"/>
  <c r="AQ39" i="27"/>
  <c r="AT39" i="27"/>
  <c r="BK39" i="27" s="1"/>
  <c r="AS39" i="27"/>
  <c r="BJ39" i="27" s="1"/>
  <c r="AR39" i="27"/>
  <c r="BI39" i="27" s="1"/>
  <c r="X39" i="27"/>
  <c r="AU39" i="27"/>
  <c r="BL39" i="27" s="1"/>
  <c r="AC39" i="27"/>
  <c r="AD39" i="27" s="1"/>
  <c r="AT33" i="27"/>
  <c r="BK33" i="27" s="1"/>
  <c r="BF33" i="27"/>
  <c r="AQ33" i="27"/>
  <c r="AU33" i="27"/>
  <c r="BL33" i="27" s="1"/>
  <c r="X33" i="27"/>
  <c r="AE33" i="27" s="1"/>
  <c r="AF33" i="27" s="1"/>
  <c r="AR33" i="27"/>
  <c r="BI33" i="27" s="1"/>
  <c r="AS33" i="27"/>
  <c r="BJ33" i="27" s="1"/>
  <c r="AQ10" i="27"/>
  <c r="BF10" i="27"/>
  <c r="AT10" i="27"/>
  <c r="BK10" i="27" s="1"/>
  <c r="AS10" i="27"/>
  <c r="BJ10" i="27" s="1"/>
  <c r="X10" i="27"/>
  <c r="AC10" i="27" s="1"/>
  <c r="AD10" i="27" s="1"/>
  <c r="AR10" i="27"/>
  <c r="BI10" i="27" s="1"/>
  <c r="AU10" i="27"/>
  <c r="BL10" i="27" s="1"/>
  <c r="BF48" i="27"/>
  <c r="AT48" i="27"/>
  <c r="BK48" i="27" s="1"/>
  <c r="AQ48" i="27"/>
  <c r="AS48" i="27"/>
  <c r="BJ48" i="27" s="1"/>
  <c r="AR48" i="27"/>
  <c r="BI48" i="27" s="1"/>
  <c r="AU48" i="27"/>
  <c r="BL48" i="27" s="1"/>
  <c r="X48" i="27"/>
  <c r="AE48" i="27" s="1"/>
  <c r="AF48" i="27" s="1"/>
  <c r="BF49" i="29"/>
  <c r="AT49" i="29"/>
  <c r="BK49" i="29" s="1"/>
  <c r="AS49" i="29"/>
  <c r="BJ49" i="29" s="1"/>
  <c r="AR49" i="29"/>
  <c r="BI49" i="29" s="1"/>
  <c r="AU49" i="29"/>
  <c r="BL49" i="29" s="1"/>
  <c r="X49" i="29"/>
  <c r="AE49" i="29" s="1"/>
  <c r="AF49" i="29" s="1"/>
  <c r="AQ49" i="29"/>
  <c r="AT39" i="29"/>
  <c r="BK39" i="29" s="1"/>
  <c r="AS39" i="29"/>
  <c r="BJ39" i="29" s="1"/>
  <c r="BF39" i="29"/>
  <c r="AR39" i="29"/>
  <c r="BI39" i="29" s="1"/>
  <c r="AQ39" i="29"/>
  <c r="AU39" i="29"/>
  <c r="BL39" i="29" s="1"/>
  <c r="X39" i="29"/>
  <c r="AE39" i="29" s="1"/>
  <c r="AF39" i="29" s="1"/>
  <c r="BF33" i="29"/>
  <c r="AT33" i="29"/>
  <c r="BK33" i="29" s="1"/>
  <c r="AS33" i="29"/>
  <c r="BJ33" i="29" s="1"/>
  <c r="AR33" i="29"/>
  <c r="BI33" i="29" s="1"/>
  <c r="AQ33" i="29"/>
  <c r="X33" i="29"/>
  <c r="AU33" i="29"/>
  <c r="BL33" i="29" s="1"/>
  <c r="AR10" i="29"/>
  <c r="BI10" i="29" s="1"/>
  <c r="BF10" i="29"/>
  <c r="AS10" i="29"/>
  <c r="BJ10" i="29" s="1"/>
  <c r="AT10" i="29"/>
  <c r="BK10" i="29" s="1"/>
  <c r="AU10" i="29"/>
  <c r="BL10" i="29" s="1"/>
  <c r="AQ10" i="29"/>
  <c r="X10" i="29"/>
  <c r="AE10" i="29" s="1"/>
  <c r="AF10" i="29" s="1"/>
  <c r="BZ6" i="1"/>
  <c r="BY6" i="1"/>
  <c r="BV6" i="1"/>
  <c r="CA6" i="1"/>
  <c r="BX6" i="1"/>
  <c r="AN7" i="1"/>
  <c r="AO17" i="9"/>
  <c r="BC29" i="9"/>
  <c r="BD29" i="9" s="1"/>
  <c r="AV11" i="9"/>
  <c r="BC19" i="9"/>
  <c r="BD19" i="9" s="1"/>
  <c r="AT28" i="9"/>
  <c r="BK28" i="9" s="1"/>
  <c r="AQ28" i="9"/>
  <c r="BF28" i="9"/>
  <c r="AS28" i="9"/>
  <c r="BJ28" i="9" s="1"/>
  <c r="AR28" i="9"/>
  <c r="BI28" i="9" s="1"/>
  <c r="AU28" i="9"/>
  <c r="BL28" i="9" s="1"/>
  <c r="X28" i="9"/>
  <c r="AT46" i="9"/>
  <c r="BK46" i="9" s="1"/>
  <c r="BF46" i="9"/>
  <c r="AQ46" i="9"/>
  <c r="AR46" i="9"/>
  <c r="BI46" i="9" s="1"/>
  <c r="AS46" i="9"/>
  <c r="BJ46" i="9" s="1"/>
  <c r="X46" i="9"/>
  <c r="AU46" i="9"/>
  <c r="BL46" i="9" s="1"/>
  <c r="AQ33" i="9"/>
  <c r="BF33" i="9"/>
  <c r="AT33" i="9"/>
  <c r="BK33" i="9" s="1"/>
  <c r="AR33" i="9"/>
  <c r="BI33" i="9" s="1"/>
  <c r="AS33" i="9"/>
  <c r="BJ33" i="9" s="1"/>
  <c r="X33" i="9"/>
  <c r="AU33" i="9"/>
  <c r="BL33" i="9" s="1"/>
  <c r="AN34" i="1"/>
  <c r="AT36" i="9"/>
  <c r="BK36" i="9" s="1"/>
  <c r="BF36" i="9"/>
  <c r="AQ36" i="9"/>
  <c r="AS36" i="9"/>
  <c r="BJ36" i="9" s="1"/>
  <c r="AR36" i="9"/>
  <c r="BI36" i="9" s="1"/>
  <c r="AU36" i="9"/>
  <c r="BL36" i="9" s="1"/>
  <c r="X36" i="9"/>
  <c r="BF47" i="9"/>
  <c r="AT47" i="9"/>
  <c r="BK47" i="9" s="1"/>
  <c r="AQ47" i="9"/>
  <c r="AR47" i="9"/>
  <c r="BI47" i="9" s="1"/>
  <c r="AS47" i="9"/>
  <c r="BJ47" i="9" s="1"/>
  <c r="AU47" i="9"/>
  <c r="BL47" i="9" s="1"/>
  <c r="X47" i="9"/>
  <c r="AQ48" i="9"/>
  <c r="BF48" i="9"/>
  <c r="AT48" i="9"/>
  <c r="BK48" i="9" s="1"/>
  <c r="AR48" i="9"/>
  <c r="BI48" i="9" s="1"/>
  <c r="X48" i="9"/>
  <c r="AE48" i="9" s="1"/>
  <c r="AS48" i="9"/>
  <c r="BJ48" i="9" s="1"/>
  <c r="AU48" i="9"/>
  <c r="BL48" i="9" s="1"/>
  <c r="BF8" i="9"/>
  <c r="AT8" i="9"/>
  <c r="BK8" i="9" s="1"/>
  <c r="AQ8" i="9"/>
  <c r="AS8" i="9"/>
  <c r="BJ8" i="9" s="1"/>
  <c r="AR8" i="9"/>
  <c r="BI8" i="9" s="1"/>
  <c r="X8" i="9"/>
  <c r="AU8" i="9"/>
  <c r="BL8" i="9" s="1"/>
  <c r="AQ23" i="9"/>
  <c r="AT23" i="9"/>
  <c r="BK23" i="9" s="1"/>
  <c r="BF23" i="9"/>
  <c r="AS23" i="9"/>
  <c r="BJ23" i="9" s="1"/>
  <c r="AR23" i="9"/>
  <c r="BI23" i="9" s="1"/>
  <c r="AU23" i="9"/>
  <c r="BL23" i="9" s="1"/>
  <c r="X23" i="9"/>
  <c r="AC23" i="9" s="1"/>
  <c r="AT26" i="9"/>
  <c r="BK26" i="9" s="1"/>
  <c r="AQ26" i="9"/>
  <c r="BG26" i="9" s="1"/>
  <c r="BF26" i="9"/>
  <c r="AS26" i="9"/>
  <c r="BJ26" i="9" s="1"/>
  <c r="AR26" i="9"/>
  <c r="BI26" i="9" s="1"/>
  <c r="X26" i="9"/>
  <c r="AE26" i="9" s="1"/>
  <c r="AU26" i="9"/>
  <c r="BL26" i="9" s="1"/>
  <c r="AT20" i="9"/>
  <c r="BK20" i="9" s="1"/>
  <c r="BF20" i="9"/>
  <c r="AQ20" i="9"/>
  <c r="AU20" i="9"/>
  <c r="BL20" i="9" s="1"/>
  <c r="AR20" i="9"/>
  <c r="BI20" i="9" s="1"/>
  <c r="AS20" i="9"/>
  <c r="BJ20" i="9" s="1"/>
  <c r="X20" i="9"/>
  <c r="AQ12" i="9"/>
  <c r="AT12" i="9"/>
  <c r="BK12" i="9" s="1"/>
  <c r="BF12" i="9"/>
  <c r="AS12" i="9"/>
  <c r="BJ12" i="9" s="1"/>
  <c r="AR12" i="9"/>
  <c r="BI12" i="9" s="1"/>
  <c r="AU12" i="9"/>
  <c r="BL12" i="9" s="1"/>
  <c r="X12" i="9"/>
  <c r="AT35" i="9"/>
  <c r="BK35" i="9" s="1"/>
  <c r="BF35" i="9"/>
  <c r="AQ35" i="9"/>
  <c r="AR35" i="9"/>
  <c r="BI35" i="9" s="1"/>
  <c r="AS35" i="9"/>
  <c r="BJ35" i="9" s="1"/>
  <c r="X35" i="9"/>
  <c r="AC35" i="9" s="1"/>
  <c r="AU35" i="9"/>
  <c r="BL35" i="9" s="1"/>
  <c r="AN37" i="1"/>
  <c r="AN23" i="1"/>
  <c r="AQ45" i="9"/>
  <c r="BF45" i="9"/>
  <c r="AT45" i="9"/>
  <c r="BK45" i="9" s="1"/>
  <c r="AS45" i="9"/>
  <c r="BJ45" i="9" s="1"/>
  <c r="AR45" i="9"/>
  <c r="BI45" i="9" s="1"/>
  <c r="X45" i="9"/>
  <c r="AE45" i="9" s="1"/>
  <c r="AU45" i="9"/>
  <c r="BL45" i="9" s="1"/>
  <c r="BF43" i="9"/>
  <c r="AT43" i="9"/>
  <c r="BK43" i="9" s="1"/>
  <c r="AQ43" i="9"/>
  <c r="AS43" i="9"/>
  <c r="BJ43" i="9" s="1"/>
  <c r="AR43" i="9"/>
  <c r="BI43" i="9" s="1"/>
  <c r="X43" i="9"/>
  <c r="AE43" i="9" s="1"/>
  <c r="AU43" i="9"/>
  <c r="BL43" i="9" s="1"/>
  <c r="AT15" i="9"/>
  <c r="BK15" i="9" s="1"/>
  <c r="AQ15" i="9"/>
  <c r="BF15" i="9"/>
  <c r="AR15" i="9"/>
  <c r="BI15" i="9" s="1"/>
  <c r="AU15" i="9"/>
  <c r="BL15" i="9" s="1"/>
  <c r="X15" i="9"/>
  <c r="AS15" i="9"/>
  <c r="BJ15" i="9" s="1"/>
  <c r="AQ6" i="9"/>
  <c r="AT6" i="9"/>
  <c r="BK6" i="9" s="1"/>
  <c r="BF6" i="9"/>
  <c r="AS6" i="9"/>
  <c r="BJ6" i="9" s="1"/>
  <c r="AR6" i="9"/>
  <c r="BI6" i="9" s="1"/>
  <c r="AU6" i="9"/>
  <c r="BL6" i="9" s="1"/>
  <c r="X6" i="9"/>
  <c r="AE6" i="9" s="1"/>
  <c r="AQ42" i="9"/>
  <c r="BF42" i="9"/>
  <c r="AT42" i="9"/>
  <c r="BK42" i="9" s="1"/>
  <c r="AR42" i="9"/>
  <c r="BI42" i="9" s="1"/>
  <c r="AS42" i="9"/>
  <c r="BJ42" i="9" s="1"/>
  <c r="X42" i="9"/>
  <c r="AE42" i="9" s="1"/>
  <c r="AU42" i="9"/>
  <c r="BL42" i="9" s="1"/>
  <c r="AT41" i="9"/>
  <c r="BK41" i="9" s="1"/>
  <c r="AQ41" i="9"/>
  <c r="BF41" i="9"/>
  <c r="AS41" i="9"/>
  <c r="BJ41" i="9" s="1"/>
  <c r="AR41" i="9"/>
  <c r="BI41" i="9" s="1"/>
  <c r="AU41" i="9"/>
  <c r="BL41" i="9" s="1"/>
  <c r="X41" i="9"/>
  <c r="Y41" i="9" s="1"/>
  <c r="BH41" i="9" s="1"/>
  <c r="AT37" i="9"/>
  <c r="BK37" i="9" s="1"/>
  <c r="AQ37" i="9"/>
  <c r="BF37" i="9"/>
  <c r="AR37" i="9"/>
  <c r="BI37" i="9" s="1"/>
  <c r="AS37" i="9"/>
  <c r="BJ37" i="9" s="1"/>
  <c r="X37" i="9"/>
  <c r="AU37" i="9"/>
  <c r="BL37" i="9" s="1"/>
  <c r="AQ39" i="9"/>
  <c r="BF39" i="9"/>
  <c r="AT39" i="9"/>
  <c r="BK39" i="9" s="1"/>
  <c r="AS39" i="9"/>
  <c r="BJ39" i="9" s="1"/>
  <c r="AR39" i="9"/>
  <c r="BI39" i="9" s="1"/>
  <c r="X39" i="9"/>
  <c r="AU39" i="9"/>
  <c r="BL39" i="9" s="1"/>
  <c r="AT19" i="9"/>
  <c r="BK19" i="9" s="1"/>
  <c r="AQ19" i="9"/>
  <c r="BF19" i="9"/>
  <c r="AS19" i="9"/>
  <c r="BJ19" i="9" s="1"/>
  <c r="AR19" i="9"/>
  <c r="BI19" i="9" s="1"/>
  <c r="X19" i="9"/>
  <c r="AU19" i="9"/>
  <c r="BL19" i="9" s="1"/>
  <c r="BF14" i="9"/>
  <c r="AT14" i="9"/>
  <c r="BK14" i="9" s="1"/>
  <c r="AQ14" i="9"/>
  <c r="AR14" i="9"/>
  <c r="BI14" i="9" s="1"/>
  <c r="AS14" i="9"/>
  <c r="BJ14" i="9" s="1"/>
  <c r="AU14" i="9"/>
  <c r="BL14" i="9" s="1"/>
  <c r="X14" i="9"/>
  <c r="AT31" i="9"/>
  <c r="BK31" i="9" s="1"/>
  <c r="BF31" i="9"/>
  <c r="AQ31" i="9"/>
  <c r="AS31" i="9"/>
  <c r="BJ31" i="9" s="1"/>
  <c r="AR31" i="9"/>
  <c r="BI31" i="9" s="1"/>
  <c r="AU31" i="9"/>
  <c r="BL31" i="9" s="1"/>
  <c r="X31" i="9"/>
  <c r="AE31" i="9" s="1"/>
  <c r="BF7" i="9"/>
  <c r="AT7" i="9"/>
  <c r="BK7" i="9" s="1"/>
  <c r="AQ7" i="9"/>
  <c r="AS7" i="9"/>
  <c r="BJ7" i="9" s="1"/>
  <c r="AR7" i="9"/>
  <c r="BI7" i="9" s="1"/>
  <c r="X7" i="9"/>
  <c r="AU7" i="9"/>
  <c r="BL7" i="9" s="1"/>
  <c r="BF16" i="9"/>
  <c r="AQ16" i="9"/>
  <c r="AT16" i="9"/>
  <c r="BK16" i="9" s="1"/>
  <c r="AU16" i="9"/>
  <c r="BL16" i="9" s="1"/>
  <c r="X16" i="9"/>
  <c r="AE16" i="9" s="1"/>
  <c r="AS16" i="9"/>
  <c r="BJ16" i="9" s="1"/>
  <c r="AR16" i="9"/>
  <c r="BI16" i="9" s="1"/>
  <c r="BF9" i="9"/>
  <c r="AT9" i="9"/>
  <c r="BK9" i="9" s="1"/>
  <c r="AQ9" i="9"/>
  <c r="AR9" i="9"/>
  <c r="BI9" i="9" s="1"/>
  <c r="AS9" i="9"/>
  <c r="BJ9" i="9" s="1"/>
  <c r="AU9" i="9"/>
  <c r="BL9" i="9" s="1"/>
  <c r="X9" i="9"/>
  <c r="AQ30" i="9"/>
  <c r="BF30" i="9"/>
  <c r="AT30" i="9"/>
  <c r="BK30" i="9" s="1"/>
  <c r="AR30" i="9"/>
  <c r="BI30" i="9" s="1"/>
  <c r="AS30" i="9"/>
  <c r="BJ30" i="9" s="1"/>
  <c r="AU30" i="9"/>
  <c r="BL30" i="9" s="1"/>
  <c r="X30" i="9"/>
  <c r="BF10" i="9"/>
  <c r="AQ10" i="9"/>
  <c r="AT10" i="9"/>
  <c r="BK10" i="9" s="1"/>
  <c r="AS10" i="9"/>
  <c r="BJ10" i="9" s="1"/>
  <c r="AR10" i="9"/>
  <c r="BI10" i="9" s="1"/>
  <c r="AU10" i="9"/>
  <c r="BL10" i="9" s="1"/>
  <c r="X10" i="9"/>
  <c r="BF17" i="9"/>
  <c r="AQ17" i="9"/>
  <c r="BG17" i="9" s="1"/>
  <c r="AT17" i="9"/>
  <c r="BK17" i="9" s="1"/>
  <c r="AR17" i="9"/>
  <c r="BI17" i="9" s="1"/>
  <c r="AS17" i="9"/>
  <c r="BJ17" i="9" s="1"/>
  <c r="X17" i="9"/>
  <c r="AU17" i="9"/>
  <c r="BL17" i="9" s="1"/>
  <c r="BF32" i="9"/>
  <c r="AQ32" i="9"/>
  <c r="AT32" i="9"/>
  <c r="BK32" i="9" s="1"/>
  <c r="AS32" i="9"/>
  <c r="BJ32" i="9" s="1"/>
  <c r="AR32" i="9"/>
  <c r="BI32" i="9" s="1"/>
  <c r="AU32" i="9"/>
  <c r="BL32" i="9" s="1"/>
  <c r="X32" i="9"/>
  <c r="AT27" i="9"/>
  <c r="BK27" i="9" s="1"/>
  <c r="BF27" i="9"/>
  <c r="AQ27" i="9"/>
  <c r="AS27" i="9"/>
  <c r="BJ27" i="9" s="1"/>
  <c r="AR27" i="9"/>
  <c r="BI27" i="9" s="1"/>
  <c r="AU27" i="9"/>
  <c r="BL27" i="9" s="1"/>
  <c r="X27" i="9"/>
  <c r="BF24" i="9"/>
  <c r="AT24" i="9"/>
  <c r="BK24" i="9" s="1"/>
  <c r="AQ24" i="9"/>
  <c r="AR24" i="9"/>
  <c r="BI24" i="9" s="1"/>
  <c r="AS24" i="9"/>
  <c r="BJ24" i="9" s="1"/>
  <c r="X24" i="9"/>
  <c r="AU24" i="9"/>
  <c r="BL24" i="9" s="1"/>
  <c r="BF22" i="9"/>
  <c r="AQ22" i="9"/>
  <c r="AT22" i="9"/>
  <c r="BK22" i="9" s="1"/>
  <c r="AR22" i="9"/>
  <c r="BI22" i="9" s="1"/>
  <c r="AU22" i="9"/>
  <c r="BL22" i="9" s="1"/>
  <c r="AS22" i="9"/>
  <c r="BJ22" i="9" s="1"/>
  <c r="X22" i="9"/>
  <c r="AQ29" i="9"/>
  <c r="AT29" i="9"/>
  <c r="BK29" i="9" s="1"/>
  <c r="BF29" i="9"/>
  <c r="AS29" i="9"/>
  <c r="BJ29" i="9" s="1"/>
  <c r="AR29" i="9"/>
  <c r="BI29" i="9" s="1"/>
  <c r="X29" i="9"/>
  <c r="AE29" i="9" s="1"/>
  <c r="AU29" i="9"/>
  <c r="BL29" i="9" s="1"/>
  <c r="BF49" i="9"/>
  <c r="AQ49" i="9"/>
  <c r="AT49" i="9"/>
  <c r="BK49" i="9" s="1"/>
  <c r="AR49" i="9"/>
  <c r="BI49" i="9" s="1"/>
  <c r="AS49" i="9"/>
  <c r="BJ49" i="9" s="1"/>
  <c r="X49" i="9"/>
  <c r="AC49" i="9" s="1"/>
  <c r="AU49" i="9"/>
  <c r="BL49" i="9" s="1"/>
  <c r="BF21" i="9"/>
  <c r="AQ21" i="9"/>
  <c r="AT21" i="9"/>
  <c r="BK21" i="9" s="1"/>
  <c r="AR21" i="9"/>
  <c r="BI21" i="9" s="1"/>
  <c r="AS21" i="9"/>
  <c r="BJ21" i="9" s="1"/>
  <c r="AU21" i="9"/>
  <c r="BL21" i="9" s="1"/>
  <c r="X21" i="9"/>
  <c r="BF25" i="9"/>
  <c r="AQ25" i="9"/>
  <c r="AT25" i="9"/>
  <c r="BK25" i="9" s="1"/>
  <c r="AR25" i="9"/>
  <c r="BI25" i="9" s="1"/>
  <c r="AS25" i="9"/>
  <c r="BJ25" i="9" s="1"/>
  <c r="AU25" i="9"/>
  <c r="BL25" i="9" s="1"/>
  <c r="X25" i="9"/>
  <c r="Y25" i="9" s="1"/>
  <c r="BH25" i="9" s="1"/>
  <c r="AQ40" i="9"/>
  <c r="BF40" i="9"/>
  <c r="AT40" i="9"/>
  <c r="BK40" i="9" s="1"/>
  <c r="AR40" i="9"/>
  <c r="BI40" i="9" s="1"/>
  <c r="AS40" i="9"/>
  <c r="BJ40" i="9" s="1"/>
  <c r="X40" i="9"/>
  <c r="AE40" i="9" s="1"/>
  <c r="AU40" i="9"/>
  <c r="BL40" i="9" s="1"/>
  <c r="AN8" i="1"/>
  <c r="BF13" i="9"/>
  <c r="AT13" i="9"/>
  <c r="BK13" i="9" s="1"/>
  <c r="AQ13" i="9"/>
  <c r="AS13" i="9"/>
  <c r="BJ13" i="9" s="1"/>
  <c r="AR13" i="9"/>
  <c r="BI13" i="9" s="1"/>
  <c r="AU13" i="9"/>
  <c r="BL13" i="9" s="1"/>
  <c r="X13" i="9"/>
  <c r="BF38" i="9"/>
  <c r="AQ38" i="9"/>
  <c r="AT38" i="9"/>
  <c r="BK38" i="9" s="1"/>
  <c r="AS38" i="9"/>
  <c r="BJ38" i="9" s="1"/>
  <c r="AR38" i="9"/>
  <c r="BI38" i="9" s="1"/>
  <c r="AU38" i="9"/>
  <c r="BL38" i="9" s="1"/>
  <c r="X38" i="9"/>
  <c r="BF18" i="9"/>
  <c r="AQ18" i="9"/>
  <c r="BG18" i="9" s="1"/>
  <c r="AT18" i="9"/>
  <c r="BK18" i="9" s="1"/>
  <c r="AR18" i="9"/>
  <c r="BI18" i="9" s="1"/>
  <c r="AS18" i="9"/>
  <c r="BJ18" i="9" s="1"/>
  <c r="AU18" i="9"/>
  <c r="BL18" i="9" s="1"/>
  <c r="X18" i="9"/>
  <c r="AT44" i="9"/>
  <c r="BK44" i="9" s="1"/>
  <c r="BF44" i="9"/>
  <c r="AQ44" i="9"/>
  <c r="AR44" i="9"/>
  <c r="BI44" i="9" s="1"/>
  <c r="AU44" i="9"/>
  <c r="BL44" i="9" s="1"/>
  <c r="AS44" i="9"/>
  <c r="BJ44" i="9" s="1"/>
  <c r="X44" i="9"/>
  <c r="AT34" i="9"/>
  <c r="BK34" i="9" s="1"/>
  <c r="AQ34" i="9"/>
  <c r="BF34" i="9"/>
  <c r="AR34" i="9"/>
  <c r="BI34" i="9" s="1"/>
  <c r="AS34" i="9"/>
  <c r="BJ34" i="9" s="1"/>
  <c r="X34" i="9"/>
  <c r="AU34" i="9"/>
  <c r="BL34" i="9" s="1"/>
  <c r="AN35" i="1"/>
  <c r="AN27" i="1"/>
  <c r="AN30" i="1"/>
  <c r="AN38" i="1"/>
  <c r="AN13" i="1"/>
  <c r="AN47" i="1"/>
  <c r="BW17" i="1"/>
  <c r="AN17" i="1"/>
  <c r="AN14" i="1"/>
  <c r="BW46" i="1"/>
  <c r="CB46" i="1" s="1"/>
  <c r="CD46" i="1" s="1"/>
  <c r="CE46" i="1" s="1"/>
  <c r="AN46" i="1"/>
  <c r="AN22" i="1"/>
  <c r="BW31" i="1"/>
  <c r="CB31" i="1" s="1"/>
  <c r="CD31" i="1" s="1"/>
  <c r="CE31" i="1" s="1"/>
  <c r="AN31" i="1"/>
  <c r="AN40" i="1"/>
  <c r="AN16" i="1"/>
  <c r="AN42" i="1"/>
  <c r="AN32" i="1"/>
  <c r="BW44" i="1"/>
  <c r="CB44" i="1" s="1"/>
  <c r="CD44" i="1" s="1"/>
  <c r="CE44" i="1" s="1"/>
  <c r="AN44" i="1"/>
  <c r="AN28" i="1"/>
  <c r="AN9" i="1"/>
  <c r="AN15" i="1"/>
  <c r="BW45" i="1"/>
  <c r="CB45" i="1" s="1"/>
  <c r="CD45" i="1" s="1"/>
  <c r="CE45" i="1" s="1"/>
  <c r="AN45" i="1"/>
  <c r="AN21" i="1"/>
  <c r="BW12" i="1"/>
  <c r="AN12" i="1"/>
  <c r="AN24" i="1"/>
  <c r="BW26" i="1"/>
  <c r="CB26" i="1" s="1"/>
  <c r="CD26" i="1" s="1"/>
  <c r="CE26" i="1" s="1"/>
  <c r="AN26" i="1"/>
  <c r="AN19" i="1"/>
  <c r="BW6" i="1"/>
  <c r="AN6" i="1"/>
  <c r="AN36" i="1"/>
  <c r="AN18" i="1"/>
  <c r="AN33" i="1"/>
  <c r="AN20" i="1"/>
  <c r="AN11" i="1"/>
  <c r="Y11" i="29" s="1"/>
  <c r="AN43" i="1"/>
  <c r="AN39" i="1"/>
  <c r="AN48" i="1"/>
  <c r="BW49" i="1"/>
  <c r="CB49" i="1" s="1"/>
  <c r="CD49" i="1" s="1"/>
  <c r="CE49" i="1" s="1"/>
  <c r="AN49" i="1"/>
  <c r="BW14" i="1"/>
  <c r="CB14" i="1" s="1"/>
  <c r="CD14" i="1" s="1"/>
  <c r="CE14" i="1" s="1"/>
  <c r="BW16" i="1"/>
  <c r="CB16" i="1" s="1"/>
  <c r="CD16" i="1" s="1"/>
  <c r="CE16" i="1" s="1"/>
  <c r="BW22" i="1"/>
  <c r="CB22" i="1" s="1"/>
  <c r="CD22" i="1" s="1"/>
  <c r="CE22" i="1" s="1"/>
  <c r="BW32" i="1"/>
  <c r="CB32" i="1" s="1"/>
  <c r="CD32" i="1" s="1"/>
  <c r="CE32" i="1" s="1"/>
  <c r="BW28" i="1"/>
  <c r="CB28" i="1" s="1"/>
  <c r="CD28" i="1" s="1"/>
  <c r="CE28" i="1" s="1"/>
  <c r="BW9" i="1"/>
  <c r="CB9" i="1" s="1"/>
  <c r="CD9" i="1" s="1"/>
  <c r="CE9" i="1" s="1"/>
  <c r="BW15" i="1"/>
  <c r="CB15" i="1" s="1"/>
  <c r="CD15" i="1" s="1"/>
  <c r="CE15" i="1" s="1"/>
  <c r="BW7" i="1"/>
  <c r="CB7" i="1" s="1"/>
  <c r="CD7" i="1" s="1"/>
  <c r="CE7" i="1" s="1"/>
  <c r="BW30" i="1"/>
  <c r="BW42" i="1"/>
  <c r="CB42" i="1" s="1"/>
  <c r="CD42" i="1" s="1"/>
  <c r="CE42" i="1" s="1"/>
  <c r="BW34" i="1"/>
  <c r="CB34" i="1" s="1"/>
  <c r="CD34" i="1" s="1"/>
  <c r="CE34" i="1" s="1"/>
  <c r="BW47" i="1"/>
  <c r="CB47" i="1" s="1"/>
  <c r="CD47" i="1" s="1"/>
  <c r="CE47" i="1" s="1"/>
  <c r="CB30" i="1"/>
  <c r="CD30" i="1" s="1"/>
  <c r="CE30" i="1" s="1"/>
  <c r="BW20" i="1"/>
  <c r="CB20" i="1" s="1"/>
  <c r="CD20" i="1" s="1"/>
  <c r="CE20" i="1" s="1"/>
  <c r="BW21" i="1"/>
  <c r="CB21" i="1" s="1"/>
  <c r="CD21" i="1" s="1"/>
  <c r="CE21" i="1" s="1"/>
  <c r="BW23" i="1"/>
  <c r="CB23" i="1" s="1"/>
  <c r="CD23" i="1" s="1"/>
  <c r="CE23" i="1" s="1"/>
  <c r="BW19" i="1"/>
  <c r="CB19" i="1" s="1"/>
  <c r="CD19" i="1" s="1"/>
  <c r="CE19" i="1" s="1"/>
  <c r="BW38" i="1"/>
  <c r="CB38" i="1" s="1"/>
  <c r="CD38" i="1" s="1"/>
  <c r="CE38" i="1" s="1"/>
  <c r="BW24" i="1"/>
  <c r="BW8" i="1"/>
  <c r="BW35" i="1"/>
  <c r="CB35" i="1" s="1"/>
  <c r="CD35" i="1" s="1"/>
  <c r="CE35" i="1" s="1"/>
  <c r="BW27" i="1"/>
  <c r="CB27" i="1" s="1"/>
  <c r="CD27" i="1" s="1"/>
  <c r="CE27" i="1" s="1"/>
  <c r="BW40" i="1"/>
  <c r="CB40" i="1" s="1"/>
  <c r="CD40" i="1" s="1"/>
  <c r="CE40" i="1" s="1"/>
  <c r="BW43" i="1"/>
  <c r="CB43" i="1" s="1"/>
  <c r="CD43" i="1" s="1"/>
  <c r="CE43" i="1" s="1"/>
  <c r="BW13" i="1"/>
  <c r="CB13" i="1" s="1"/>
  <c r="CD13" i="1" s="1"/>
  <c r="CE13" i="1" s="1"/>
  <c r="BW10" i="1"/>
  <c r="CB10" i="1" s="1"/>
  <c r="CD10" i="1" s="1"/>
  <c r="CE10" i="1" s="1"/>
  <c r="BW29" i="1"/>
  <c r="CB29" i="1" s="1"/>
  <c r="CD29" i="1" s="1"/>
  <c r="CE29" i="1" s="1"/>
  <c r="BW36" i="1"/>
  <c r="CB36" i="1" s="1"/>
  <c r="CD36" i="1" s="1"/>
  <c r="CE36" i="1" s="1"/>
  <c r="BW18" i="1"/>
  <c r="CB18" i="1" s="1"/>
  <c r="CD18" i="1" s="1"/>
  <c r="CE18" i="1" s="1"/>
  <c r="BW41" i="1"/>
  <c r="CB41" i="1" s="1"/>
  <c r="CD41" i="1" s="1"/>
  <c r="CE41" i="1" s="1"/>
  <c r="CB12" i="1"/>
  <c r="CD12" i="1" s="1"/>
  <c r="CE12" i="1" s="1"/>
  <c r="BW33" i="1"/>
  <c r="CB33" i="1" s="1"/>
  <c r="CD33" i="1" s="1"/>
  <c r="CE33" i="1" s="1"/>
  <c r="BW25" i="1"/>
  <c r="CB25" i="1" s="1"/>
  <c r="CD25" i="1" s="1"/>
  <c r="CE25" i="1" s="1"/>
  <c r="BW37" i="1"/>
  <c r="CB37" i="1" s="1"/>
  <c r="CD37" i="1" s="1"/>
  <c r="CE37" i="1" s="1"/>
  <c r="BW11" i="1"/>
  <c r="CB11" i="1" s="1"/>
  <c r="CD11" i="1" s="1"/>
  <c r="CE11" i="1" s="1"/>
  <c r="BW39" i="1"/>
  <c r="CB39" i="1" s="1"/>
  <c r="CD39" i="1" s="1"/>
  <c r="CE39" i="1" s="1"/>
  <c r="BW48" i="1"/>
  <c r="CB48" i="1" s="1"/>
  <c r="CD48" i="1" s="1"/>
  <c r="CE48" i="1" s="1"/>
  <c r="CB24" i="1"/>
  <c r="CD24" i="1" s="1"/>
  <c r="CE24" i="1" s="1"/>
  <c r="CB8" i="1"/>
  <c r="CD8" i="1" s="1"/>
  <c r="CE8" i="1" s="1"/>
  <c r="CB17" i="1"/>
  <c r="CD17" i="1" s="1"/>
  <c r="CE17" i="1" s="1"/>
  <c r="CH24" i="1"/>
  <c r="CK24" i="1" s="1"/>
  <c r="CH22" i="1"/>
  <c r="CK22" i="1" s="1"/>
  <c r="BK39" i="1"/>
  <c r="CH23" i="1"/>
  <c r="CI23" i="1" s="1"/>
  <c r="BK21" i="1"/>
  <c r="AR45" i="1"/>
  <c r="AS45" i="1" s="1"/>
  <c r="CH20" i="1"/>
  <c r="CK20" i="1" s="1"/>
  <c r="CH7" i="1"/>
  <c r="CI7" i="1" s="1"/>
  <c r="CH29" i="1"/>
  <c r="CI29" i="1" s="1"/>
  <c r="BK29" i="1"/>
  <c r="CH33" i="1"/>
  <c r="CK33" i="1" s="1"/>
  <c r="BK33" i="1"/>
  <c r="CH39" i="1"/>
  <c r="CK39" i="1" s="1"/>
  <c r="CH27" i="1"/>
  <c r="CK27" i="1" s="1"/>
  <c r="BK27" i="1"/>
  <c r="CH46" i="1"/>
  <c r="CI46" i="1" s="1"/>
  <c r="BK17" i="1"/>
  <c r="CH47" i="1"/>
  <c r="CK47" i="1" s="1"/>
  <c r="BK47" i="1"/>
  <c r="CH16" i="1"/>
  <c r="CI16" i="1" s="1"/>
  <c r="BK16" i="1"/>
  <c r="CH28" i="1"/>
  <c r="CI28" i="1" s="1"/>
  <c r="BK28" i="1"/>
  <c r="CH34" i="1"/>
  <c r="CI34" i="1" s="1"/>
  <c r="BK34" i="1"/>
  <c r="BK49" i="1"/>
  <c r="AP45" i="1"/>
  <c r="CH12" i="1"/>
  <c r="CK12" i="1" s="1"/>
  <c r="CH26" i="1"/>
  <c r="CI26" i="1" s="1"/>
  <c r="CH35" i="1"/>
  <c r="CK35" i="1" s="1"/>
  <c r="BK35" i="1"/>
  <c r="CH18" i="1"/>
  <c r="CI18" i="1" s="1"/>
  <c r="BK18" i="1"/>
  <c r="CH40" i="1"/>
  <c r="CK40" i="1" s="1"/>
  <c r="BK40" i="1"/>
  <c r="CH9" i="1"/>
  <c r="CK9" i="1" s="1"/>
  <c r="BK9" i="1"/>
  <c r="CH10" i="1"/>
  <c r="CI10" i="1" s="1"/>
  <c r="BK10" i="1"/>
  <c r="BK41" i="1"/>
  <c r="CH6" i="1"/>
  <c r="CI6" i="1" s="1"/>
  <c r="CH43" i="1"/>
  <c r="CK43" i="1" s="1"/>
  <c r="BK43" i="1"/>
  <c r="BK23" i="1"/>
  <c r="CH41" i="1"/>
  <c r="CK41" i="1" s="1"/>
  <c r="BK44" i="1"/>
  <c r="CH38" i="1"/>
  <c r="CI38" i="1" s="1"/>
  <c r="BK38" i="1"/>
  <c r="BK22" i="1"/>
  <c r="BK24" i="1"/>
  <c r="CH21" i="1"/>
  <c r="CK21" i="1" s="1"/>
  <c r="CH15" i="1"/>
  <c r="CK15" i="1" s="1"/>
  <c r="BK15" i="1"/>
  <c r="BK7" i="1"/>
  <c r="CH36" i="1"/>
  <c r="CK36" i="1" s="1"/>
  <c r="BK36" i="1"/>
  <c r="CH31" i="1"/>
  <c r="CI31" i="1" s="1"/>
  <c r="CH44" i="1"/>
  <c r="CK44" i="1" s="1"/>
  <c r="BK48" i="1"/>
  <c r="BK12" i="1"/>
  <c r="BK46" i="1"/>
  <c r="BK13" i="1"/>
  <c r="BK31" i="1"/>
  <c r="CH48" i="1"/>
  <c r="CI48" i="1" s="1"/>
  <c r="BK20" i="1"/>
  <c r="BK26" i="1"/>
  <c r="CH42" i="1"/>
  <c r="CI42" i="1" s="1"/>
  <c r="BK42" i="1"/>
  <c r="CH49" i="1"/>
  <c r="CK49" i="1" s="1"/>
  <c r="CH45" i="1"/>
  <c r="CI45" i="1" s="1"/>
  <c r="BK45" i="1"/>
  <c r="CH19" i="1"/>
  <c r="CI19" i="1" s="1"/>
  <c r="CH8" i="1"/>
  <c r="CI8" i="1" s="1"/>
  <c r="BK8" i="1"/>
  <c r="BK11" i="1"/>
  <c r="CH32" i="1"/>
  <c r="CK32" i="1" s="1"/>
  <c r="BK32" i="1"/>
  <c r="CH37" i="1"/>
  <c r="CK37" i="1" s="1"/>
  <c r="BK37" i="1"/>
  <c r="BK6" i="1"/>
  <c r="CH30" i="1"/>
  <c r="CI30" i="1" s="1"/>
  <c r="BK30" i="1"/>
  <c r="CH17" i="1"/>
  <c r="CK17" i="1" s="1"/>
  <c r="BK19" i="1"/>
  <c r="CH25" i="1"/>
  <c r="CI25" i="1" s="1"/>
  <c r="BK25" i="1"/>
  <c r="CH14" i="1"/>
  <c r="CK14" i="1" s="1"/>
  <c r="BK14" i="1"/>
  <c r="CH13" i="1"/>
  <c r="CK13" i="1" s="1"/>
  <c r="CH11" i="1"/>
  <c r="AP31" i="1"/>
  <c r="AO21" i="1"/>
  <c r="AO13" i="1"/>
  <c r="AP21" i="1"/>
  <c r="AT21" i="1"/>
  <c r="AU21" i="1" s="1"/>
  <c r="AP28" i="1"/>
  <c r="AT31" i="1"/>
  <c r="AU31" i="1" s="1"/>
  <c r="AO46" i="1"/>
  <c r="AP33" i="1"/>
  <c r="AR31" i="1"/>
  <c r="AS31" i="1" s="1"/>
  <c r="AO23" i="1"/>
  <c r="AO17" i="1"/>
  <c r="AO31" i="1"/>
  <c r="AO45" i="1"/>
  <c r="AR23" i="1"/>
  <c r="AS23" i="1" s="1"/>
  <c r="AR28" i="1"/>
  <c r="AS28" i="1" s="1"/>
  <c r="AP23" i="1"/>
  <c r="AO28" i="1"/>
  <c r="AT28" i="1"/>
  <c r="AU28" i="1" s="1"/>
  <c r="AP40" i="1"/>
  <c r="AO32" i="1"/>
  <c r="AT44" i="1"/>
  <c r="AU44" i="1" s="1"/>
  <c r="AI5" i="1"/>
  <c r="AP13" i="1"/>
  <c r="AR13" i="1"/>
  <c r="AS13" i="1" s="1"/>
  <c r="AO44" i="1"/>
  <c r="AP44" i="1"/>
  <c r="AO33" i="1"/>
  <c r="AT32" i="1"/>
  <c r="AU32" i="1" s="1"/>
  <c r="AT17" i="1"/>
  <c r="AU17" i="1" s="1"/>
  <c r="AP17" i="1"/>
  <c r="AP37" i="1"/>
  <c r="AR17" i="1"/>
  <c r="AS17" i="1" s="1"/>
  <c r="AR33" i="1"/>
  <c r="AS33" i="1" s="1"/>
  <c r="AR37" i="1"/>
  <c r="AS37" i="1" s="1"/>
  <c r="AP32" i="1"/>
  <c r="AT33" i="1"/>
  <c r="AU33" i="1" s="1"/>
  <c r="AO49" i="1"/>
  <c r="AO30" i="1"/>
  <c r="AP41" i="1"/>
  <c r="AO41" i="1"/>
  <c r="AO40" i="1"/>
  <c r="AT41" i="1"/>
  <c r="AU41" i="1" s="1"/>
  <c r="AT30" i="1"/>
  <c r="AU30" i="1" s="1"/>
  <c r="AT40" i="1"/>
  <c r="AU40" i="1" s="1"/>
  <c r="AP19" i="1"/>
  <c r="AT19" i="1"/>
  <c r="AU19" i="1" s="1"/>
  <c r="AO19" i="1"/>
  <c r="AR46" i="1"/>
  <c r="AS46" i="1" s="1"/>
  <c r="AP42" i="1"/>
  <c r="AP30" i="1"/>
  <c r="AR49" i="1"/>
  <c r="AS49" i="1" s="1"/>
  <c r="AT49" i="1"/>
  <c r="AU49" i="1" s="1"/>
  <c r="AT24" i="1"/>
  <c r="AU24" i="1" s="1"/>
  <c r="AO37" i="1"/>
  <c r="AP24" i="1"/>
  <c r="AP46" i="1"/>
  <c r="AR42" i="1"/>
  <c r="AS42" i="1" s="1"/>
  <c r="AO42" i="1"/>
  <c r="AT42" i="1"/>
  <c r="AU42" i="1" s="1"/>
  <c r="AP11" i="1"/>
  <c r="AO24" i="1"/>
  <c r="AT46" i="1"/>
  <c r="AU46" i="1" s="1"/>
  <c r="AO11" i="1"/>
  <c r="AR11" i="1"/>
  <c r="AS11" i="1" s="1"/>
  <c r="AR20" i="1"/>
  <c r="AS20" i="1" s="1"/>
  <c r="AT8" i="1"/>
  <c r="AU8" i="1" s="1"/>
  <c r="AT9" i="1"/>
  <c r="AU9" i="1" s="1"/>
  <c r="AR6" i="1"/>
  <c r="AS6" i="1" s="1"/>
  <c r="AT22" i="1"/>
  <c r="AU22" i="1" s="1"/>
  <c r="AT10" i="1"/>
  <c r="AU10" i="1" s="1"/>
  <c r="AT18" i="1"/>
  <c r="AU18" i="1" s="1"/>
  <c r="AT7" i="1"/>
  <c r="AU7" i="1" s="1"/>
  <c r="AO43" i="1"/>
  <c r="AR9" i="1"/>
  <c r="AS9" i="1" s="1"/>
  <c r="AP9" i="1"/>
  <c r="AP39" i="1"/>
  <c r="AP12" i="1"/>
  <c r="AO16" i="1"/>
  <c r="AP27" i="1"/>
  <c r="AP22" i="1"/>
  <c r="AP14" i="1"/>
  <c r="AP26" i="1"/>
  <c r="AR12" i="1"/>
  <c r="AS12" i="1" s="1"/>
  <c r="AT47" i="1"/>
  <c r="AU47" i="1" s="1"/>
  <c r="AP36" i="1"/>
  <c r="AT6" i="1"/>
  <c r="AU6" i="1" s="1"/>
  <c r="AT16" i="1"/>
  <c r="AU16" i="1" s="1"/>
  <c r="AP47" i="1"/>
  <c r="AR10" i="1"/>
  <c r="AS10" i="1" s="1"/>
  <c r="AP10" i="1"/>
  <c r="AP38" i="1"/>
  <c r="AP15" i="1"/>
  <c r="AT14" i="1"/>
  <c r="AU14" i="1" s="1"/>
  <c r="AR38" i="1"/>
  <c r="AS38" i="1" s="1"/>
  <c r="AO6" i="1"/>
  <c r="AP8" i="1"/>
  <c r="AO29" i="1"/>
  <c r="AP7" i="1"/>
  <c r="AP43" i="1"/>
  <c r="AR7" i="1"/>
  <c r="AS7" i="1" s="1"/>
  <c r="AT43" i="1"/>
  <c r="AU43" i="1" s="1"/>
  <c r="AP35" i="1"/>
  <c r="AR43" i="1"/>
  <c r="AS43" i="1" s="1"/>
  <c r="AO47" i="1"/>
  <c r="AR15" i="1"/>
  <c r="AS15" i="1" s="1"/>
  <c r="AO15" i="1"/>
  <c r="AR27" i="1"/>
  <c r="AS27" i="1" s="1"/>
  <c r="AT36" i="1"/>
  <c r="AU36" i="1" s="1"/>
  <c r="AO36" i="1"/>
  <c r="AP34" i="1"/>
  <c r="AO10" i="1"/>
  <c r="AR18" i="1"/>
  <c r="AS18" i="1" s="1"/>
  <c r="AO18" i="1"/>
  <c r="AT48" i="1"/>
  <c r="AU48" i="1" s="1"/>
  <c r="AO48" i="1"/>
  <c r="AP29" i="1"/>
  <c r="AP48" i="1"/>
  <c r="AT29" i="1"/>
  <c r="AU29" i="1" s="1"/>
  <c r="AO7" i="1"/>
  <c r="AR16" i="1"/>
  <c r="AS16" i="1" s="1"/>
  <c r="AR26" i="1"/>
  <c r="AS26" i="1" s="1"/>
  <c r="AO26" i="1"/>
  <c r="AR35" i="1"/>
  <c r="AS35" i="1" s="1"/>
  <c r="AO35" i="1"/>
  <c r="AP16" i="1"/>
  <c r="AT20" i="1"/>
  <c r="AU20" i="1" s="1"/>
  <c r="AO20" i="1"/>
  <c r="AT27" i="1"/>
  <c r="AU27" i="1" s="1"/>
  <c r="AO27" i="1"/>
  <c r="AP20" i="1"/>
  <c r="AP6" i="1"/>
  <c r="AT34" i="1"/>
  <c r="AU34" i="1" s="1"/>
  <c r="AO34" i="1"/>
  <c r="AR39" i="1"/>
  <c r="AS39" i="1" s="1"/>
  <c r="AO39" i="1"/>
  <c r="AT25" i="1"/>
  <c r="AU25" i="1" s="1"/>
  <c r="AO25" i="1"/>
  <c r="AT12" i="1"/>
  <c r="AU12" i="1" s="1"/>
  <c r="AO12" i="1"/>
  <c r="AR25" i="1"/>
  <c r="AS25" i="1" s="1"/>
  <c r="AP25" i="1"/>
  <c r="AT39" i="1"/>
  <c r="AU39" i="1" s="1"/>
  <c r="AR8" i="1"/>
  <c r="AS8" i="1" s="1"/>
  <c r="AO8" i="1"/>
  <c r="AR14" i="1"/>
  <c r="AS14" i="1" s="1"/>
  <c r="AO14" i="1"/>
  <c r="AR22" i="1"/>
  <c r="AS22" i="1" s="1"/>
  <c r="AO22" i="1"/>
  <c r="AT38" i="1"/>
  <c r="AU38" i="1" s="1"/>
  <c r="AO38" i="1"/>
  <c r="AO9" i="1"/>
  <c r="AP18" i="1"/>
  <c r="AT15" i="1"/>
  <c r="AU15" i="1" s="1"/>
  <c r="AH5" i="1"/>
  <c r="AH51" i="1" s="1"/>
  <c r="AC46" i="29" l="1"/>
  <c r="AD46" i="29" s="1"/>
  <c r="AC23" i="27"/>
  <c r="AD23" i="27" s="1"/>
  <c r="AE37" i="29"/>
  <c r="AF37" i="29" s="1"/>
  <c r="AC22" i="29"/>
  <c r="AD22" i="29" s="1"/>
  <c r="AE7" i="27"/>
  <c r="AF7" i="27" s="1"/>
  <c r="AC8" i="29"/>
  <c r="AD8" i="29" s="1"/>
  <c r="AE6" i="29"/>
  <c r="AF6" i="29" s="1"/>
  <c r="AE31" i="27"/>
  <c r="AF31" i="27" s="1"/>
  <c r="AC48" i="27"/>
  <c r="AD48" i="27" s="1"/>
  <c r="AC34" i="29"/>
  <c r="AD34" i="29" s="1"/>
  <c r="AC39" i="29"/>
  <c r="AD39" i="29" s="1"/>
  <c r="AE32" i="29"/>
  <c r="AF32" i="29" s="1"/>
  <c r="AE19" i="27"/>
  <c r="AF19" i="27" s="1"/>
  <c r="AE25" i="29"/>
  <c r="AF25" i="29" s="1"/>
  <c r="AE37" i="27"/>
  <c r="AF37" i="27" s="1"/>
  <c r="AC26" i="29"/>
  <c r="AD26" i="29" s="1"/>
  <c r="AE18" i="27"/>
  <c r="AF18" i="27" s="1"/>
  <c r="Y47" i="9"/>
  <c r="BH47" i="9" s="1"/>
  <c r="AE23" i="29"/>
  <c r="AF23" i="29" s="1"/>
  <c r="AE44" i="29"/>
  <c r="AF44" i="29" s="1"/>
  <c r="AC16" i="29"/>
  <c r="AD16" i="29" s="1"/>
  <c r="AE17" i="29"/>
  <c r="AF17" i="29" s="1"/>
  <c r="Y33" i="29"/>
  <c r="AA33" i="29" s="1"/>
  <c r="AE22" i="27"/>
  <c r="AF22" i="27" s="1"/>
  <c r="AE7" i="29"/>
  <c r="AF7" i="29" s="1"/>
  <c r="BH11" i="29"/>
  <c r="BM11" i="29" s="1"/>
  <c r="BO11" i="29" s="1"/>
  <c r="BP11" i="29" s="1"/>
  <c r="AA11" i="29"/>
  <c r="Z11" i="29"/>
  <c r="BG33" i="27"/>
  <c r="AV33" i="27"/>
  <c r="BG42" i="29"/>
  <c r="AV42" i="29"/>
  <c r="AE30" i="27"/>
  <c r="AF30" i="27" s="1"/>
  <c r="Y30" i="27"/>
  <c r="BH30" i="27" s="1"/>
  <c r="AE42" i="27"/>
  <c r="AF42" i="27" s="1"/>
  <c r="Y42" i="27"/>
  <c r="BH42" i="27" s="1"/>
  <c r="Z42" i="27"/>
  <c r="BG37" i="29"/>
  <c r="AV37" i="29"/>
  <c r="BG7" i="27"/>
  <c r="AV7" i="27"/>
  <c r="AC43" i="29"/>
  <c r="AD43" i="29" s="1"/>
  <c r="Y43" i="29"/>
  <c r="BH43" i="29" s="1"/>
  <c r="Z43" i="29"/>
  <c r="AC36" i="27"/>
  <c r="AD36" i="27" s="1"/>
  <c r="Y36" i="27"/>
  <c r="BH36" i="27" s="1"/>
  <c r="Y15" i="27"/>
  <c r="BH15" i="27" s="1"/>
  <c r="AC34" i="27"/>
  <c r="AD34" i="27" s="1"/>
  <c r="Y34" i="27"/>
  <c r="BH34" i="27" s="1"/>
  <c r="BG28" i="27"/>
  <c r="AV28" i="27"/>
  <c r="BG30" i="29"/>
  <c r="AV30" i="29"/>
  <c r="BG48" i="27"/>
  <c r="AV48" i="27"/>
  <c r="Y11" i="27"/>
  <c r="AE16" i="27"/>
  <c r="AF16" i="27" s="1"/>
  <c r="Y16" i="27"/>
  <c r="Z16" i="27" s="1"/>
  <c r="BG42" i="27"/>
  <c r="AV42" i="27"/>
  <c r="Y26" i="29"/>
  <c r="Z26" i="29"/>
  <c r="Y36" i="29"/>
  <c r="Z36" i="29" s="1"/>
  <c r="Y19" i="29"/>
  <c r="Z19" i="29" s="1"/>
  <c r="Y13" i="27"/>
  <c r="Z13" i="27" s="1"/>
  <c r="BG43" i="29"/>
  <c r="AV43" i="29"/>
  <c r="BG36" i="27"/>
  <c r="AV36" i="27"/>
  <c r="BG23" i="29"/>
  <c r="AV23" i="29"/>
  <c r="BG34" i="27"/>
  <c r="AV34" i="27"/>
  <c r="BG36" i="29"/>
  <c r="AV36" i="29"/>
  <c r="BG19" i="29"/>
  <c r="AV19" i="29"/>
  <c r="BG20" i="29"/>
  <c r="AV20" i="29"/>
  <c r="AE42" i="29"/>
  <c r="AF42" i="29" s="1"/>
  <c r="Y42" i="29"/>
  <c r="BH42" i="29" s="1"/>
  <c r="AE28" i="29"/>
  <c r="AF28" i="29" s="1"/>
  <c r="Y24" i="27"/>
  <c r="Z24" i="27"/>
  <c r="BG30" i="27"/>
  <c r="AV30" i="27"/>
  <c r="Y8" i="29"/>
  <c r="BG26" i="29"/>
  <c r="AV26" i="29"/>
  <c r="AC29" i="29"/>
  <c r="AD29" i="29" s="1"/>
  <c r="Y29" i="29"/>
  <c r="Z29" i="29" s="1"/>
  <c r="Y23" i="29"/>
  <c r="Z23" i="29" s="1"/>
  <c r="BG15" i="27"/>
  <c r="AV15" i="27"/>
  <c r="Y35" i="27"/>
  <c r="Z35" i="27" s="1"/>
  <c r="Y20" i="29"/>
  <c r="Z20" i="29" s="1"/>
  <c r="BG12" i="27"/>
  <c r="AV12" i="27"/>
  <c r="Y19" i="9"/>
  <c r="BH19" i="9" s="1"/>
  <c r="AE33" i="29"/>
  <c r="AF33" i="29" s="1"/>
  <c r="BG45" i="29"/>
  <c r="AV45" i="29"/>
  <c r="Y18" i="27"/>
  <c r="Z18" i="27" s="1"/>
  <c r="BG25" i="29"/>
  <c r="AV25" i="29"/>
  <c r="Y32" i="29"/>
  <c r="Z32" i="29" s="1"/>
  <c r="BG16" i="27"/>
  <c r="AV16" i="27"/>
  <c r="AC14" i="27"/>
  <c r="AD14" i="27" s="1"/>
  <c r="Y14" i="27"/>
  <c r="Z14" i="27" s="1"/>
  <c r="BG8" i="29"/>
  <c r="AV8" i="29"/>
  <c r="Y31" i="27"/>
  <c r="Z31" i="27" s="1"/>
  <c r="BG26" i="27"/>
  <c r="AV26" i="27"/>
  <c r="BG6" i="29"/>
  <c r="AV6" i="29"/>
  <c r="AC33" i="29"/>
  <c r="AD33" i="29" s="1"/>
  <c r="BG49" i="29"/>
  <c r="AV49" i="29"/>
  <c r="AE39" i="27"/>
  <c r="AF39" i="27" s="1"/>
  <c r="Y39" i="27"/>
  <c r="Z39" i="27" s="1"/>
  <c r="AE45" i="29"/>
  <c r="AF45" i="29" s="1"/>
  <c r="Y45" i="29"/>
  <c r="Z45" i="29" s="1"/>
  <c r="Y25" i="29"/>
  <c r="Z25" i="29" s="1"/>
  <c r="BG32" i="29"/>
  <c r="AV32" i="29"/>
  <c r="AC17" i="27"/>
  <c r="AD17" i="27" s="1"/>
  <c r="AC21" i="27"/>
  <c r="AD21" i="27" s="1"/>
  <c r="Y21" i="27"/>
  <c r="Z21" i="27" s="1"/>
  <c r="BG29" i="29"/>
  <c r="AV29" i="29"/>
  <c r="AE6" i="27"/>
  <c r="AF6" i="27" s="1"/>
  <c r="Y35" i="29"/>
  <c r="Z35" i="29" s="1"/>
  <c r="Y22" i="27"/>
  <c r="Z22" i="27" s="1"/>
  <c r="BG13" i="27"/>
  <c r="AV13" i="27"/>
  <c r="BG37" i="27"/>
  <c r="AV37" i="27"/>
  <c r="AC49" i="29"/>
  <c r="AD49" i="29" s="1"/>
  <c r="Y49" i="29"/>
  <c r="Z49" i="29" s="1"/>
  <c r="BG28" i="29"/>
  <c r="AV28" i="29"/>
  <c r="Y44" i="27"/>
  <c r="Z44" i="27"/>
  <c r="AE38" i="27"/>
  <c r="AF38" i="27" s="1"/>
  <c r="Y38" i="27"/>
  <c r="Z38" i="27" s="1"/>
  <c r="BG24" i="27"/>
  <c r="AV24" i="27"/>
  <c r="AE9" i="29"/>
  <c r="AF9" i="29" s="1"/>
  <c r="Y46" i="29"/>
  <c r="Z46" i="29" s="1"/>
  <c r="Y41" i="27"/>
  <c r="Z41" i="27" s="1"/>
  <c r="AC31" i="29"/>
  <c r="AD31" i="29" s="1"/>
  <c r="Y31" i="29"/>
  <c r="Z31" i="29" s="1"/>
  <c r="AV35" i="29"/>
  <c r="BG35" i="29"/>
  <c r="BG35" i="27"/>
  <c r="AV35" i="27"/>
  <c r="Z33" i="29"/>
  <c r="BH33" i="29"/>
  <c r="Y28" i="29"/>
  <c r="BH28" i="29" s="1"/>
  <c r="BM28" i="29" s="1"/>
  <c r="BO28" i="29" s="1"/>
  <c r="BP28" i="29" s="1"/>
  <c r="BG18" i="27"/>
  <c r="AV18" i="27"/>
  <c r="BG7" i="29"/>
  <c r="AV7" i="29"/>
  <c r="BG46" i="29"/>
  <c r="AV46" i="29"/>
  <c r="BG14" i="27"/>
  <c r="AV14" i="27"/>
  <c r="AC40" i="27"/>
  <c r="AD40" i="27" s="1"/>
  <c r="Y40" i="27"/>
  <c r="BH40" i="27" s="1"/>
  <c r="BG31" i="27"/>
  <c r="AV31" i="27"/>
  <c r="BG39" i="29"/>
  <c r="AV39" i="29"/>
  <c r="BG43" i="27"/>
  <c r="AV43" i="27"/>
  <c r="BG33" i="29"/>
  <c r="AV33" i="29"/>
  <c r="AE10" i="27"/>
  <c r="AF10" i="27" s="1"/>
  <c r="Y10" i="27"/>
  <c r="BH10" i="27" s="1"/>
  <c r="BG38" i="27"/>
  <c r="AV38" i="27"/>
  <c r="AV17" i="29"/>
  <c r="Y17" i="29"/>
  <c r="BH17" i="29" s="1"/>
  <c r="BM17" i="29" s="1"/>
  <c r="BO17" i="29" s="1"/>
  <c r="BP17" i="29" s="1"/>
  <c r="AC9" i="27"/>
  <c r="AD9" i="27" s="1"/>
  <c r="Y9" i="27"/>
  <c r="BH9" i="27" s="1"/>
  <c r="Y17" i="27"/>
  <c r="BH17" i="27" s="1"/>
  <c r="Y19" i="27"/>
  <c r="Z19" i="27" s="1"/>
  <c r="BG31" i="29"/>
  <c r="AV31" i="29"/>
  <c r="BG22" i="27"/>
  <c r="AV22" i="27"/>
  <c r="BG12" i="29"/>
  <c r="AV12" i="29"/>
  <c r="BG39" i="27"/>
  <c r="AV39" i="27"/>
  <c r="BG41" i="27"/>
  <c r="AV41" i="27"/>
  <c r="BG44" i="27"/>
  <c r="AV44" i="27"/>
  <c r="Y32" i="27"/>
  <c r="Z32" i="27" s="1"/>
  <c r="Y9" i="29"/>
  <c r="Z9" i="29" s="1"/>
  <c r="AE21" i="29"/>
  <c r="AF21" i="29" s="1"/>
  <c r="Y21" i="29"/>
  <c r="BH21" i="29" s="1"/>
  <c r="Y8" i="27"/>
  <c r="BH8" i="27" s="1"/>
  <c r="BM8" i="27" s="1"/>
  <c r="BO8" i="27" s="1"/>
  <c r="BP8" i="27" s="1"/>
  <c r="BG21" i="27"/>
  <c r="AV21" i="27"/>
  <c r="AC29" i="27"/>
  <c r="AD29" i="27" s="1"/>
  <c r="Y29" i="27"/>
  <c r="Z29" i="27" s="1"/>
  <c r="Y23" i="27"/>
  <c r="BH23" i="27" s="1"/>
  <c r="Z23" i="27"/>
  <c r="AC25" i="27"/>
  <c r="AD25" i="27" s="1"/>
  <c r="Y25" i="27"/>
  <c r="Z25" i="27" s="1"/>
  <c r="BG9" i="29"/>
  <c r="AV9" i="29"/>
  <c r="BG17" i="27"/>
  <c r="AV17" i="27"/>
  <c r="BG40" i="27"/>
  <c r="AV40" i="27"/>
  <c r="BG6" i="27"/>
  <c r="AV6" i="27"/>
  <c r="AE27" i="27"/>
  <c r="AF27" i="27" s="1"/>
  <c r="Y27" i="27"/>
  <c r="Z27" i="27" s="1"/>
  <c r="Y47" i="29"/>
  <c r="BH47" i="29" s="1"/>
  <c r="Y44" i="29"/>
  <c r="BG10" i="27"/>
  <c r="AV10" i="27"/>
  <c r="AE47" i="27"/>
  <c r="AF47" i="27" s="1"/>
  <c r="Y47" i="27"/>
  <c r="BG9" i="27"/>
  <c r="AV9" i="27"/>
  <c r="BG19" i="27"/>
  <c r="AV19" i="27"/>
  <c r="AC40" i="29"/>
  <c r="AD40" i="29" s="1"/>
  <c r="Y40" i="29"/>
  <c r="Z40" i="29" s="1"/>
  <c r="Y34" i="29"/>
  <c r="Z34" i="29" s="1"/>
  <c r="AV47" i="29"/>
  <c r="BG47" i="29"/>
  <c r="Y13" i="29"/>
  <c r="Z13" i="29" s="1"/>
  <c r="BG44" i="29"/>
  <c r="AV44" i="29"/>
  <c r="BG48" i="29"/>
  <c r="AV48" i="29"/>
  <c r="Y24" i="29"/>
  <c r="Y16" i="29"/>
  <c r="Z16" i="29" s="1"/>
  <c r="AC46" i="27"/>
  <c r="AD46" i="27" s="1"/>
  <c r="Y46" i="27"/>
  <c r="Z46" i="27" s="1"/>
  <c r="BG40" i="29"/>
  <c r="AV40" i="29"/>
  <c r="BG21" i="29"/>
  <c r="AV21" i="29"/>
  <c r="BG8" i="27"/>
  <c r="AV8" i="27"/>
  <c r="AE15" i="29"/>
  <c r="AF15" i="29" s="1"/>
  <c r="Y15" i="29"/>
  <c r="Z15" i="29" s="1"/>
  <c r="BG29" i="27"/>
  <c r="AV29" i="27"/>
  <c r="BG23" i="27"/>
  <c r="AV23" i="27"/>
  <c r="AE12" i="27"/>
  <c r="AF12" i="27" s="1"/>
  <c r="Y12" i="27"/>
  <c r="Z12" i="27" s="1"/>
  <c r="BG13" i="29"/>
  <c r="AV13" i="29"/>
  <c r="Y48" i="29"/>
  <c r="Z48" i="29" s="1"/>
  <c r="AE49" i="27"/>
  <c r="AF49" i="27" s="1"/>
  <c r="Y49" i="27"/>
  <c r="Z49" i="27" s="1"/>
  <c r="AE18" i="29"/>
  <c r="AF18" i="29" s="1"/>
  <c r="Y18" i="29"/>
  <c r="Z18" i="29" s="1"/>
  <c r="BG24" i="29"/>
  <c r="AV24" i="29"/>
  <c r="BG32" i="27"/>
  <c r="AV32" i="27"/>
  <c r="AC43" i="27"/>
  <c r="AD43" i="27" s="1"/>
  <c r="Y43" i="27"/>
  <c r="Z43" i="27"/>
  <c r="BG34" i="29"/>
  <c r="AV34" i="29"/>
  <c r="AC20" i="27"/>
  <c r="AD20" i="27" s="1"/>
  <c r="Y20" i="27"/>
  <c r="Z20" i="27" s="1"/>
  <c r="BM47" i="29"/>
  <c r="BO47" i="29" s="1"/>
  <c r="BP47" i="29" s="1"/>
  <c r="BG18" i="29"/>
  <c r="AV18" i="29"/>
  <c r="AC28" i="27"/>
  <c r="AD28" i="27" s="1"/>
  <c r="Y28" i="27"/>
  <c r="Z28" i="27" s="1"/>
  <c r="AE45" i="27"/>
  <c r="AF45" i="27" s="1"/>
  <c r="Y45" i="27"/>
  <c r="Z45" i="27" s="1"/>
  <c r="BG16" i="29"/>
  <c r="AV16" i="29"/>
  <c r="BG25" i="27"/>
  <c r="AV25" i="27"/>
  <c r="BG15" i="29"/>
  <c r="AV15" i="29"/>
  <c r="AC27" i="29"/>
  <c r="AD27" i="29" s="1"/>
  <c r="Y27" i="29"/>
  <c r="Z27" i="29" s="1"/>
  <c r="BG27" i="27"/>
  <c r="AV27" i="27"/>
  <c r="AC30" i="29"/>
  <c r="AD30" i="29" s="1"/>
  <c r="Y30" i="29"/>
  <c r="BH30" i="29" s="1"/>
  <c r="BM30" i="29" s="1"/>
  <c r="BO30" i="29" s="1"/>
  <c r="BP30" i="29" s="1"/>
  <c r="Z30" i="29"/>
  <c r="AC10" i="29"/>
  <c r="AD10" i="29" s="1"/>
  <c r="Y10" i="29"/>
  <c r="Y39" i="29"/>
  <c r="Z39" i="29" s="1"/>
  <c r="Y38" i="29"/>
  <c r="Z38" i="29" s="1"/>
  <c r="BG47" i="27"/>
  <c r="AV47" i="27"/>
  <c r="AC42" i="27"/>
  <c r="AD42" i="27" s="1"/>
  <c r="AC41" i="29"/>
  <c r="AD41" i="29" s="1"/>
  <c r="Y41" i="29"/>
  <c r="Z41" i="29" s="1"/>
  <c r="BG14" i="29"/>
  <c r="AV14" i="29"/>
  <c r="Y37" i="27"/>
  <c r="Z37" i="27" s="1"/>
  <c r="BG46" i="27"/>
  <c r="AV46" i="27"/>
  <c r="AA36" i="27"/>
  <c r="AC26" i="27"/>
  <c r="AD26" i="27" s="1"/>
  <c r="Y26" i="27"/>
  <c r="Z26" i="27" s="1"/>
  <c r="AC15" i="27"/>
  <c r="AD15" i="27" s="1"/>
  <c r="AA34" i="27"/>
  <c r="AE12" i="29"/>
  <c r="AF12" i="29" s="1"/>
  <c r="Y12" i="29"/>
  <c r="BG22" i="29"/>
  <c r="AV22" i="29"/>
  <c r="BG10" i="29"/>
  <c r="AV10" i="29"/>
  <c r="Y48" i="27"/>
  <c r="Z48" i="27" s="1"/>
  <c r="AC33" i="27"/>
  <c r="AD33" i="27" s="1"/>
  <c r="Y33" i="27"/>
  <c r="Z33" i="27" s="1"/>
  <c r="BG49" i="27"/>
  <c r="AV49" i="27"/>
  <c r="BG38" i="29"/>
  <c r="AV38" i="29"/>
  <c r="BG45" i="27"/>
  <c r="AV45" i="27"/>
  <c r="AA30" i="29"/>
  <c r="AC42" i="29"/>
  <c r="AD42" i="29" s="1"/>
  <c r="AA30" i="27"/>
  <c r="Y37" i="29"/>
  <c r="BG41" i="29"/>
  <c r="AV41" i="29"/>
  <c r="Y14" i="29"/>
  <c r="AE36" i="27"/>
  <c r="AF36" i="27" s="1"/>
  <c r="AA15" i="27"/>
  <c r="AE34" i="27"/>
  <c r="AF34" i="27" s="1"/>
  <c r="Y22" i="29"/>
  <c r="Z22" i="29" s="1"/>
  <c r="BG27" i="29"/>
  <c r="AV27" i="29"/>
  <c r="BG20" i="27"/>
  <c r="AV20" i="27"/>
  <c r="CB6" i="1"/>
  <c r="Y7" i="29"/>
  <c r="Y7" i="27"/>
  <c r="Y6" i="29"/>
  <c r="Y6" i="27"/>
  <c r="AE23" i="9"/>
  <c r="AC43" i="9"/>
  <c r="AC26" i="9"/>
  <c r="AA41" i="9"/>
  <c r="AE47" i="9"/>
  <c r="AC41" i="9"/>
  <c r="AE25" i="9"/>
  <c r="Y24" i="9"/>
  <c r="BH24" i="9" s="1"/>
  <c r="AC24" i="9"/>
  <c r="AE24" i="9"/>
  <c r="BG25" i="9"/>
  <c r="BM25" i="9" s="1"/>
  <c r="BO25" i="9" s="1"/>
  <c r="BP25" i="9" s="1"/>
  <c r="AV25" i="9"/>
  <c r="Y30" i="9"/>
  <c r="BH30" i="9" s="1"/>
  <c r="AC30" i="9"/>
  <c r="AE30" i="9"/>
  <c r="BG16" i="9"/>
  <c r="AV16" i="9"/>
  <c r="BG46" i="9"/>
  <c r="AV46" i="9"/>
  <c r="BG44" i="9"/>
  <c r="AV44" i="9"/>
  <c r="AE37" i="9"/>
  <c r="Y37" i="9"/>
  <c r="BH37" i="9" s="1"/>
  <c r="AC37" i="9"/>
  <c r="AC33" i="9"/>
  <c r="Y33" i="9"/>
  <c r="BH33" i="9" s="1"/>
  <c r="Y27" i="9"/>
  <c r="BH27" i="9" s="1"/>
  <c r="AC27" i="9"/>
  <c r="AE27" i="9"/>
  <c r="BG32" i="9"/>
  <c r="AV32" i="9"/>
  <c r="BG12" i="9"/>
  <c r="AV12" i="9"/>
  <c r="Y11" i="9"/>
  <c r="Y36" i="9"/>
  <c r="BH36" i="9" s="1"/>
  <c r="AE36" i="9"/>
  <c r="Y45" i="9"/>
  <c r="BH45" i="9" s="1"/>
  <c r="AC45" i="9"/>
  <c r="AC20" i="9"/>
  <c r="Y20" i="9"/>
  <c r="BH20" i="9" s="1"/>
  <c r="AE20" i="9"/>
  <c r="BG23" i="9"/>
  <c r="AV23" i="9"/>
  <c r="AC15" i="9"/>
  <c r="Y15" i="9"/>
  <c r="BH15" i="9" s="1"/>
  <c r="AE15" i="9"/>
  <c r="Y28" i="9"/>
  <c r="BH28" i="9" s="1"/>
  <c r="AE28" i="9"/>
  <c r="AF28" i="9" s="1"/>
  <c r="BG34" i="9"/>
  <c r="AV34" i="9"/>
  <c r="BG42" i="9"/>
  <c r="AV42" i="9"/>
  <c r="Y6" i="9"/>
  <c r="AA6" i="9" s="1"/>
  <c r="AC6" i="9"/>
  <c r="AD6" i="9" s="1"/>
  <c r="BG14" i="9"/>
  <c r="AV14" i="9"/>
  <c r="AE33" i="9"/>
  <c r="AF33" i="9" s="1"/>
  <c r="AC46" i="9"/>
  <c r="Y46" i="9"/>
  <c r="AE46" i="9"/>
  <c r="BG29" i="9"/>
  <c r="AV29" i="9"/>
  <c r="BG10" i="9"/>
  <c r="AV10" i="9"/>
  <c r="AC28" i="9"/>
  <c r="AD28" i="9" s="1"/>
  <c r="AC48" i="9"/>
  <c r="Y48" i="9"/>
  <c r="BH48" i="9" s="1"/>
  <c r="AC42" i="9"/>
  <c r="Y42" i="9"/>
  <c r="AC8" i="9"/>
  <c r="Y8" i="9"/>
  <c r="BH8" i="9" s="1"/>
  <c r="AE8" i="9"/>
  <c r="Y29" i="9"/>
  <c r="BH29" i="9" s="1"/>
  <c r="AC29" i="9"/>
  <c r="AC14" i="9"/>
  <c r="Y14" i="9"/>
  <c r="BH14" i="9" s="1"/>
  <c r="AE14" i="9"/>
  <c r="AC36" i="9"/>
  <c r="BG38" i="9"/>
  <c r="AV38" i="9"/>
  <c r="AC44" i="9"/>
  <c r="Y44" i="9"/>
  <c r="AE44" i="9"/>
  <c r="Y13" i="9"/>
  <c r="Z13" i="9" s="1"/>
  <c r="AC13" i="9"/>
  <c r="AE13" i="9"/>
  <c r="BG21" i="9"/>
  <c r="AV21" i="9"/>
  <c r="AE49" i="9"/>
  <c r="Y49" i="9"/>
  <c r="BH49" i="9" s="1"/>
  <c r="Y32" i="9"/>
  <c r="AE32" i="9"/>
  <c r="AC32" i="9"/>
  <c r="BG8" i="9"/>
  <c r="AV8" i="9"/>
  <c r="BG33" i="9"/>
  <c r="AV33" i="9"/>
  <c r="BG49" i="9"/>
  <c r="AV49" i="9"/>
  <c r="AC22" i="9"/>
  <c r="Y22" i="9"/>
  <c r="AV17" i="9"/>
  <c r="AC17" i="9"/>
  <c r="AE17" i="9"/>
  <c r="Y17" i="9"/>
  <c r="AC9" i="9"/>
  <c r="Y9" i="9"/>
  <c r="AE9" i="9"/>
  <c r="BG37" i="9"/>
  <c r="AV37" i="9"/>
  <c r="BG36" i="9"/>
  <c r="AV36" i="9"/>
  <c r="BG27" i="9"/>
  <c r="AV27" i="9"/>
  <c r="BG30" i="9"/>
  <c r="AV30" i="9"/>
  <c r="BG28" i="9"/>
  <c r="AV28" i="9"/>
  <c r="BG40" i="9"/>
  <c r="AV40" i="9"/>
  <c r="Y43" i="9"/>
  <c r="BH43" i="9" s="1"/>
  <c r="AA47" i="9"/>
  <c r="AC19" i="9"/>
  <c r="AC10" i="9"/>
  <c r="Y10" i="9"/>
  <c r="BH10" i="9" s="1"/>
  <c r="AE10" i="9"/>
  <c r="AV18" i="9"/>
  <c r="AC18" i="9"/>
  <c r="AE18" i="9"/>
  <c r="Y18" i="9"/>
  <c r="AC25" i="9"/>
  <c r="BG43" i="9"/>
  <c r="AV43" i="9"/>
  <c r="AE12" i="9"/>
  <c r="AC12" i="9"/>
  <c r="Y12" i="9"/>
  <c r="Y23" i="9"/>
  <c r="AC7" i="9"/>
  <c r="AE7" i="9"/>
  <c r="Y7" i="9"/>
  <c r="Z7" i="9" s="1"/>
  <c r="AC40" i="9"/>
  <c r="Y40" i="9"/>
  <c r="BH40" i="9" s="1"/>
  <c r="BM40" i="9" s="1"/>
  <c r="BO40" i="9" s="1"/>
  <c r="BP40" i="9" s="1"/>
  <c r="Y39" i="9"/>
  <c r="AE39" i="9"/>
  <c r="AF39" i="9" s="1"/>
  <c r="AC39" i="9"/>
  <c r="AD39" i="9" s="1"/>
  <c r="AE19" i="9"/>
  <c r="Y31" i="9"/>
  <c r="AC31" i="9"/>
  <c r="BG39" i="9"/>
  <c r="AV39" i="9"/>
  <c r="BG35" i="9"/>
  <c r="AV35" i="9"/>
  <c r="BG22" i="9"/>
  <c r="AV22" i="9"/>
  <c r="AC38" i="9"/>
  <c r="AE38" i="9"/>
  <c r="Y38" i="9"/>
  <c r="Z38" i="9" s="1"/>
  <c r="BG31" i="9"/>
  <c r="AV31" i="9"/>
  <c r="AC47" i="9"/>
  <c r="Y21" i="9"/>
  <c r="AE21" i="9"/>
  <c r="AC21" i="9"/>
  <c r="BG20" i="9"/>
  <c r="AV20" i="9"/>
  <c r="BG48" i="9"/>
  <c r="AV48" i="9"/>
  <c r="BG13" i="9"/>
  <c r="AV13" i="9"/>
  <c r="BG24" i="9"/>
  <c r="AV24" i="9"/>
  <c r="BG7" i="9"/>
  <c r="AV7" i="9"/>
  <c r="BG15" i="9"/>
  <c r="AV15" i="9"/>
  <c r="AE35" i="9"/>
  <c r="Y35" i="9"/>
  <c r="BG45" i="9"/>
  <c r="AV45" i="9"/>
  <c r="AV26" i="9"/>
  <c r="Y26" i="9"/>
  <c r="BH26" i="9" s="1"/>
  <c r="BM26" i="9" s="1"/>
  <c r="BO26" i="9" s="1"/>
  <c r="BP26" i="9" s="1"/>
  <c r="BG19" i="9"/>
  <c r="BM19" i="9" s="1"/>
  <c r="BO19" i="9" s="1"/>
  <c r="BP19" i="9" s="1"/>
  <c r="AV19" i="9"/>
  <c r="BG6" i="9"/>
  <c r="AV6" i="9"/>
  <c r="BG47" i="9"/>
  <c r="BM47" i="9" s="1"/>
  <c r="BO47" i="9" s="1"/>
  <c r="BP47" i="9" s="1"/>
  <c r="AV47" i="9"/>
  <c r="BG9" i="9"/>
  <c r="AV9" i="9"/>
  <c r="AE41" i="9"/>
  <c r="AE34" i="9"/>
  <c r="Y34" i="9"/>
  <c r="AC34" i="9"/>
  <c r="BG41" i="9"/>
  <c r="BM41" i="9" s="1"/>
  <c r="BO41" i="9" s="1"/>
  <c r="BP41" i="9" s="1"/>
  <c r="AV41" i="9"/>
  <c r="AA25" i="9"/>
  <c r="AC16" i="9"/>
  <c r="Y16" i="9"/>
  <c r="BH16" i="9" s="1"/>
  <c r="BM16" i="9" s="1"/>
  <c r="BO16" i="9" s="1"/>
  <c r="BP16" i="9" s="1"/>
  <c r="AE22" i="9"/>
  <c r="AF48" i="9"/>
  <c r="CI9" i="1"/>
  <c r="CK16" i="1"/>
  <c r="CK29" i="1"/>
  <c r="CI17" i="1"/>
  <c r="CK19" i="1"/>
  <c r="CI13" i="1"/>
  <c r="CK23" i="1"/>
  <c r="CI35" i="1"/>
  <c r="CK38" i="1"/>
  <c r="CI12" i="1"/>
  <c r="CK7" i="1"/>
  <c r="CK10" i="1"/>
  <c r="CI21" i="1"/>
  <c r="CI41" i="1"/>
  <c r="CK8" i="1"/>
  <c r="CI20" i="1"/>
  <c r="CI15" i="1"/>
  <c r="CK34" i="1"/>
  <c r="CK31" i="1"/>
  <c r="CK30" i="1"/>
  <c r="CI22" i="1"/>
  <c r="CI24" i="1"/>
  <c r="CK18" i="1"/>
  <c r="CI44" i="1"/>
  <c r="CK6" i="1"/>
  <c r="CK26" i="1"/>
  <c r="CK45" i="1"/>
  <c r="CI43" i="1"/>
  <c r="CK42" i="1"/>
  <c r="CK46" i="1"/>
  <c r="CI37" i="1"/>
  <c r="CI36" i="1"/>
  <c r="CI32" i="1"/>
  <c r="CI39" i="1"/>
  <c r="CK28" i="1"/>
  <c r="CI14" i="1"/>
  <c r="CK48" i="1"/>
  <c r="AJ5" i="1"/>
  <c r="AI51" i="1"/>
  <c r="CI33" i="1"/>
  <c r="CK25" i="1"/>
  <c r="CI47" i="1"/>
  <c r="CI40" i="1"/>
  <c r="CI27" i="1"/>
  <c r="CI49" i="1"/>
  <c r="AF11" i="9"/>
  <c r="AD11" i="9"/>
  <c r="AF6" i="9"/>
  <c r="Z41" i="9"/>
  <c r="CK11" i="1"/>
  <c r="CI11" i="1"/>
  <c r="AD49" i="9"/>
  <c r="Z21" i="29" l="1"/>
  <c r="Z9" i="27"/>
  <c r="Z34" i="27"/>
  <c r="BM34" i="27"/>
  <c r="BO34" i="27" s="1"/>
  <c r="BP34" i="27" s="1"/>
  <c r="BM29" i="9"/>
  <c r="BO29" i="9" s="1"/>
  <c r="BP29" i="9" s="1"/>
  <c r="AA9" i="27"/>
  <c r="BM42" i="29"/>
  <c r="BO42" i="29" s="1"/>
  <c r="BP42" i="29" s="1"/>
  <c r="AA10" i="27"/>
  <c r="BM33" i="29"/>
  <c r="BO33" i="29" s="1"/>
  <c r="BP33" i="29" s="1"/>
  <c r="Z42" i="29"/>
  <c r="Z36" i="27"/>
  <c r="AA17" i="27"/>
  <c r="Z17" i="27"/>
  <c r="BM40" i="27"/>
  <c r="BO40" i="27" s="1"/>
  <c r="BP40" i="27" s="1"/>
  <c r="BM42" i="27"/>
  <c r="BO42" i="27" s="1"/>
  <c r="BP42" i="27" s="1"/>
  <c r="AA43" i="29"/>
  <c r="BH37" i="29"/>
  <c r="BM37" i="29" s="1"/>
  <c r="BO37" i="29" s="1"/>
  <c r="BP37" i="29" s="1"/>
  <c r="AA37" i="29"/>
  <c r="Z12" i="29"/>
  <c r="BH12" i="29"/>
  <c r="BM12" i="29" s="1"/>
  <c r="BO12" i="29" s="1"/>
  <c r="BP12" i="29" s="1"/>
  <c r="AA12" i="29"/>
  <c r="BH24" i="29"/>
  <c r="BM24" i="29" s="1"/>
  <c r="BO24" i="29" s="1"/>
  <c r="BP24" i="29" s="1"/>
  <c r="AA24" i="29"/>
  <c r="BH47" i="27"/>
  <c r="BM47" i="27" s="1"/>
  <c r="BO47" i="27" s="1"/>
  <c r="BP47" i="27" s="1"/>
  <c r="AA47" i="27"/>
  <c r="BH8" i="29"/>
  <c r="BM8" i="29" s="1"/>
  <c r="BO8" i="29" s="1"/>
  <c r="BP8" i="29" s="1"/>
  <c r="AA8" i="29"/>
  <c r="Z17" i="29"/>
  <c r="BH49" i="29"/>
  <c r="BM49" i="29" s="1"/>
  <c r="BO49" i="29" s="1"/>
  <c r="BP49" i="29" s="1"/>
  <c r="AA49" i="29"/>
  <c r="BH39" i="29"/>
  <c r="BM39" i="29" s="1"/>
  <c r="BO39" i="29" s="1"/>
  <c r="BP39" i="29" s="1"/>
  <c r="AA39" i="29"/>
  <c r="Z44" i="29"/>
  <c r="BH44" i="29"/>
  <c r="BM44" i="29" s="1"/>
  <c r="BO44" i="29" s="1"/>
  <c r="BP44" i="29" s="1"/>
  <c r="AA44" i="29"/>
  <c r="BM23" i="27"/>
  <c r="BO23" i="27" s="1"/>
  <c r="BP23" i="27" s="1"/>
  <c r="AA23" i="27"/>
  <c r="BH25" i="29"/>
  <c r="BM25" i="29" s="1"/>
  <c r="BO25" i="29" s="1"/>
  <c r="BP25" i="29" s="1"/>
  <c r="AA25" i="29"/>
  <c r="BH24" i="27"/>
  <c r="BM24" i="27" s="1"/>
  <c r="BO24" i="27" s="1"/>
  <c r="BP24" i="27" s="1"/>
  <c r="AA24" i="27"/>
  <c r="AA28" i="29"/>
  <c r="BH26" i="27"/>
  <c r="BM26" i="27" s="1"/>
  <c r="BO26" i="27" s="1"/>
  <c r="BP26" i="27" s="1"/>
  <c r="AA26" i="27"/>
  <c r="Z10" i="29"/>
  <c r="BH10" i="29"/>
  <c r="BM10" i="29" s="1"/>
  <c r="BO10" i="29" s="1"/>
  <c r="BP10" i="29" s="1"/>
  <c r="AA10" i="29"/>
  <c r="BH45" i="27"/>
  <c r="BM45" i="27" s="1"/>
  <c r="BO45" i="27" s="1"/>
  <c r="BP45" i="27" s="1"/>
  <c r="AA45" i="27"/>
  <c r="BH15" i="29"/>
  <c r="BM15" i="29" s="1"/>
  <c r="BO15" i="29" s="1"/>
  <c r="BP15" i="29" s="1"/>
  <c r="AA15" i="29"/>
  <c r="Z47" i="29"/>
  <c r="AA8" i="27"/>
  <c r="Z30" i="27"/>
  <c r="BH18" i="29"/>
  <c r="BM18" i="29" s="1"/>
  <c r="BO18" i="29" s="1"/>
  <c r="BP18" i="29" s="1"/>
  <c r="AA18" i="29"/>
  <c r="BH29" i="27"/>
  <c r="BM29" i="27" s="1"/>
  <c r="BO29" i="27" s="1"/>
  <c r="BP29" i="27" s="1"/>
  <c r="AA29" i="27"/>
  <c r="Z10" i="27"/>
  <c r="BH45" i="29"/>
  <c r="BM45" i="29" s="1"/>
  <c r="BO45" i="29" s="1"/>
  <c r="BP45" i="29" s="1"/>
  <c r="AA45" i="29"/>
  <c r="BM30" i="27"/>
  <c r="BO30" i="27" s="1"/>
  <c r="BP30" i="27" s="1"/>
  <c r="BH38" i="29"/>
  <c r="BM38" i="29" s="1"/>
  <c r="BO38" i="29" s="1"/>
  <c r="BP38" i="29" s="1"/>
  <c r="AA38" i="29"/>
  <c r="BM10" i="9"/>
  <c r="BO10" i="9" s="1"/>
  <c r="BP10" i="9" s="1"/>
  <c r="BH13" i="29"/>
  <c r="BM13" i="29" s="1"/>
  <c r="BO13" i="29" s="1"/>
  <c r="BP13" i="29" s="1"/>
  <c r="AA13" i="29"/>
  <c r="BM10" i="27"/>
  <c r="BO10" i="27" s="1"/>
  <c r="BP10" i="27" s="1"/>
  <c r="BH41" i="27"/>
  <c r="BM41" i="27" s="1"/>
  <c r="BO41" i="27" s="1"/>
  <c r="BP41" i="27" s="1"/>
  <c r="AA41" i="27"/>
  <c r="BH14" i="27"/>
  <c r="BM14" i="27" s="1"/>
  <c r="BO14" i="27" s="1"/>
  <c r="BP14" i="27" s="1"/>
  <c r="AA14" i="27"/>
  <c r="BH20" i="29"/>
  <c r="BM20" i="29" s="1"/>
  <c r="BO20" i="29" s="1"/>
  <c r="BP20" i="29" s="1"/>
  <c r="AA20" i="29"/>
  <c r="BH13" i="27"/>
  <c r="BM13" i="27" s="1"/>
  <c r="BO13" i="27" s="1"/>
  <c r="BP13" i="27" s="1"/>
  <c r="AA13" i="27"/>
  <c r="BH31" i="27"/>
  <c r="BM31" i="27" s="1"/>
  <c r="BO31" i="27" s="1"/>
  <c r="BP31" i="27" s="1"/>
  <c r="AA31" i="27"/>
  <c r="BH28" i="27"/>
  <c r="BM28" i="27" s="1"/>
  <c r="BO28" i="27" s="1"/>
  <c r="BP28" i="27" s="1"/>
  <c r="AA28" i="27"/>
  <c r="BH27" i="27"/>
  <c r="BM27" i="27" s="1"/>
  <c r="BO27" i="27" s="1"/>
  <c r="BP27" i="27" s="1"/>
  <c r="AA27" i="27"/>
  <c r="BH22" i="27"/>
  <c r="BM22" i="27" s="1"/>
  <c r="BO22" i="27" s="1"/>
  <c r="BP22" i="27" s="1"/>
  <c r="AA22" i="27"/>
  <c r="BH49" i="27"/>
  <c r="BM49" i="27" s="1"/>
  <c r="BO49" i="27" s="1"/>
  <c r="BP49" i="27" s="1"/>
  <c r="AA49" i="27"/>
  <c r="AA47" i="29"/>
  <c r="BH46" i="29"/>
  <c r="BM46" i="29" s="1"/>
  <c r="BO46" i="29" s="1"/>
  <c r="BP46" i="29" s="1"/>
  <c r="AA46" i="29"/>
  <c r="BH39" i="27"/>
  <c r="BM39" i="27" s="1"/>
  <c r="BO39" i="27" s="1"/>
  <c r="BP39" i="27" s="1"/>
  <c r="AA39" i="27"/>
  <c r="BH35" i="27"/>
  <c r="BM35" i="27" s="1"/>
  <c r="BO35" i="27" s="1"/>
  <c r="BP35" i="27" s="1"/>
  <c r="AA35" i="27"/>
  <c r="BH19" i="29"/>
  <c r="BM19" i="29" s="1"/>
  <c r="BO19" i="29" s="1"/>
  <c r="BP19" i="29" s="1"/>
  <c r="AA19" i="29"/>
  <c r="AA31" i="29"/>
  <c r="BH31" i="29"/>
  <c r="BM31" i="29" s="1"/>
  <c r="BO31" i="29" s="1"/>
  <c r="BP31" i="29" s="1"/>
  <c r="BM8" i="9"/>
  <c r="BO8" i="9" s="1"/>
  <c r="BP8" i="9" s="1"/>
  <c r="Z8" i="27"/>
  <c r="Z28" i="29"/>
  <c r="BH35" i="29"/>
  <c r="BM35" i="29" s="1"/>
  <c r="BO35" i="29" s="1"/>
  <c r="BP35" i="29" s="1"/>
  <c r="AA35" i="29"/>
  <c r="Z15" i="27"/>
  <c r="AA22" i="29"/>
  <c r="BH22" i="29"/>
  <c r="BM22" i="29" s="1"/>
  <c r="BO22" i="29" s="1"/>
  <c r="BP22" i="29" s="1"/>
  <c r="BH33" i="27"/>
  <c r="BM33" i="27" s="1"/>
  <c r="BO33" i="27" s="1"/>
  <c r="BP33" i="27" s="1"/>
  <c r="AA33" i="27"/>
  <c r="BH37" i="27"/>
  <c r="BM37" i="27" s="1"/>
  <c r="BO37" i="27" s="1"/>
  <c r="BP37" i="27" s="1"/>
  <c r="AA37" i="27"/>
  <c r="BH34" i="29"/>
  <c r="BM34" i="29" s="1"/>
  <c r="BO34" i="29" s="1"/>
  <c r="BP34" i="29" s="1"/>
  <c r="AA34" i="29"/>
  <c r="BH36" i="29"/>
  <c r="BM36" i="29" s="1"/>
  <c r="BO36" i="29" s="1"/>
  <c r="BP36" i="29" s="1"/>
  <c r="AA36" i="29"/>
  <c r="BM15" i="27"/>
  <c r="BO15" i="27" s="1"/>
  <c r="BP15" i="27" s="1"/>
  <c r="BH48" i="29"/>
  <c r="BM48" i="29" s="1"/>
  <c r="BO48" i="29" s="1"/>
  <c r="BP48" i="29" s="1"/>
  <c r="AA48" i="29"/>
  <c r="BH40" i="29"/>
  <c r="BM40" i="29" s="1"/>
  <c r="BO40" i="29" s="1"/>
  <c r="BP40" i="29" s="1"/>
  <c r="AA40" i="29"/>
  <c r="BM21" i="29"/>
  <c r="BO21" i="29" s="1"/>
  <c r="BP21" i="29" s="1"/>
  <c r="BH32" i="29"/>
  <c r="BM32" i="29" s="1"/>
  <c r="BO32" i="29" s="1"/>
  <c r="BP32" i="29" s="1"/>
  <c r="AA32" i="29"/>
  <c r="BH23" i="29"/>
  <c r="BM23" i="29" s="1"/>
  <c r="BO23" i="29" s="1"/>
  <c r="BP23" i="29" s="1"/>
  <c r="AA23" i="29"/>
  <c r="BH26" i="29"/>
  <c r="BM26" i="29" s="1"/>
  <c r="BO26" i="29" s="1"/>
  <c r="BP26" i="29" s="1"/>
  <c r="AA26" i="29"/>
  <c r="BM36" i="27"/>
  <c r="BO36" i="27" s="1"/>
  <c r="BP36" i="27" s="1"/>
  <c r="BH48" i="27"/>
  <c r="BM48" i="27" s="1"/>
  <c r="BO48" i="27" s="1"/>
  <c r="BP48" i="27" s="1"/>
  <c r="AA48" i="27"/>
  <c r="BH20" i="27"/>
  <c r="BM20" i="27" s="1"/>
  <c r="BO20" i="27" s="1"/>
  <c r="BP20" i="27" s="1"/>
  <c r="AA20" i="27"/>
  <c r="BH46" i="27"/>
  <c r="BM46" i="27" s="1"/>
  <c r="BO46" i="27" s="1"/>
  <c r="BP46" i="27" s="1"/>
  <c r="AA46" i="27"/>
  <c r="BH38" i="27"/>
  <c r="BM38" i="27" s="1"/>
  <c r="BO38" i="27" s="1"/>
  <c r="BP38" i="27" s="1"/>
  <c r="AA38" i="27"/>
  <c r="AA21" i="29"/>
  <c r="BH41" i="29"/>
  <c r="BM41" i="29" s="1"/>
  <c r="BO41" i="29" s="1"/>
  <c r="BP41" i="29" s="1"/>
  <c r="AA41" i="29"/>
  <c r="BH27" i="29"/>
  <c r="BM27" i="29" s="1"/>
  <c r="BO27" i="29" s="1"/>
  <c r="BP27" i="29" s="1"/>
  <c r="AA27" i="29"/>
  <c r="BH19" i="27"/>
  <c r="BM19" i="27" s="1"/>
  <c r="BO19" i="27" s="1"/>
  <c r="BP19" i="27" s="1"/>
  <c r="AA19" i="27"/>
  <c r="BH21" i="27"/>
  <c r="BM21" i="27" s="1"/>
  <c r="BO21" i="27" s="1"/>
  <c r="BP21" i="27" s="1"/>
  <c r="AA21" i="27"/>
  <c r="BH29" i="29"/>
  <c r="BM29" i="29" s="1"/>
  <c r="BO29" i="29" s="1"/>
  <c r="BP29" i="29" s="1"/>
  <c r="AA29" i="29"/>
  <c r="Z14" i="29"/>
  <c r="BH14" i="29"/>
  <c r="BM14" i="29" s="1"/>
  <c r="BO14" i="29" s="1"/>
  <c r="BP14" i="29" s="1"/>
  <c r="AA14" i="29"/>
  <c r="BH9" i="29"/>
  <c r="BM9" i="29" s="1"/>
  <c r="BO9" i="29" s="1"/>
  <c r="BP9" i="29" s="1"/>
  <c r="AA9" i="29"/>
  <c r="BM43" i="29"/>
  <c r="BO43" i="29" s="1"/>
  <c r="BP43" i="29" s="1"/>
  <c r="AA19" i="9"/>
  <c r="BH12" i="27"/>
  <c r="BM12" i="27" s="1"/>
  <c r="BO12" i="27" s="1"/>
  <c r="BP12" i="27" s="1"/>
  <c r="AA12" i="27"/>
  <c r="BM17" i="27"/>
  <c r="BO17" i="27" s="1"/>
  <c r="BP17" i="27" s="1"/>
  <c r="BH44" i="27"/>
  <c r="BM44" i="27" s="1"/>
  <c r="BO44" i="27" s="1"/>
  <c r="BP44" i="27" s="1"/>
  <c r="AA44" i="27"/>
  <c r="AA40" i="27"/>
  <c r="BH18" i="27"/>
  <c r="BM18" i="27" s="1"/>
  <c r="BO18" i="27" s="1"/>
  <c r="BP18" i="27" s="1"/>
  <c r="AA18" i="27"/>
  <c r="BH16" i="27"/>
  <c r="BM16" i="27" s="1"/>
  <c r="BO16" i="27" s="1"/>
  <c r="BP16" i="27" s="1"/>
  <c r="AA16" i="27"/>
  <c r="AA42" i="29"/>
  <c r="BH16" i="29"/>
  <c r="BM16" i="29" s="1"/>
  <c r="BO16" i="29" s="1"/>
  <c r="BP16" i="29" s="1"/>
  <c r="AA16" i="29"/>
  <c r="BH32" i="27"/>
  <c r="BM32" i="27" s="1"/>
  <c r="BO32" i="27" s="1"/>
  <c r="BP32" i="27" s="1"/>
  <c r="AA32" i="27"/>
  <c r="Z37" i="29"/>
  <c r="AA42" i="27"/>
  <c r="BH43" i="27"/>
  <c r="BM43" i="27" s="1"/>
  <c r="BO43" i="27" s="1"/>
  <c r="BP43" i="27" s="1"/>
  <c r="AA43" i="27"/>
  <c r="Z24" i="29"/>
  <c r="Z47" i="27"/>
  <c r="BH25" i="27"/>
  <c r="BM25" i="27" s="1"/>
  <c r="BO25" i="27" s="1"/>
  <c r="BP25" i="27" s="1"/>
  <c r="AA25" i="27"/>
  <c r="BM9" i="27"/>
  <c r="BO9" i="27" s="1"/>
  <c r="BP9" i="27" s="1"/>
  <c r="Z40" i="27"/>
  <c r="AA17" i="29"/>
  <c r="Z8" i="29"/>
  <c r="BH11" i="27"/>
  <c r="BM11" i="27" s="1"/>
  <c r="BO11" i="27" s="1"/>
  <c r="BP11" i="27" s="1"/>
  <c r="AA11" i="27"/>
  <c r="Z11" i="27"/>
  <c r="BM24" i="9"/>
  <c r="BO24" i="9" s="1"/>
  <c r="BP24" i="9" s="1"/>
  <c r="BH6" i="27"/>
  <c r="BM6" i="27" s="1"/>
  <c r="BO6" i="27" s="1"/>
  <c r="Z6" i="27"/>
  <c r="AA6" i="27"/>
  <c r="BH6" i="29"/>
  <c r="BM6" i="29" s="1"/>
  <c r="BO6" i="29" s="1"/>
  <c r="Z6" i="29"/>
  <c r="AA6" i="29"/>
  <c r="BH7" i="27"/>
  <c r="BM7" i="27" s="1"/>
  <c r="BO7" i="27" s="1"/>
  <c r="BP7" i="27" s="1"/>
  <c r="Z7" i="27"/>
  <c r="AA7" i="27"/>
  <c r="BH7" i="29"/>
  <c r="BM7" i="29" s="1"/>
  <c r="BO7" i="29" s="1"/>
  <c r="BP7" i="29" s="1"/>
  <c r="AA7" i="29"/>
  <c r="Z7" i="29"/>
  <c r="CD6" i="1"/>
  <c r="BM45" i="9"/>
  <c r="BO45" i="9" s="1"/>
  <c r="BP45" i="9" s="1"/>
  <c r="BM36" i="9"/>
  <c r="BO36" i="9" s="1"/>
  <c r="BP36" i="9" s="1"/>
  <c r="BM15" i="9"/>
  <c r="BO15" i="9" s="1"/>
  <c r="BP15" i="9" s="1"/>
  <c r="BM43" i="9"/>
  <c r="BO43" i="9" s="1"/>
  <c r="BP43" i="9" s="1"/>
  <c r="BM33" i="9"/>
  <c r="BO33" i="9" s="1"/>
  <c r="BP33" i="9" s="1"/>
  <c r="BM49" i="9"/>
  <c r="BO49" i="9" s="1"/>
  <c r="BP49" i="9" s="1"/>
  <c r="AA10" i="9"/>
  <c r="Z45" i="9"/>
  <c r="AA8" i="9"/>
  <c r="AA33" i="9"/>
  <c r="AA48" i="9"/>
  <c r="AA14" i="9"/>
  <c r="AA20" i="9"/>
  <c r="AA49" i="9"/>
  <c r="AA29" i="9"/>
  <c r="AA15" i="9"/>
  <c r="AA37" i="9"/>
  <c r="AA45" i="9"/>
  <c r="AA27" i="9"/>
  <c r="Z20" i="9"/>
  <c r="AA26" i="9"/>
  <c r="Z26" i="9"/>
  <c r="Z28" i="9"/>
  <c r="Z43" i="9"/>
  <c r="AA28" i="9"/>
  <c r="AA17" i="9"/>
  <c r="BH17" i="9"/>
  <c r="BM17" i="9" s="1"/>
  <c r="BO17" i="9" s="1"/>
  <c r="BP17" i="9" s="1"/>
  <c r="BH6" i="9"/>
  <c r="BM6" i="9" s="1"/>
  <c r="BO6" i="9" s="1"/>
  <c r="BP6" i="9" s="1"/>
  <c r="Z6" i="9"/>
  <c r="Z8" i="9"/>
  <c r="AA31" i="9"/>
  <c r="BH31" i="9"/>
  <c r="BM31" i="9" s="1"/>
  <c r="BO31" i="9" s="1"/>
  <c r="BP31" i="9" s="1"/>
  <c r="AA12" i="9"/>
  <c r="BH12" i="9"/>
  <c r="BM12" i="9" s="1"/>
  <c r="BO12" i="9" s="1"/>
  <c r="BP12" i="9" s="1"/>
  <c r="AA39" i="9"/>
  <c r="BH39" i="9"/>
  <c r="BM39" i="9" s="1"/>
  <c r="BO39" i="9" s="1"/>
  <c r="BP39" i="9" s="1"/>
  <c r="Z39" i="9"/>
  <c r="BM20" i="9"/>
  <c r="BO20" i="9" s="1"/>
  <c r="BP20" i="9" s="1"/>
  <c r="AA7" i="9"/>
  <c r="BH7" i="9"/>
  <c r="BM7" i="9" s="1"/>
  <c r="BO7" i="9" s="1"/>
  <c r="BP7" i="9" s="1"/>
  <c r="AA22" i="9"/>
  <c r="BH22" i="9"/>
  <c r="BM22" i="9" s="1"/>
  <c r="BO22" i="9" s="1"/>
  <c r="BP22" i="9" s="1"/>
  <c r="BM48" i="9"/>
  <c r="BO48" i="9" s="1"/>
  <c r="BP48" i="9" s="1"/>
  <c r="AA18" i="9"/>
  <c r="BH18" i="9"/>
  <c r="BM18" i="9" s="1"/>
  <c r="BO18" i="9" s="1"/>
  <c r="BP18" i="9" s="1"/>
  <c r="BH34" i="9"/>
  <c r="BM34" i="9" s="1"/>
  <c r="BO34" i="9" s="1"/>
  <c r="BP34" i="9" s="1"/>
  <c r="AA34" i="9"/>
  <c r="BH42" i="9"/>
  <c r="BM42" i="9" s="1"/>
  <c r="BO42" i="9" s="1"/>
  <c r="BP42" i="9" s="1"/>
  <c r="AA42" i="9"/>
  <c r="BH46" i="9"/>
  <c r="BM46" i="9" s="1"/>
  <c r="BO46" i="9" s="1"/>
  <c r="BP46" i="9" s="1"/>
  <c r="AA46" i="9"/>
  <c r="AA36" i="9"/>
  <c r="BM30" i="9"/>
  <c r="BO30" i="9" s="1"/>
  <c r="BP30" i="9" s="1"/>
  <c r="BM14" i="9"/>
  <c r="BO14" i="9" s="1"/>
  <c r="BP14" i="9" s="1"/>
  <c r="AA43" i="9"/>
  <c r="BM27" i="9"/>
  <c r="BO27" i="9" s="1"/>
  <c r="BP27" i="9" s="1"/>
  <c r="AA30" i="9"/>
  <c r="AA23" i="9"/>
  <c r="BH23" i="9"/>
  <c r="BM23" i="9" s="1"/>
  <c r="BO23" i="9" s="1"/>
  <c r="BP23" i="9" s="1"/>
  <c r="AA13" i="9"/>
  <c r="BH13" i="9"/>
  <c r="BM13" i="9" s="1"/>
  <c r="BO13" i="9" s="1"/>
  <c r="BP13" i="9" s="1"/>
  <c r="AA44" i="9"/>
  <c r="BH44" i="9"/>
  <c r="BM44" i="9" s="1"/>
  <c r="BO44" i="9" s="1"/>
  <c r="BP44" i="9" s="1"/>
  <c r="Z11" i="9"/>
  <c r="BH11" i="9"/>
  <c r="BM11" i="9" s="1"/>
  <c r="BO11" i="9" s="1"/>
  <c r="BP11" i="9" s="1"/>
  <c r="AA11" i="9"/>
  <c r="AA21" i="9"/>
  <c r="BH21" i="9"/>
  <c r="BM21" i="9" s="1"/>
  <c r="BO21" i="9" s="1"/>
  <c r="BP21" i="9" s="1"/>
  <c r="AA38" i="9"/>
  <c r="BH38" i="9"/>
  <c r="BM38" i="9" s="1"/>
  <c r="BO38" i="9" s="1"/>
  <c r="BP38" i="9" s="1"/>
  <c r="AA9" i="9"/>
  <c r="BH9" i="9"/>
  <c r="BM9" i="9" s="1"/>
  <c r="BO9" i="9" s="1"/>
  <c r="BP9" i="9" s="1"/>
  <c r="BM28" i="9"/>
  <c r="BO28" i="9" s="1"/>
  <c r="BP28" i="9" s="1"/>
  <c r="BM37" i="9"/>
  <c r="BO37" i="9" s="1"/>
  <c r="BP37" i="9" s="1"/>
  <c r="AA32" i="9"/>
  <c r="BH32" i="9"/>
  <c r="BM32" i="9" s="1"/>
  <c r="BO32" i="9" s="1"/>
  <c r="BP32" i="9" s="1"/>
  <c r="AA35" i="9"/>
  <c r="BH35" i="9"/>
  <c r="BM35" i="9" s="1"/>
  <c r="BO35" i="9" s="1"/>
  <c r="BP35" i="9" s="1"/>
  <c r="AA16" i="9"/>
  <c r="AA40" i="9"/>
  <c r="AA24" i="9"/>
  <c r="AD13" i="9"/>
  <c r="AD48" i="9"/>
  <c r="Z48" i="9"/>
  <c r="AF13" i="9"/>
  <c r="Z17" i="9"/>
  <c r="AF26" i="9"/>
  <c r="Z18" i="9"/>
  <c r="Z34" i="9"/>
  <c r="AF46" i="9"/>
  <c r="AD26" i="9"/>
  <c r="AF24" i="9"/>
  <c r="AD8" i="9"/>
  <c r="AF7" i="9"/>
  <c r="AF38" i="9"/>
  <c r="AD38" i="9"/>
  <c r="AF8" i="9"/>
  <c r="AK5" i="1"/>
  <c r="AJ51" i="1"/>
  <c r="Z47" i="9"/>
  <c r="Z15" i="9"/>
  <c r="Z44" i="9"/>
  <c r="AD41" i="9"/>
  <c r="Z37" i="9"/>
  <c r="AD7" i="9"/>
  <c r="Z9" i="9"/>
  <c r="AF41" i="9"/>
  <c r="AF45" i="9"/>
  <c r="AD45" i="9"/>
  <c r="AD35" i="9"/>
  <c r="AF16" i="9"/>
  <c r="AD43" i="9"/>
  <c r="Z21" i="9"/>
  <c r="Z19" i="9"/>
  <c r="Z36" i="9"/>
  <c r="AF43" i="9"/>
  <c r="AF36" i="9"/>
  <c r="AF10" i="9"/>
  <c r="AD32" i="9"/>
  <c r="Z29" i="9"/>
  <c r="AD20" i="9"/>
  <c r="AF20" i="9"/>
  <c r="AD44" i="9"/>
  <c r="AD36" i="9"/>
  <c r="AD33" i="9"/>
  <c r="Z33" i="9"/>
  <c r="AF14" i="9"/>
  <c r="Z30" i="9"/>
  <c r="AF44" i="9"/>
  <c r="AF49" i="9"/>
  <c r="Z49" i="9"/>
  <c r="AF32" i="9"/>
  <c r="Z32" i="9"/>
  <c r="W5" i="29" l="1"/>
  <c r="W5" i="27"/>
  <c r="BP6" i="29"/>
  <c r="CE6" i="1"/>
  <c r="BP6" i="27"/>
  <c r="BU5" i="1"/>
  <c r="BU51" i="1" s="1"/>
  <c r="W5" i="9"/>
  <c r="W51" i="9" s="1"/>
  <c r="AF17" i="9"/>
  <c r="AD17" i="9"/>
  <c r="AD34" i="9"/>
  <c r="Z23" i="9"/>
  <c r="AF18" i="9"/>
  <c r="Z46" i="9"/>
  <c r="AF34" i="9"/>
  <c r="AD46" i="9"/>
  <c r="AD18" i="9"/>
  <c r="Z24" i="9"/>
  <c r="AD21" i="9"/>
  <c r="AF21" i="9"/>
  <c r="AD24" i="9"/>
  <c r="Z12" i="9"/>
  <c r="AF12" i="9"/>
  <c r="Z42" i="9"/>
  <c r="AF29" i="9"/>
  <c r="AD12" i="9"/>
  <c r="AD29" i="9"/>
  <c r="AD37" i="9"/>
  <c r="AF30" i="9"/>
  <c r="AD22" i="9"/>
  <c r="AD47" i="9"/>
  <c r="AF47" i="9"/>
  <c r="AF37" i="9"/>
  <c r="AK51" i="1"/>
  <c r="AM5" i="1"/>
  <c r="AM51" i="1" s="1"/>
  <c r="BG5" i="1"/>
  <c r="BG51" i="1" s="1"/>
  <c r="BF5" i="1"/>
  <c r="BF51" i="1" s="1"/>
  <c r="AL5" i="1"/>
  <c r="BJ5" i="1"/>
  <c r="BJ51" i="1" s="1"/>
  <c r="BI5" i="1"/>
  <c r="BI51" i="1" s="1"/>
  <c r="BH5" i="1"/>
  <c r="BH51" i="1" s="1"/>
  <c r="AF40" i="9"/>
  <c r="Z40" i="9"/>
  <c r="Z31" i="9"/>
  <c r="AD14" i="9"/>
  <c r="AD27" i="9"/>
  <c r="Z27" i="9"/>
  <c r="AD10" i="9"/>
  <c r="Z10" i="9"/>
  <c r="AD16" i="9"/>
  <c r="Z16" i="9"/>
  <c r="Z35" i="9"/>
  <c r="AD19" i="9"/>
  <c r="Z14" i="9"/>
  <c r="AF22" i="9"/>
  <c r="Z22" i="9"/>
  <c r="AF19" i="9"/>
  <c r="AD30" i="9"/>
  <c r="AF15" i="9"/>
  <c r="AD9" i="9"/>
  <c r="Z25" i="9"/>
  <c r="AF9" i="9"/>
  <c r="AD15" i="9"/>
  <c r="AD40" i="9"/>
  <c r="AF35" i="9"/>
  <c r="AF27" i="9"/>
  <c r="AT5" i="27" l="1"/>
  <c r="BK5" i="27" s="1"/>
  <c r="BF5" i="27"/>
  <c r="BF51" i="27" s="1"/>
  <c r="W51" i="27"/>
  <c r="AQ5" i="27"/>
  <c r="AR5" i="27"/>
  <c r="BI5" i="27" s="1"/>
  <c r="AU5" i="27"/>
  <c r="BL5" i="27" s="1"/>
  <c r="X5" i="27"/>
  <c r="AE5" i="27" s="1"/>
  <c r="AF5" i="27" s="1"/>
  <c r="AS5" i="27"/>
  <c r="BJ5" i="27" s="1"/>
  <c r="BF5" i="29"/>
  <c r="BF51" i="29" s="1"/>
  <c r="W51" i="29"/>
  <c r="AT5" i="29"/>
  <c r="BK5" i="29" s="1"/>
  <c r="AR5" i="29"/>
  <c r="BI5" i="29" s="1"/>
  <c r="AS5" i="29"/>
  <c r="BJ5" i="29" s="1"/>
  <c r="X5" i="29"/>
  <c r="AQ5" i="29"/>
  <c r="AU5" i="29"/>
  <c r="BL5" i="29" s="1"/>
  <c r="AT5" i="9"/>
  <c r="BK5" i="9" s="1"/>
  <c r="BX54" i="1"/>
  <c r="CA54" i="1"/>
  <c r="BZ54" i="1"/>
  <c r="BY54" i="1"/>
  <c r="BV54" i="1"/>
  <c r="AR51" i="1"/>
  <c r="AS51" i="1" s="1"/>
  <c r="AQ5" i="9"/>
  <c r="BG5" i="9" s="1"/>
  <c r="BZ53" i="1"/>
  <c r="BY53" i="1"/>
  <c r="BV53" i="1"/>
  <c r="BX53" i="1"/>
  <c r="BF5" i="9"/>
  <c r="BF51" i="9" s="1"/>
  <c r="AT51" i="9"/>
  <c r="BK51" i="9" s="1"/>
  <c r="BK54" i="9" s="1"/>
  <c r="AQ51" i="9"/>
  <c r="BG51" i="9" s="1"/>
  <c r="BW5" i="1"/>
  <c r="BW51" i="1" s="1"/>
  <c r="AN5" i="1"/>
  <c r="AD23" i="9"/>
  <c r="AF23" i="9"/>
  <c r="AD42" i="9"/>
  <c r="BY5" i="1"/>
  <c r="BY51" i="1" s="1"/>
  <c r="BZ5" i="1"/>
  <c r="BZ51" i="1" s="1"/>
  <c r="CA5" i="1"/>
  <c r="CA51" i="1" s="1"/>
  <c r="AD31" i="9"/>
  <c r="AF25" i="9"/>
  <c r="AD25" i="9"/>
  <c r="BX5" i="1"/>
  <c r="BX51" i="1" s="1"/>
  <c r="AF42" i="9"/>
  <c r="BV5" i="1"/>
  <c r="BV51" i="1" s="1"/>
  <c r="AP5" i="1"/>
  <c r="AR5" i="1"/>
  <c r="AS5" i="1" s="1"/>
  <c r="AL51" i="1"/>
  <c r="AO5" i="1"/>
  <c r="CH5" i="1"/>
  <c r="BK5" i="1"/>
  <c r="BK51" i="1" s="1"/>
  <c r="AN51" i="1"/>
  <c r="AT5" i="1"/>
  <c r="AU5" i="1" s="1"/>
  <c r="AF31" i="9"/>
  <c r="AC5" i="27" l="1"/>
  <c r="AD5" i="27" s="1"/>
  <c r="CA53" i="1"/>
  <c r="BG5" i="29"/>
  <c r="AV5" i="29"/>
  <c r="AV51" i="29" s="1"/>
  <c r="AS51" i="29"/>
  <c r="BJ51" i="29" s="1"/>
  <c r="BJ54" i="29" s="1"/>
  <c r="AT51" i="29"/>
  <c r="BK51" i="29" s="1"/>
  <c r="BK54" i="29" s="1"/>
  <c r="AR51" i="29"/>
  <c r="BI51" i="29" s="1"/>
  <c r="BI54" i="29" s="1"/>
  <c r="AU51" i="29"/>
  <c r="BL51" i="29" s="1"/>
  <c r="BL54" i="29" s="1"/>
  <c r="AQ51" i="29"/>
  <c r="BG51" i="29" s="1"/>
  <c r="Y5" i="29"/>
  <c r="Z5" i="29" s="1"/>
  <c r="X51" i="29"/>
  <c r="AC51" i="29" s="1"/>
  <c r="AD51" i="29" s="1"/>
  <c r="BJ53" i="29"/>
  <c r="BJ55" i="29" s="1"/>
  <c r="BJ57" i="29" s="1"/>
  <c r="BI53" i="29"/>
  <c r="BI55" i="29" s="1"/>
  <c r="BI57" i="29" s="1"/>
  <c r="BK53" i="29"/>
  <c r="BK55" i="29" s="1"/>
  <c r="BG53" i="29"/>
  <c r="BL53" i="29"/>
  <c r="BL55" i="29" s="1"/>
  <c r="AT51" i="27"/>
  <c r="BK51" i="27" s="1"/>
  <c r="BK54" i="27" s="1"/>
  <c r="AQ51" i="27"/>
  <c r="BG51" i="27" s="1"/>
  <c r="AS51" i="27"/>
  <c r="BJ51" i="27" s="1"/>
  <c r="BJ54" i="27" s="1"/>
  <c r="AR51" i="27"/>
  <c r="BI51" i="27" s="1"/>
  <c r="BI54" i="27" s="1"/>
  <c r="AU51" i="27"/>
  <c r="BL51" i="27" s="1"/>
  <c r="BL54" i="27" s="1"/>
  <c r="AC5" i="29"/>
  <c r="AD5" i="29" s="1"/>
  <c r="BK53" i="27"/>
  <c r="BI53" i="27"/>
  <c r="BJ53" i="27"/>
  <c r="BG53" i="27"/>
  <c r="BL53" i="27"/>
  <c r="BL55" i="27" s="1"/>
  <c r="X51" i="27"/>
  <c r="AC51" i="27" s="1"/>
  <c r="AD51" i="27" s="1"/>
  <c r="Y5" i="27"/>
  <c r="BG5" i="27"/>
  <c r="AV5" i="27"/>
  <c r="AV51" i="27" s="1"/>
  <c r="AE5" i="29"/>
  <c r="AF5" i="29" s="1"/>
  <c r="BX55" i="1"/>
  <c r="BX57" i="1" s="1"/>
  <c r="BZ55" i="1"/>
  <c r="BZ59" i="1" s="1"/>
  <c r="BY55" i="1"/>
  <c r="BY57" i="1" s="1"/>
  <c r="CA55" i="1"/>
  <c r="CA59" i="1" s="1"/>
  <c r="AP51" i="1"/>
  <c r="BK53" i="9"/>
  <c r="BK55" i="9" s="1"/>
  <c r="BG53" i="9"/>
  <c r="CH51" i="1"/>
  <c r="CI51" i="1" s="1"/>
  <c r="CK5" i="1"/>
  <c r="BV55" i="1"/>
  <c r="BV57" i="1" s="1"/>
  <c r="CB5" i="1"/>
  <c r="CB51" i="1" s="1"/>
  <c r="CI5" i="1"/>
  <c r="AT51" i="1"/>
  <c r="AU51" i="1" s="1"/>
  <c r="AO51" i="1"/>
  <c r="BJ55" i="27" l="1"/>
  <c r="BJ57" i="27" s="1"/>
  <c r="BI55" i="27"/>
  <c r="BI57" i="27" s="1"/>
  <c r="AH5" i="29"/>
  <c r="Z51" i="29"/>
  <c r="BK57" i="29"/>
  <c r="BK61" i="29"/>
  <c r="Z5" i="27"/>
  <c r="Z51" i="27" s="1"/>
  <c r="BH5" i="27"/>
  <c r="BM5" i="27" s="1"/>
  <c r="BO5" i="27" s="1"/>
  <c r="Y51" i="27"/>
  <c r="BH51" i="27" s="1"/>
  <c r="BM51" i="27" s="1"/>
  <c r="AA5" i="27"/>
  <c r="AA51" i="27" s="1"/>
  <c r="AH5" i="27"/>
  <c r="BL61" i="29"/>
  <c r="BL59" i="29"/>
  <c r="BL61" i="27"/>
  <c r="BL59" i="27"/>
  <c r="BG54" i="27"/>
  <c r="BG55" i="27" s="1"/>
  <c r="BG57" i="27" s="1"/>
  <c r="AE51" i="27"/>
  <c r="AF51" i="27" s="1"/>
  <c r="AA5" i="29"/>
  <c r="AA51" i="29" s="1"/>
  <c r="BH5" i="29"/>
  <c r="BM5" i="29" s="1"/>
  <c r="BO5" i="29" s="1"/>
  <c r="Y51" i="29"/>
  <c r="BH51" i="29" s="1"/>
  <c r="BZ57" i="1"/>
  <c r="AE51" i="29"/>
  <c r="AF51" i="29" s="1"/>
  <c r="BK55" i="27"/>
  <c r="BK57" i="9"/>
  <c r="BK61" i="9"/>
  <c r="CD5" i="1"/>
  <c r="CD51" i="1" s="1"/>
  <c r="CK51" i="1"/>
  <c r="BG54" i="29" l="1"/>
  <c r="BG55" i="29" s="1"/>
  <c r="BG57" i="29" s="1"/>
  <c r="BM51" i="29"/>
  <c r="BP5" i="29"/>
  <c r="BO51" i="29"/>
  <c r="BP51" i="29" s="1"/>
  <c r="BK61" i="27"/>
  <c r="BK57" i="27"/>
  <c r="BP5" i="27"/>
  <c r="BO51" i="27"/>
  <c r="BP51" i="27" s="1"/>
  <c r="CE51" i="1"/>
  <c r="CE5" i="1"/>
  <c r="F5" i="9" l="1"/>
  <c r="E51" i="9"/>
  <c r="O5" i="9"/>
  <c r="AR5" i="9" s="1"/>
  <c r="BI5" i="9" s="1"/>
  <c r="O51" i="9" l="1"/>
  <c r="AZ53" i="9" s="1"/>
  <c r="M5" i="9"/>
  <c r="F51" i="9"/>
  <c r="P51" i="9" s="1"/>
  <c r="P5" i="9"/>
  <c r="AR51" i="9" l="1"/>
  <c r="BI51" i="9" s="1"/>
  <c r="BI54" i="9" s="1"/>
  <c r="BI53" i="9"/>
  <c r="M51" i="9"/>
  <c r="V51" i="9" s="1"/>
  <c r="AH51" i="9" s="1"/>
  <c r="V5" i="9"/>
  <c r="AS51" i="9"/>
  <c r="BJ51" i="9" s="1"/>
  <c r="BJ54" i="9" s="1"/>
  <c r="BJ53" i="9"/>
  <c r="BA53" i="9"/>
  <c r="BA55" i="9" s="1"/>
  <c r="AS5" i="9"/>
  <c r="X5" i="9"/>
  <c r="AE5" i="9" s="1"/>
  <c r="AF5" i="9" s="1"/>
  <c r="AG5" i="9"/>
  <c r="AZ55" i="9"/>
  <c r="BL53" i="9" l="1"/>
  <c r="BI55" i="9"/>
  <c r="BI57" i="9" s="1"/>
  <c r="BJ55" i="9"/>
  <c r="BJ57" i="9" s="1"/>
  <c r="BC53" i="9"/>
  <c r="AG51" i="9"/>
  <c r="X51" i="9"/>
  <c r="AC5" i="9"/>
  <c r="AD5" i="9" s="1"/>
  <c r="Y5" i="9"/>
  <c r="Z5" i="9" s="1"/>
  <c r="Z51" i="9" s="1"/>
  <c r="BJ5" i="9"/>
  <c r="AU5" i="9"/>
  <c r="BL5" i="9" s="1"/>
  <c r="AN5" i="9"/>
  <c r="AN51" i="9"/>
  <c r="BC51" i="9" s="1"/>
  <c r="BC54" i="9" s="1"/>
  <c r="AU51" i="9"/>
  <c r="BL51" i="9" s="1"/>
  <c r="BL54" i="9" s="1"/>
  <c r="BL55" i="9" s="1"/>
  <c r="BC55" i="9" l="1"/>
  <c r="BL59" i="9" s="1"/>
  <c r="BC5" i="9"/>
  <c r="BD5" i="9" s="1"/>
  <c r="BD51" i="9" s="1"/>
  <c r="AO5" i="9"/>
  <c r="AO51" i="9" s="1"/>
  <c r="AH5" i="9"/>
  <c r="AV5" i="9"/>
  <c r="AV51" i="9" s="1"/>
  <c r="AA5" i="9"/>
  <c r="AA51" i="9" s="1"/>
  <c r="AC51" i="9"/>
  <c r="AD51" i="9" s="1"/>
  <c r="AE51" i="9"/>
  <c r="AF51" i="9" s="1"/>
  <c r="Y51" i="9"/>
  <c r="BH51" i="9" s="1"/>
  <c r="BH5" i="9"/>
  <c r="BM5" i="9" s="1"/>
  <c r="BO5" i="9" s="1"/>
  <c r="BL61" i="9" l="1"/>
  <c r="BM51" i="9"/>
  <c r="BG54" i="9"/>
  <c r="BG55" i="9" s="1"/>
  <c r="BG57" i="9" s="1"/>
  <c r="BO51" i="9"/>
  <c r="BP51" i="9" s="1"/>
  <c r="BP5" i="9"/>
</calcChain>
</file>

<file path=xl/sharedStrings.xml><?xml version="1.0" encoding="utf-8"?>
<sst xmlns="http://schemas.openxmlformats.org/spreadsheetml/2006/main" count="369" uniqueCount="116">
  <si>
    <t>FY25 PDA</t>
  </si>
  <si>
    <t>Short ID</t>
  </si>
  <si>
    <t>HospID</t>
  </si>
  <si>
    <t>GPR</t>
  </si>
  <si>
    <t>FFS Rev</t>
  </si>
  <si>
    <t>MA Rev (New Differential)</t>
  </si>
  <si>
    <t>MA Rev (Other)</t>
  </si>
  <si>
    <t>Medicaid Rev</t>
  </si>
  <si>
    <t>Medicaid MCO Rev</t>
  </si>
  <si>
    <t>BCBCS IP</t>
  </si>
  <si>
    <t>BCBS OP</t>
  </si>
  <si>
    <t>Medicare Deductibles (Paid by Medicaid)</t>
  </si>
  <si>
    <t>UCC</t>
  </si>
  <si>
    <t>Other Payers</t>
  </si>
  <si>
    <t>FFS</t>
  </si>
  <si>
    <t>Percent Share</t>
  </si>
  <si>
    <t>Medicaid</t>
  </si>
  <si>
    <t>BCBS IP</t>
  </si>
  <si>
    <t>Medicare Deduct</t>
  </si>
  <si>
    <t>Other</t>
  </si>
  <si>
    <t>MPA Offset</t>
  </si>
  <si>
    <t>MPA Adjustment</t>
  </si>
  <si>
    <t>Net Medicare FFS</t>
  </si>
  <si>
    <t>Discount v Old Gross</t>
  </si>
  <si>
    <t>Incremental v Old Gross</t>
  </si>
  <si>
    <t>Should be 10.66%</t>
  </si>
  <si>
    <t>MA QP</t>
  </si>
  <si>
    <t>MA non QP</t>
  </si>
  <si>
    <t>Should be 0%</t>
  </si>
  <si>
    <t>MA Non QP</t>
  </si>
  <si>
    <t>*missing CY hosp</t>
  </si>
  <si>
    <t>Incremental New MA QP Discount</t>
  </si>
  <si>
    <t>Discount Break Out - As Is</t>
  </si>
  <si>
    <t>MC FFS</t>
  </si>
  <si>
    <t>MA Non-QP</t>
  </si>
  <si>
    <t>All Other</t>
  </si>
  <si>
    <t>Check</t>
  </si>
  <si>
    <t>Discount Break Out - Final</t>
  </si>
  <si>
    <t>Net</t>
  </si>
  <si>
    <t>Total Discount</t>
  </si>
  <si>
    <t>Total Net Share, after MA Changes</t>
  </si>
  <si>
    <t>CO+Medicaid Net Share</t>
  </si>
  <si>
    <t>Total Medicare</t>
  </si>
  <si>
    <t>MA Share</t>
  </si>
  <si>
    <t>New MA Share</t>
  </si>
  <si>
    <t>New MA Dollars</t>
  </si>
  <si>
    <t>INCREASING MA QP share of MA revenue</t>
  </si>
  <si>
    <t>Total Medicare Adv</t>
  </si>
  <si>
    <t>MA QP Share</t>
  </si>
  <si>
    <t>New MA QP Dollars</t>
  </si>
  <si>
    <t>statewide calc</t>
  </si>
  <si>
    <t>Effective Discount</t>
  </si>
  <si>
    <t>Difference</t>
  </si>
  <si>
    <t>New</t>
  </si>
  <si>
    <t>Orig</t>
  </si>
  <si>
    <t>Gross FFS (Pre)</t>
  </si>
  <si>
    <t>Net FFS (Pre)</t>
  </si>
  <si>
    <t>Net FFS (Post)</t>
  </si>
  <si>
    <t>MPA %</t>
  </si>
  <si>
    <t>Gross Patient Revenue</t>
  </si>
  <si>
    <t>Medicaid Revenue</t>
  </si>
  <si>
    <t>Medicaid MCO Revenue</t>
  </si>
  <si>
    <t>Gross GBR w MPA &amp; Differential Changes</t>
  </si>
  <si>
    <t>Gross GBR (Pre)</t>
  </si>
  <si>
    <t>Gross GBR (Post)</t>
  </si>
  <si>
    <t>Medicare FFS Discount (Pre)</t>
  </si>
  <si>
    <t>Medicare FFS Discount (Post)</t>
  </si>
  <si>
    <t>Medicare Advantage QP Discount (Pre)</t>
  </si>
  <si>
    <t>Medicare Advantage QP Discount (Post)</t>
  </si>
  <si>
    <t>Medicare Advantage non-QP Discount (Pre)</t>
  </si>
  <si>
    <t>Medicare Advantage non-QP Discount (Post)</t>
  </si>
  <si>
    <t>Medicaid Discount (Pre)</t>
  </si>
  <si>
    <t>Medicaid Discount (Post)</t>
  </si>
  <si>
    <t>All Other Discount (Pre)</t>
  </si>
  <si>
    <t>All Other Discount (Post)</t>
  </si>
  <si>
    <t>Net GBR (Pre)</t>
  </si>
  <si>
    <t>Net GBR (Post)</t>
  </si>
  <si>
    <t>Hospital Name</t>
  </si>
  <si>
    <t>Statewide</t>
  </si>
  <si>
    <t>MPA</t>
  </si>
  <si>
    <t>Net Increase (Decrease)</t>
  </si>
  <si>
    <t>Net GBR (before MPA adj)</t>
  </si>
  <si>
    <t>Medicare FFS Revenue</t>
  </si>
  <si>
    <t>Medicare Advantage Revenue - Qualifying Plans</t>
  </si>
  <si>
    <t>Medicare Advantage Revenue - Non-Qualifying Plans</t>
  </si>
  <si>
    <t>Commercial Inpatient Revenue</t>
  </si>
  <si>
    <t>Commercial Outpatient Revenue</t>
  </si>
  <si>
    <t>Discount</t>
  </si>
  <si>
    <t>Discount:</t>
  </si>
  <si>
    <t>Gross</t>
  </si>
  <si>
    <t>Increase</t>
  </si>
  <si>
    <t>Net Profit (Loss)</t>
  </si>
  <si>
    <t>INCREASING Medicare Advantage Share of Medicare Revenue</t>
  </si>
  <si>
    <t>MA FFS</t>
  </si>
  <si>
    <t>Scenario 1:</t>
  </si>
  <si>
    <t>Scenario 2:</t>
  </si>
  <si>
    <t>Medicare FFS</t>
  </si>
  <si>
    <t>Medicare Advantage - Qualifying Plans</t>
  </si>
  <si>
    <t>Medicare Advantage - Non-Qualifying Plans</t>
  </si>
  <si>
    <t>Commercial IP</t>
  </si>
  <si>
    <t>Commercial OP</t>
  </si>
  <si>
    <t>Medicare Deductible</t>
  </si>
  <si>
    <t>FY27 GBR (Preliminary)</t>
  </si>
  <si>
    <t>FY27 GBR, Net</t>
  </si>
  <si>
    <t>FY27 GBR (Preliminary), Gross  - Jan to Jun</t>
  </si>
  <si>
    <t>FY27 GBR, Gross w MA QP Differential Change</t>
  </si>
  <si>
    <t>FY27 GBR, New Net</t>
  </si>
  <si>
    <t>FY27 Orig GBR, Net w MA QP Differential Change</t>
  </si>
  <si>
    <t>New MA NonQP Discount</t>
  </si>
  <si>
    <t>FY27 GBR w MA QP Change, Net w MA Non-QP Differential Change</t>
  </si>
  <si>
    <t>FY27 GBR, Gross w MA Non QP Differential Change</t>
  </si>
  <si>
    <t>FY27 GBR, Gross with MPA</t>
  </si>
  <si>
    <t>FY27 GBR, Net with MPA</t>
  </si>
  <si>
    <t>MPA Offset w Mark Up</t>
  </si>
  <si>
    <t>FY27 GBR, Net after MPA Adjustment</t>
  </si>
  <si>
    <t>Final Net GBR (post MPA adj)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</si>
</sst>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0.0000%"/>
    <numFmt numFmtId="167" formatCode="_(* #,##0.000_);_(* \(#,##0.000\);_(* &quot;-&quot;??_);_(@_)"/>
    <numFmt numFmtId="168" formatCode="_(* #,##0.0000_);_(* \(#,##0.0000\);_(* &quot;-&quot;??_);_(@_)"/>
    <numFmt numFmtId="169" formatCode="0.0000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rgb="FF222222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3" fillId="0" borderId="0" xfId="0" applyFont="1"/>
    <xf numFmtId="164" fontId="2" fillId="0" borderId="0" xfId="1" applyNumberFormat="1" applyFont="1"/>
    <xf numFmtId="164" fontId="2" fillId="0" borderId="0" xfId="0" applyNumberFormat="1" applyFont="1"/>
    <xf numFmtId="165" fontId="2" fillId="0" borderId="0" xfId="2" applyNumberFormat="1" applyFont="1"/>
    <xf numFmtId="164" fontId="2" fillId="0" borderId="0" xfId="1" applyNumberFormat="1" applyFont="1" applyFill="1"/>
    <xf numFmtId="0" fontId="2" fillId="0" borderId="0" xfId="0" applyFont="1" applyAlignment="1">
      <alignment wrapText="1"/>
    </xf>
    <xf numFmtId="10" fontId="2" fillId="0" borderId="0" xfId="0" applyNumberFormat="1" applyFont="1"/>
    <xf numFmtId="9" fontId="2" fillId="0" borderId="0" xfId="0" applyNumberFormat="1" applyFont="1"/>
    <xf numFmtId="10" fontId="2" fillId="2" borderId="0" xfId="0" applyNumberFormat="1" applyFont="1" applyFill="1"/>
    <xf numFmtId="10" fontId="2" fillId="0" borderId="0" xfId="2" applyNumberFormat="1" applyFont="1"/>
    <xf numFmtId="0" fontId="2" fillId="3" borderId="0" xfId="0" applyFont="1" applyFill="1"/>
    <xf numFmtId="164" fontId="2" fillId="3" borderId="0" xfId="1" applyNumberFormat="1" applyFont="1" applyFill="1"/>
    <xf numFmtId="10" fontId="2" fillId="3" borderId="0" xfId="2" applyNumberFormat="1" applyFont="1" applyFill="1"/>
    <xf numFmtId="164" fontId="2" fillId="3" borderId="0" xfId="0" applyNumberFormat="1" applyFont="1" applyFill="1"/>
    <xf numFmtId="164" fontId="2" fillId="0" borderId="0" xfId="1" applyNumberFormat="1" applyFont="1" applyAlignment="1">
      <alignment wrapText="1"/>
    </xf>
    <xf numFmtId="10" fontId="2" fillId="0" borderId="0" xfId="2" applyNumberFormat="1" applyFont="1" applyFill="1"/>
    <xf numFmtId="10" fontId="2" fillId="2" borderId="0" xfId="2" applyNumberFormat="1" applyFont="1" applyFill="1"/>
    <xf numFmtId="0" fontId="2" fillId="0" borderId="0" xfId="0" applyFont="1" applyAlignment="1">
      <alignment horizontal="right"/>
    </xf>
    <xf numFmtId="43" fontId="2" fillId="0" borderId="0" xfId="0" applyNumberFormat="1" applyFont="1"/>
    <xf numFmtId="0" fontId="3" fillId="0" borderId="0" xfId="0" applyFont="1" applyAlignment="1">
      <alignment horizontal="center"/>
    </xf>
    <xf numFmtId="166" fontId="2" fillId="0" borderId="0" xfId="2" applyNumberFormat="1" applyFont="1" applyFill="1"/>
    <xf numFmtId="0" fontId="2" fillId="0" borderId="0" xfId="0" applyFont="1" applyAlignment="1">
      <alignment horizontal="center"/>
    </xf>
    <xf numFmtId="164" fontId="2" fillId="0" borderId="0" xfId="2" applyNumberFormat="1" applyFont="1"/>
    <xf numFmtId="166" fontId="2" fillId="0" borderId="0" xfId="2" applyNumberFormat="1" applyFont="1"/>
    <xf numFmtId="166" fontId="2" fillId="0" borderId="0" xfId="0" applyNumberFormat="1" applyFont="1"/>
    <xf numFmtId="164" fontId="3" fillId="0" borderId="0" xfId="0" applyNumberFormat="1" applyFont="1"/>
    <xf numFmtId="164" fontId="3" fillId="0" borderId="0" xfId="1" applyNumberFormat="1" applyFont="1"/>
    <xf numFmtId="0" fontId="3" fillId="5" borderId="0" xfId="0" applyFont="1" applyFill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 wrapText="1"/>
    </xf>
    <xf numFmtId="167" fontId="2" fillId="0" borderId="0" xfId="1" applyNumberFormat="1" applyFont="1"/>
    <xf numFmtId="167" fontId="2" fillId="0" borderId="0" xfId="0" applyNumberFormat="1" applyFont="1"/>
    <xf numFmtId="0" fontId="4" fillId="0" borderId="0" xfId="0" applyFont="1"/>
    <xf numFmtId="0" fontId="3" fillId="0" borderId="0" xfId="0" applyFont="1" applyAlignment="1">
      <alignment wrapText="1"/>
    </xf>
    <xf numFmtId="165" fontId="2" fillId="0" borderId="0" xfId="2" applyNumberFormat="1" applyFont="1" applyFill="1"/>
    <xf numFmtId="0" fontId="2" fillId="4" borderId="0" xfId="0" applyFont="1" applyFill="1" applyAlignment="1">
      <alignment wrapText="1"/>
    </xf>
    <xf numFmtId="0" fontId="2" fillId="0" borderId="1" xfId="0" applyFont="1" applyBorder="1" applyAlignment="1">
      <alignment horizontal="centerContinuous"/>
    </xf>
    <xf numFmtId="0" fontId="2" fillId="0" borderId="2" xfId="0" applyFont="1" applyBorder="1" applyAlignment="1">
      <alignment horizontal="centerContinuous"/>
    </xf>
    <xf numFmtId="0" fontId="2" fillId="0" borderId="3" xfId="0" applyFont="1" applyBorder="1" applyAlignment="1">
      <alignment horizontal="centerContinuous"/>
    </xf>
    <xf numFmtId="0" fontId="3" fillId="0" borderId="0" xfId="0" applyFont="1" applyAlignment="1">
      <alignment horizontal="right"/>
    </xf>
    <xf numFmtId="168" fontId="2" fillId="0" borderId="0" xfId="1" applyNumberFormat="1" applyFont="1"/>
    <xf numFmtId="0" fontId="3" fillId="0" borderId="0" xfId="0" applyFont="1" applyAlignment="1">
      <alignment horizontal="left"/>
    </xf>
    <xf numFmtId="9" fontId="2" fillId="6" borderId="0" xfId="0" applyNumberFormat="1" applyFont="1" applyFill="1"/>
    <xf numFmtId="165" fontId="2" fillId="0" borderId="0" xfId="0" applyNumberFormat="1" applyFont="1"/>
    <xf numFmtId="169" fontId="2" fillId="0" borderId="0" xfId="2" applyNumberFormat="1" applyFont="1"/>
    <xf numFmtId="164" fontId="3" fillId="0" borderId="0" xfId="0" applyNumberFormat="1" applyFont="1" applyAlignment="1">
      <alignment horizontal="left"/>
    </xf>
    <xf numFmtId="10" fontId="2" fillId="4" borderId="0" xfId="0" applyNumberFormat="1" applyFont="1" applyFill="1"/>
    <xf numFmtId="43" fontId="2" fillId="0" borderId="0" xfId="1" applyFont="1" applyFill="1"/>
    <xf numFmtId="164" fontId="2" fillId="0" borderId="0" xfId="1" applyNumberFormat="1" applyFont="1" applyFill="1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AE1D9-C9C4-464D-9A86-3F5851AB9265}">
  <sheetPr codeName="Sheet1">
    <tabColor theme="9" tint="0.79998168889431442"/>
  </sheetPr>
  <dimension ref="A1:CN69"/>
  <sheetViews>
    <sheetView tabSelected="1" topLeftCell="A2" zoomScaleNormal="100" workbookViewId="0">
      <pane xSplit="2" ySplit="3" topLeftCell="BV38" activePane="bottomRight" state="frozen"/>
      <selection activeCell="Z52" sqref="Z52"/>
      <selection pane="topRight" activeCell="Z52" sqref="Z52"/>
      <selection pane="bottomLeft" activeCell="Z52" sqref="Z52"/>
      <selection pane="bottomRight" activeCell="CD57" sqref="CD57"/>
    </sheetView>
  </sheetViews>
  <sheetFormatPr defaultRowHeight="15" x14ac:dyDescent="0.25"/>
  <cols>
    <col min="1" max="1" width="8" style="1" bestFit="1" customWidth="1"/>
    <col min="2" max="2" width="7.5703125" style="1" bestFit="1" customWidth="1"/>
    <col min="3" max="3" width="20.42578125" style="1" customWidth="1"/>
    <col min="4" max="4" width="16.140625" style="1" bestFit="1" customWidth="1"/>
    <col min="5" max="5" width="15.140625" style="1" bestFit="1" customWidth="1"/>
    <col min="6" max="6" width="25" style="1" customWidth="1"/>
    <col min="7" max="7" width="28.42578125" style="1" customWidth="1"/>
    <col min="8" max="8" width="17.85546875" style="1" bestFit="1" customWidth="1"/>
    <col min="9" max="9" width="18.140625" style="1" customWidth="1"/>
    <col min="10" max="10" width="18" style="1" customWidth="1"/>
    <col min="11" max="11" width="18.7109375" style="1" customWidth="1"/>
    <col min="12" max="12" width="20.42578125" style="1" customWidth="1"/>
    <col min="13" max="13" width="12.28515625" style="1" customWidth="1"/>
    <col min="14" max="14" width="14.28515625" style="1" bestFit="1" customWidth="1"/>
    <col min="15" max="15" width="13.28515625" style="1" customWidth="1"/>
    <col min="16" max="16" width="20.7109375" style="1" bestFit="1" customWidth="1"/>
    <col min="17" max="17" width="25.85546875" style="1" bestFit="1" customWidth="1"/>
    <col min="18" max="18" width="13.28515625" style="1" customWidth="1"/>
    <col min="19" max="20" width="15.42578125" style="1" customWidth="1"/>
    <col min="21" max="21" width="21.140625" style="1" customWidth="1"/>
    <col min="22" max="23" width="13.28515625" style="1" customWidth="1"/>
    <col min="24" max="24" width="24.7109375" style="1" customWidth="1"/>
    <col min="25" max="25" width="24.7109375" style="1" hidden="1" customWidth="1"/>
    <col min="26" max="27" width="22.42578125" style="1" customWidth="1"/>
    <col min="28" max="28" width="23.85546875" style="7" customWidth="1"/>
    <col min="29" max="29" width="21.85546875" style="4" customWidth="1"/>
    <col min="30" max="30" width="18.5703125" style="4" bestFit="1" customWidth="1"/>
    <col min="31" max="31" width="17.7109375" style="1" customWidth="1"/>
    <col min="32" max="32" width="31.7109375" style="1" customWidth="1"/>
    <col min="33" max="33" width="28.28515625" style="1" customWidth="1"/>
    <col min="34" max="34" width="20" style="1" customWidth="1"/>
    <col min="35" max="37" width="15.28515625" style="1" customWidth="1"/>
    <col min="38" max="38" width="17.28515625" style="1" bestFit="1" customWidth="1"/>
    <col min="39" max="42" width="19" style="1" customWidth="1"/>
    <col min="43" max="43" width="5.85546875" style="1" customWidth="1"/>
    <col min="44" max="44" width="19" style="1" customWidth="1"/>
    <col min="45" max="45" width="22.42578125" style="1" customWidth="1"/>
    <col min="46" max="47" width="19" style="1" customWidth="1"/>
    <col min="48" max="49" width="19" style="1" hidden="1" customWidth="1"/>
    <col min="50" max="50" width="19" style="1" customWidth="1"/>
    <col min="51" max="51" width="13.28515625" style="1" customWidth="1"/>
    <col min="52" max="52" width="15.28515625" style="1" bestFit="1" customWidth="1"/>
    <col min="53" max="53" width="14.28515625" style="1" bestFit="1" customWidth="1"/>
    <col min="54" max="54" width="14.28515625" style="1" customWidth="1"/>
    <col min="55" max="55" width="15.5703125" style="1" customWidth="1"/>
    <col min="56" max="56" width="14.42578125" style="1" customWidth="1"/>
    <col min="57" max="57" width="9.140625" style="1"/>
    <col min="58" max="58" width="15.140625" style="1" customWidth="1"/>
    <col min="59" max="59" width="12.5703125" style="1" bestFit="1" customWidth="1"/>
    <col min="60" max="60" width="11.85546875" style="1" customWidth="1"/>
    <col min="61" max="61" width="12.5703125" style="1" bestFit="1" customWidth="1"/>
    <col min="62" max="62" width="12.5703125" style="1" customWidth="1"/>
    <col min="63" max="63" width="17" style="1" customWidth="1"/>
    <col min="64" max="64" width="9.140625" style="1"/>
    <col min="65" max="65" width="16.85546875" style="1" bestFit="1" customWidth="1"/>
    <col min="66" max="66" width="14.7109375" style="1" customWidth="1"/>
    <col min="67" max="67" width="19.28515625" style="1" customWidth="1"/>
    <col min="68" max="68" width="23" style="1" customWidth="1"/>
    <col min="69" max="69" width="17.7109375" style="1" bestFit="1" customWidth="1"/>
    <col min="70" max="70" width="14.42578125" style="1" customWidth="1"/>
    <col min="71" max="71" width="15.28515625" style="1" bestFit="1" customWidth="1"/>
    <col min="72" max="72" width="4.42578125" style="1" customWidth="1"/>
    <col min="73" max="73" width="16.28515625" style="1" customWidth="1"/>
    <col min="74" max="75" width="15.85546875" style="1" customWidth="1"/>
    <col min="76" max="76" width="19.42578125" style="1" bestFit="1" customWidth="1"/>
    <col min="77" max="77" width="22.85546875" style="1" customWidth="1"/>
    <col min="78" max="78" width="17.5703125" style="1" bestFit="1" customWidth="1"/>
    <col min="79" max="79" width="14.5703125" style="1" customWidth="1"/>
    <col min="80" max="80" width="15.28515625" style="1" bestFit="1" customWidth="1"/>
    <col min="81" max="81" width="2.28515625" style="1" customWidth="1"/>
    <col min="82" max="82" width="15.140625" style="1" customWidth="1"/>
    <col min="83" max="83" width="10.42578125" style="1" customWidth="1"/>
    <col min="84" max="84" width="18" style="1" hidden="1" customWidth="1"/>
    <col min="85" max="85" width="15.7109375" style="1" hidden="1" customWidth="1"/>
    <col min="86" max="86" width="14.28515625" style="1" hidden="1" customWidth="1"/>
    <col min="87" max="87" width="12.28515625" style="1" hidden="1" customWidth="1"/>
    <col min="88" max="88" width="2.5703125" style="1" hidden="1" customWidth="1"/>
    <col min="89" max="89" width="17.28515625" style="1" hidden="1" customWidth="1"/>
    <col min="90" max="90" width="12.28515625" style="1" hidden="1" customWidth="1"/>
    <col min="91" max="16384" width="9.140625" style="1"/>
  </cols>
  <sheetData>
    <row r="1" spans="1:92" x14ac:dyDescent="0.25">
      <c r="O1" s="1">
        <v>7.6999999999999999E-2</v>
      </c>
      <c r="P1" s="1">
        <v>0.11219999999999999</v>
      </c>
      <c r="Q1" s="1">
        <v>7.6999999999999999E-2</v>
      </c>
      <c r="R1" s="1">
        <v>7.6999999999999999E-2</v>
      </c>
      <c r="S1" s="1">
        <v>2.2499999999999999E-2</v>
      </c>
      <c r="T1" s="1">
        <v>0.02</v>
      </c>
      <c r="U1" s="1">
        <v>0.02</v>
      </c>
      <c r="V1" s="1">
        <v>0</v>
      </c>
      <c r="W1" s="1">
        <v>0.02</v>
      </c>
    </row>
    <row r="2" spans="1:92" x14ac:dyDescent="0.25">
      <c r="N2" s="42" t="s">
        <v>88</v>
      </c>
      <c r="O2" s="9">
        <v>7.6999999999999999E-2</v>
      </c>
      <c r="P2" s="9">
        <v>7.6999999999999999E-2</v>
      </c>
      <c r="Q2" s="9">
        <v>7.6999999999999999E-2</v>
      </c>
      <c r="R2" s="9">
        <v>7.6999999999999999E-2</v>
      </c>
      <c r="S2" s="9">
        <v>2.2499999999999999E-2</v>
      </c>
      <c r="T2" s="10">
        <v>0.02</v>
      </c>
      <c r="U2" s="10">
        <v>0.02</v>
      </c>
      <c r="V2" s="10">
        <v>0</v>
      </c>
      <c r="W2" s="10">
        <v>0.02</v>
      </c>
      <c r="AS2" s="1" t="s">
        <v>25</v>
      </c>
      <c r="AU2" s="1" t="s">
        <v>28</v>
      </c>
    </row>
    <row r="3" spans="1:92" x14ac:dyDescent="0.25">
      <c r="D3" s="39" t="s">
        <v>0</v>
      </c>
      <c r="E3" s="40"/>
      <c r="F3" s="40"/>
      <c r="G3" s="40"/>
      <c r="H3" s="40"/>
      <c r="I3" s="40"/>
      <c r="J3" s="40"/>
      <c r="K3" s="40"/>
      <c r="L3" s="40"/>
      <c r="M3" s="40"/>
      <c r="N3" s="41"/>
      <c r="O3" s="39" t="s">
        <v>15</v>
      </c>
      <c r="P3" s="40"/>
      <c r="Q3" s="40"/>
      <c r="R3" s="40"/>
      <c r="S3" s="40"/>
      <c r="T3" s="40"/>
      <c r="U3" s="40"/>
      <c r="V3" s="40"/>
      <c r="W3" s="41"/>
      <c r="AK3" s="5"/>
      <c r="AL3" s="21"/>
      <c r="AP3" s="21"/>
      <c r="AQ3" s="21"/>
      <c r="AR3" s="2" t="s">
        <v>26</v>
      </c>
      <c r="AS3" s="2"/>
      <c r="AT3" s="2" t="s">
        <v>27</v>
      </c>
      <c r="AU3" s="2"/>
      <c r="AV3"/>
      <c r="AW3" s="2"/>
      <c r="AY3" s="1" t="s">
        <v>32</v>
      </c>
      <c r="BF3" s="1" t="s">
        <v>37</v>
      </c>
      <c r="CK3" s="1" t="s">
        <v>51</v>
      </c>
    </row>
    <row r="4" spans="1:92" ht="33.75" customHeight="1" x14ac:dyDescent="0.25">
      <c r="A4" s="1" t="s">
        <v>1</v>
      </c>
      <c r="B4" s="1" t="s">
        <v>2</v>
      </c>
      <c r="C4" s="1" t="s">
        <v>77</v>
      </c>
      <c r="D4" s="36" t="s">
        <v>59</v>
      </c>
      <c r="E4" s="36" t="s">
        <v>82</v>
      </c>
      <c r="F4" s="36" t="s">
        <v>83</v>
      </c>
      <c r="G4" s="36" t="s">
        <v>84</v>
      </c>
      <c r="H4" s="3" t="s">
        <v>60</v>
      </c>
      <c r="I4" s="36" t="s">
        <v>61</v>
      </c>
      <c r="J4" s="36" t="s">
        <v>85</v>
      </c>
      <c r="K4" s="36" t="s">
        <v>86</v>
      </c>
      <c r="L4" s="36" t="s">
        <v>11</v>
      </c>
      <c r="M4" s="3" t="s">
        <v>12</v>
      </c>
      <c r="N4" s="3" t="s">
        <v>13</v>
      </c>
      <c r="O4" s="36" t="s">
        <v>96</v>
      </c>
      <c r="P4" s="36" t="s">
        <v>97</v>
      </c>
      <c r="Q4" s="36" t="s">
        <v>98</v>
      </c>
      <c r="R4" s="36" t="s">
        <v>16</v>
      </c>
      <c r="S4" s="36" t="s">
        <v>99</v>
      </c>
      <c r="T4" s="36" t="s">
        <v>100</v>
      </c>
      <c r="U4" s="36" t="s">
        <v>101</v>
      </c>
      <c r="V4" s="3" t="s">
        <v>12</v>
      </c>
      <c r="W4" s="3" t="s">
        <v>13</v>
      </c>
      <c r="X4" s="8" t="s">
        <v>104</v>
      </c>
      <c r="Y4" s="8" t="s">
        <v>102</v>
      </c>
      <c r="Z4" s="1" t="s">
        <v>103</v>
      </c>
      <c r="AA4" s="8" t="s">
        <v>31</v>
      </c>
      <c r="AB4" s="51" t="s">
        <v>107</v>
      </c>
      <c r="AC4" s="17" t="s">
        <v>105</v>
      </c>
      <c r="AD4" s="17" t="s">
        <v>106</v>
      </c>
      <c r="AE4" s="8" t="s">
        <v>108</v>
      </c>
      <c r="AF4" s="17" t="s">
        <v>109</v>
      </c>
      <c r="AG4" s="17" t="s">
        <v>110</v>
      </c>
      <c r="AH4" s="17" t="s">
        <v>106</v>
      </c>
      <c r="AI4" s="1" t="s">
        <v>20</v>
      </c>
      <c r="AJ4" s="17" t="s">
        <v>113</v>
      </c>
      <c r="AK4" s="38" t="s">
        <v>111</v>
      </c>
      <c r="AL4" s="8" t="s">
        <v>112</v>
      </c>
      <c r="AM4" s="1" t="s">
        <v>21</v>
      </c>
      <c r="AN4" s="1" t="s">
        <v>58</v>
      </c>
      <c r="AO4" s="38" t="s">
        <v>114</v>
      </c>
      <c r="AP4" s="1" t="s">
        <v>22</v>
      </c>
      <c r="AR4" s="8" t="s">
        <v>23</v>
      </c>
      <c r="AS4" s="1" t="s">
        <v>24</v>
      </c>
      <c r="AT4" s="8" t="s">
        <v>23</v>
      </c>
      <c r="AU4" s="1" t="s">
        <v>24</v>
      </c>
      <c r="AV4" s="17" t="s">
        <v>40</v>
      </c>
      <c r="AW4" s="17" t="s">
        <v>41</v>
      </c>
      <c r="AY4" s="24" t="s">
        <v>33</v>
      </c>
      <c r="AZ4" s="24" t="s">
        <v>26</v>
      </c>
      <c r="BA4" s="24" t="s">
        <v>34</v>
      </c>
      <c r="BB4" s="24" t="s">
        <v>16</v>
      </c>
      <c r="BC4" s="24" t="s">
        <v>35</v>
      </c>
      <c r="BD4" s="24" t="s">
        <v>36</v>
      </c>
      <c r="BF4" s="24" t="s">
        <v>33</v>
      </c>
      <c r="BG4" s="24" t="s">
        <v>26</v>
      </c>
      <c r="BH4" s="24" t="s">
        <v>34</v>
      </c>
      <c r="BI4" s="24" t="s">
        <v>16</v>
      </c>
      <c r="BJ4" s="24" t="s">
        <v>35</v>
      </c>
      <c r="BK4" s="24" t="s">
        <v>36</v>
      </c>
      <c r="BM4" s="32" t="s">
        <v>63</v>
      </c>
      <c r="BN4" s="8" t="s">
        <v>65</v>
      </c>
      <c r="BO4" s="8" t="s">
        <v>67</v>
      </c>
      <c r="BP4" s="8" t="s">
        <v>69</v>
      </c>
      <c r="BQ4" s="8" t="s">
        <v>71</v>
      </c>
      <c r="BR4" s="8" t="s">
        <v>73</v>
      </c>
      <c r="BS4" s="8" t="s">
        <v>75</v>
      </c>
      <c r="BU4" s="32" t="s">
        <v>64</v>
      </c>
      <c r="BV4" s="8" t="s">
        <v>66</v>
      </c>
      <c r="BW4" s="8" t="s">
        <v>79</v>
      </c>
      <c r="BX4" s="8" t="s">
        <v>68</v>
      </c>
      <c r="BY4" s="8" t="s">
        <v>70</v>
      </c>
      <c r="BZ4" s="8" t="s">
        <v>72</v>
      </c>
      <c r="CA4" s="8" t="s">
        <v>74</v>
      </c>
      <c r="CB4" s="8" t="s">
        <v>76</v>
      </c>
      <c r="CD4" s="8" t="s">
        <v>80</v>
      </c>
      <c r="CF4" s="32" t="s">
        <v>55</v>
      </c>
      <c r="CG4" s="8" t="s">
        <v>56</v>
      </c>
      <c r="CH4" s="8" t="s">
        <v>57</v>
      </c>
      <c r="CI4" s="1" t="s">
        <v>52</v>
      </c>
      <c r="CK4" s="1" t="s">
        <v>53</v>
      </c>
      <c r="CL4" s="1" t="s">
        <v>54</v>
      </c>
    </row>
    <row r="5" spans="1:92" x14ac:dyDescent="0.25">
      <c r="A5" s="1">
        <v>1</v>
      </c>
      <c r="B5" s="1">
        <v>210001</v>
      </c>
      <c r="D5" s="7">
        <v>540426100</v>
      </c>
      <c r="E5" s="7">
        <v>195056900</v>
      </c>
      <c r="F5" s="7">
        <v>17084684.606720421</v>
      </c>
      <c r="G5" s="7">
        <v>65643915.393279582</v>
      </c>
      <c r="H5" s="7">
        <v>15216900</v>
      </c>
      <c r="I5" s="7">
        <v>83029700</v>
      </c>
      <c r="J5" s="7">
        <v>28769300</v>
      </c>
      <c r="K5" s="7">
        <v>39563100</v>
      </c>
      <c r="L5" s="7">
        <v>0</v>
      </c>
      <c r="M5" s="7">
        <v>24180500</v>
      </c>
      <c r="N5" s="7">
        <f>D5-SUM(E5:M5)</f>
        <v>71881100</v>
      </c>
      <c r="O5" s="18">
        <f>E5/$D5</f>
        <v>0.36093167965055722</v>
      </c>
      <c r="P5" s="18">
        <f t="shared" ref="P5:Q5" si="0">F5/$D5</f>
        <v>3.1613359544848819E-2</v>
      </c>
      <c r="Q5" s="18">
        <f t="shared" si="0"/>
        <v>0.12146695985497293</v>
      </c>
      <c r="R5" s="18">
        <f>(H5+I5)/$D5</f>
        <v>0.18179469866462777</v>
      </c>
      <c r="S5" s="18">
        <f>J5/$D5</f>
        <v>5.3234475536988311E-2</v>
      </c>
      <c r="T5" s="18">
        <f t="shared" ref="T5:V5" si="1">K5/$D5</f>
        <v>7.3207234069561034E-2</v>
      </c>
      <c r="U5" s="18">
        <f t="shared" si="1"/>
        <v>0</v>
      </c>
      <c r="V5" s="18">
        <f t="shared" si="1"/>
        <v>4.4743397848475489E-2</v>
      </c>
      <c r="W5" s="18">
        <f>(N5)/$D5</f>
        <v>0.13300819482996842</v>
      </c>
      <c r="X5" s="7">
        <f>Y5*(1-0.4973)</f>
        <v>311757868.2106095</v>
      </c>
      <c r="Y5" s="7">
        <v>620166835.50946796</v>
      </c>
      <c r="Z5" s="7">
        <f>(X5*O5*(1-O$2))+(X5*P5*(1-O$2))+(X5*Q5*(1-Q$2))+(X5*R5*(1-R$2))+(X5*S5*(1-S$2))+(X5*T5*(1-T$2))+(X5*U5*(1-U$2))+(X5*V5*(1-V$2))+(X5*W5*(1-W$2))</f>
        <v>293395579.17879152</v>
      </c>
      <c r="AA5" s="18">
        <f t="shared" ref="AA5:AA49" si="2">$AA$51</f>
        <v>0.114873</v>
      </c>
      <c r="AB5" s="7">
        <f>(X5*O5*(1-O$2))+(X5*P5*(1-AA5-O$2))+(X5*Q5*(1-Q$2))+(X5*R5*(1-R$2))+(X5*S5*(1-S$2))+(X5*T5*(1-T$2))+(X5*U5*(1-U$2))+(X5*V5*(1-V$2))+(X5*W5*(1-W$2))</f>
        <v>292263423.79286808</v>
      </c>
      <c r="AC5" s="7">
        <f t="shared" ref="AC5:AC49" si="3">((Z5-AB5)*O5/(1-O$2))+((Z5-AB5)*P5/(1-(AA$5+O$2)))+((Z5-AB5)*Q5/(1-Q$2))+((Z5-AB5)*R5/(1-R$2))+((Z5-AB5)*S5/(1-S$2))+((Z5-AB5)*T5/(1-T$2))+((Z5-AB5)*U5/(1-U$2))+((Z5-AB5)*V5/(1-V$2))+((Z5-AB5)*W5/(1-W$2))+X5</f>
        <v>312967405.4804194</v>
      </c>
      <c r="AD5" s="7">
        <f t="shared" ref="AD5:AD49" si="4">(AC5*O5*(1-O$2))+(AC5*P5*(1-AA5-O$2))+(AC5*Q5*(1-Q$2))+(AC5*R5*(1-R$2))+(AC5*S5*(1-S$2))+(AC5*T5*(1-T$2))+(AC5*U5*(1-U$2))+(AC5*V5*(1-V$2))+(AC5*W5*(1-W$2))</f>
        <v>293397327.82457292</v>
      </c>
      <c r="AE5" s="18">
        <f t="shared" ref="AE5:AE49" si="5">$AE$51</f>
        <v>8.6354E-2</v>
      </c>
      <c r="AF5" s="7">
        <f t="shared" ref="AF5:AF49" si="6">(AC5*O5*(1-O$2))+(AC5*P5*(1-AA5-O$2))+(AC5*Q5*(1-AE$5))+(AC5*R5*(1-R$2))+(AC5*S5*(1-S$2))+(AC5*T5*(1-T$2))+(AC5*U5*(1-U$2))+(AC5*V5*(1-V$2))+(AC5*W5*(1-W$2))</f>
        <v>293041733.65053207</v>
      </c>
      <c r="AG5" s="7">
        <f t="shared" ref="AG5:AG49" si="7">((AD5-AF5)*O5/(1-O$2))+((AD5-AF5)*P5/(1-(AA$5+O$2)))+((AD5-AF5)*Q5/(1-AE$5))+((AD5-AF5)*R5/(1-R$2))+((AD5-AF5)*S5/(1-S$2))+((AD5-AF5)*T5/(1-T$2))+((AD5-AF5)*U5/(1-U$2))+((AD5-AF5)*V5/(1-V$2))+((AD5-AF5)*W5/(1-W$2))+AC5</f>
        <v>313347783.32682121</v>
      </c>
      <c r="AH5" s="7">
        <f t="shared" ref="AH5:AH49" si="8">(AG5*O5*(1-O$2))+(AG5*P5*(1-AA5-O$2))+(AG5*Q5*(1-AE$5))+(AG5*R5*(1-R$2))+(AG5*S5*(1-S$2))+(AG5*T5*(1-T$2))+(AG5*U5*(1-U$2))+(AG5*V5*(1-V$2))+(AG5*W5*(1-W$2))</f>
        <v>293397894.00972581</v>
      </c>
      <c r="AI5" s="5">
        <f t="shared" ref="AI5:AI49" si="9">(AG5*O5*(1-O$2))-(X5*O5*(1-O$2))</f>
        <v>529664.22692459822</v>
      </c>
      <c r="AJ5" s="5">
        <f>AI5/(AW5/AV5)</f>
        <v>822194.59295627498</v>
      </c>
      <c r="AK5" s="5">
        <f t="shared" ref="AK5:AK49" si="10">AG5+(AJ5*O5)/(1-O$2)+(AJ5*P5)/(1-O$2-AA5)+(AJ5*Q5)/(1-AE5)+(AJ5*R5)/(1-R$2)+(AJ5*S5)/(1-S$2)+(AJ5*T5)/(1-T$2)+(AJ5*U5)/(1-U$2)+(AJ5*V5)/(1-V$2)+(AJ5*W5)/(1-W$2)</f>
        <v>314227282.01218486</v>
      </c>
      <c r="AL5" s="5">
        <f t="shared" ref="AL5:AL49" si="11">(AK5*O5*(1-O$2))+(AK5*P5*(1-AA5-O$2))+(AK5*Q5*(1-AE$5))+(AK5*R5*(1-R$2))+(AK5*S5*(1-S$2))+(AK5*T5*(1-T$2))+(AK5*U5*(1-U$2))+(AK5*V5*(1-V$2))+(AK5*W5*(1-W$2))</f>
        <v>294221397.71966237</v>
      </c>
      <c r="AM5" s="5">
        <f t="shared" ref="AM5:AM49" si="12">(AK5*O5*(1-O$2))-(X5*O5*(1-O$2))</f>
        <v>822660.36647593975</v>
      </c>
      <c r="AN5" s="18">
        <f t="shared" ref="AN5:AN49" si="13">AM5/((O5*AL5))</f>
        <v>7.7467816974541607E-3</v>
      </c>
      <c r="AO5" s="5">
        <f t="shared" ref="AO5:AO49" si="14">AL5-AM5</f>
        <v>293398737.35318643</v>
      </c>
      <c r="AP5" s="7">
        <f t="shared" ref="AP5:AP49" si="15">(((AK5*O5*(1-O$2))/AL5)*AL5)-AM5-(((X5*O5*(1-O$2))/Z5)*Z5)</f>
        <v>0</v>
      </c>
      <c r="AQ5" s="7"/>
      <c r="AR5" s="18">
        <f t="shared" ref="AR5:AR49" si="16">1-((((AK5*P5*(1-O$2-AA5))/AL5)*AL5)/(X5*P5))</f>
        <v>0.1854718785826649</v>
      </c>
      <c r="AS5" s="18">
        <f>AR5-$O$2</f>
        <v>0.1084718785826649</v>
      </c>
      <c r="AT5" s="18">
        <f t="shared" ref="AT5:AT49" si="17">1-((((AK5*Q5*(1-AE5))/AL5)*AL5)/(X5*Q5))</f>
        <v>7.9117069445195254E-2</v>
      </c>
      <c r="AU5" s="18">
        <f>AT5-$O$2</f>
        <v>2.1170694451952549E-3</v>
      </c>
      <c r="AV5" s="18">
        <f t="shared" ref="AV5:AV49" si="18">$O5*(1-$O$2)+$P5*(1-$O$2-$AA5)+$Q5*(1-$AE5)+$R5*(1-$R$2)+$S5*(1-$S$2)+$T5*(1-$T$2)+$U5*(1-$U$2)+$V5*(1-$V$2)+$W5*(1-$W$2)</f>
        <v>0.93633307660489296</v>
      </c>
      <c r="AW5" s="18">
        <f t="shared" ref="AW5:AW49" si="19">$P5*(1-$O$2-$AA5)+$Q5*(1-$AE5)+$R5*(1-$R$2)+$S5*(1-$S$2)+$T5*(1-$T$2)+$U5*(1-$U$2)+$V5*(1-$V$2)+$W5*(1-$W$2)</f>
        <v>0.60319313628742854</v>
      </c>
      <c r="AX5" s="5"/>
      <c r="AY5" s="7">
        <f t="shared" ref="AY5:AY49" si="20">(X5*$O5*($O$2))</f>
        <v>8664293.4083499908</v>
      </c>
      <c r="AZ5" s="7">
        <f t="shared" ref="AZ5:AZ49" si="21">(X5*$P5*($O$2))</f>
        <v>758889.94555817463</v>
      </c>
      <c r="BA5" s="7">
        <f t="shared" ref="BA5:BA49" si="22">(X5*Q5*($Q$2))</f>
        <v>2915857.5956055732</v>
      </c>
      <c r="BB5" s="7">
        <f t="shared" ref="BB5:BB49" si="23">(X5*$R5*($R$2))</f>
        <v>4364046.4334909357</v>
      </c>
      <c r="BC5" s="7">
        <f t="shared" ref="BC5:BC49" si="24">(X5*$S5*($S$2))+(X5*$T5*($T$2))+(X5*$U5*($U$2))+(X5*$V5*($V$2))+(X5*$W5*($W$2))</f>
        <v>1659201.6488133059</v>
      </c>
      <c r="BD5" s="5">
        <f t="shared" ref="BD5:BD49" si="25">SUM(AY5:BC5)-(X5-Z5)</f>
        <v>0</v>
      </c>
      <c r="BF5" s="7">
        <f t="shared" ref="BF5:BF49" si="26">(AK5*$O5*($O$2))</f>
        <v>8732922.7130289152</v>
      </c>
      <c r="BG5" s="7">
        <f t="shared" ref="BG5:BG49" si="27">(AK5*$P5*($O$2+$AA5))</f>
        <v>1906024.1785842252</v>
      </c>
      <c r="BH5" s="7">
        <f t="shared" ref="BH5:BH49" si="28">(AK5*Q5*($AE5))</f>
        <v>3295979.5622159</v>
      </c>
      <c r="BI5" s="7">
        <f t="shared" ref="BI5:BI49" si="29">(AK5*$R5*($R$2))</f>
        <v>4398613.7615119824</v>
      </c>
      <c r="BJ5" s="7">
        <f t="shared" ref="BJ5:BJ49" si="30">(AK5*$S5*($S$2))+(AK5*$T5*($T$2))+(AK5*$U5*($U$2))+(AK5*$V5*($V$2))+(AK5*$W5*($W$2))</f>
        <v>1672344.0771814915</v>
      </c>
      <c r="BK5" s="5">
        <f>SUM(BF5:BJ5)-(AK5-AL5)</f>
        <v>0</v>
      </c>
      <c r="BM5" s="7">
        <f t="shared" ref="BM5:BM49" si="31">X5</f>
        <v>311757868.2106095</v>
      </c>
      <c r="BN5" s="7">
        <f>AY5</f>
        <v>8664293.4083499908</v>
      </c>
      <c r="BO5" s="7">
        <f>AZ5</f>
        <v>758889.94555817463</v>
      </c>
      <c r="BP5" s="7">
        <f t="shared" ref="BP5:BR5" si="32">BA5</f>
        <v>2915857.5956055732</v>
      </c>
      <c r="BQ5" s="7">
        <f t="shared" si="32"/>
        <v>4364046.4334909357</v>
      </c>
      <c r="BR5" s="7">
        <f t="shared" si="32"/>
        <v>1659201.6488133059</v>
      </c>
      <c r="BS5" s="7">
        <f>BM5-SUM(BN5:BR5)</f>
        <v>293395579.17879152</v>
      </c>
      <c r="BU5" s="7">
        <f>AK5</f>
        <v>314227282.01218486</v>
      </c>
      <c r="BV5" s="7">
        <f>BF5</f>
        <v>8732922.7130289152</v>
      </c>
      <c r="BW5" s="7">
        <f>AM5</f>
        <v>822660.36647593975</v>
      </c>
      <c r="BX5" s="7">
        <f>BG5</f>
        <v>1906024.1785842252</v>
      </c>
      <c r="BY5" s="7">
        <f t="shared" ref="BY5:CA5" si="33">BH5</f>
        <v>3295979.5622159</v>
      </c>
      <c r="BZ5" s="7">
        <f t="shared" si="33"/>
        <v>4398613.7615119824</v>
      </c>
      <c r="CA5" s="7">
        <f t="shared" si="33"/>
        <v>1672344.0771814915</v>
      </c>
      <c r="CB5" s="7">
        <f>BU5-SUM(BV5:CA5)</f>
        <v>293398737.35318643</v>
      </c>
      <c r="CD5" s="5">
        <f>CB5-BS5</f>
        <v>3158.1743949055672</v>
      </c>
      <c r="CE5" s="18">
        <f>CD5/BS5</f>
        <v>1.0764219432839565E-5</v>
      </c>
      <c r="CF5" s="5">
        <f t="shared" ref="CF5:CF49" si="34">($X5*O5)</f>
        <v>112523291.01753235</v>
      </c>
      <c r="CG5" s="5">
        <f t="shared" ref="CG5:CG49" si="35">CF5-AY5</f>
        <v>103858997.60918236</v>
      </c>
      <c r="CH5" s="5">
        <f t="shared" ref="CH5:CH49" si="36">($AK5*O5)-BF5-AM5</f>
        <v>103858997.60918236</v>
      </c>
      <c r="CI5" s="5">
        <f>CH5-CG5</f>
        <v>0</v>
      </c>
      <c r="CK5" s="37">
        <f>1-CH5/CF5</f>
        <v>7.6999999999999957E-2</v>
      </c>
      <c r="CL5" s="37">
        <f>1-CG5/CF5</f>
        <v>7.6999999999999957E-2</v>
      </c>
    </row>
    <row r="6" spans="1:92" x14ac:dyDescent="0.25">
      <c r="A6" s="1">
        <v>2</v>
      </c>
      <c r="B6" s="1">
        <v>210002</v>
      </c>
      <c r="D6" s="4">
        <v>1998942647.6000001</v>
      </c>
      <c r="E6" s="4">
        <v>560484780.4000001</v>
      </c>
      <c r="F6" s="4">
        <v>95280201.819890589</v>
      </c>
      <c r="G6" s="4">
        <v>134029629.98010942</v>
      </c>
      <c r="H6" s="4">
        <v>89178014.5</v>
      </c>
      <c r="I6" s="4">
        <v>411314296.19999999</v>
      </c>
      <c r="J6" s="4">
        <v>196198153</v>
      </c>
      <c r="K6" s="4">
        <v>109210700.3</v>
      </c>
      <c r="L6" s="4">
        <v>6086659.5</v>
      </c>
      <c r="M6" s="4">
        <v>43032337.200000003</v>
      </c>
      <c r="N6" s="4">
        <f t="shared" ref="N6:N49" si="37">D6-SUM(E6:M6)</f>
        <v>354127874.70000005</v>
      </c>
      <c r="O6" s="12">
        <f t="shared" ref="O6:O49" si="38">E6/$D6</f>
        <v>0.28039062605069615</v>
      </c>
      <c r="P6" s="12">
        <f t="shared" ref="P6:P49" si="39">F6/$D6</f>
        <v>4.7665300419843112E-2</v>
      </c>
      <c r="Q6" s="12">
        <f t="shared" ref="Q6:Q49" si="40">G6/$D6</f>
        <v>6.7050262868236885E-2</v>
      </c>
      <c r="R6" s="12">
        <f t="shared" ref="R6:R49" si="41">(H6+I6)/$D6</f>
        <v>0.25037852451690318</v>
      </c>
      <c r="S6" s="12">
        <f t="shared" ref="S6:S49" si="42">J6/$D6</f>
        <v>9.8150966580037857E-2</v>
      </c>
      <c r="T6" s="12">
        <f t="shared" ref="T6:T49" si="43">K6/$D6</f>
        <v>5.4634233969204742E-2</v>
      </c>
      <c r="U6" s="12">
        <f t="shared" ref="U6:U49" si="44">L6/$D6</f>
        <v>3.0449395370636843E-3</v>
      </c>
      <c r="V6" s="12">
        <f t="shared" ref="V6:V49" si="45">M6/$D6</f>
        <v>2.1527549703172385E-2</v>
      </c>
      <c r="W6" s="12">
        <f t="shared" ref="W6:W49" si="46">(N6)/$D6</f>
        <v>0.17715759635484202</v>
      </c>
      <c r="X6" s="4">
        <f t="shared" ref="X6:X49" si="47">Y6*(1-0.4973)</f>
        <v>1109454425.4153407</v>
      </c>
      <c r="Y6" s="4">
        <v>2206991098.8966398</v>
      </c>
      <c r="Z6" s="4">
        <f t="shared" ref="Z6:Z49" si="48">(X6*O6*(1-O$2))+(X6*P6*(1-O$2))+(X6*Q6*(1-Q$2))+(X6*R6*(1-R$2))+(X6*S6*(1-S$2))+(X6*T6*(1-T$2))+(X6*U6*(1-U$2))+(X6*V6*(1-V$2))+(X6*W6*(1-W$2))</f>
        <v>1046651033.8296542</v>
      </c>
      <c r="AA6" s="18">
        <f t="shared" si="2"/>
        <v>0.114873</v>
      </c>
      <c r="AB6" s="7">
        <f t="shared" ref="AB6:AB11" si="49">(X6*O6*(1-O$2))+(X6*P6*(1-AA6-O$2))+(X6*Q6*(1-Q$2))+(X6*R6*(1-R$2))+(X6*S6*(1-S$2))+(X6*T6*(1-T$2))+(X6*U6*(1-U$2))+(X6*V6*(1-V$2))+(X6*W6*(1-W$2))</f>
        <v>1040576264.8781245</v>
      </c>
      <c r="AC6" s="4">
        <f t="shared" si="3"/>
        <v>1115943743.9662352</v>
      </c>
      <c r="AD6" s="4">
        <f t="shared" si="4"/>
        <v>1046662707.6418875</v>
      </c>
      <c r="AE6" s="18">
        <f t="shared" si="5"/>
        <v>8.6354E-2</v>
      </c>
      <c r="AF6" s="4">
        <f t="shared" si="6"/>
        <v>1045962800.9397074</v>
      </c>
      <c r="AG6" s="4">
        <f t="shared" si="7"/>
        <v>1116691933.6955395</v>
      </c>
      <c r="AH6" s="4">
        <f t="shared" si="8"/>
        <v>1046664071.6167722</v>
      </c>
      <c r="AI6" s="4">
        <f t="shared" si="9"/>
        <v>1873071.1079466939</v>
      </c>
      <c r="AJ6" s="4">
        <f t="shared" ref="AJ6:AJ49" si="50">AI6/(AW6/AV6)</f>
        <v>2587528.6405043113</v>
      </c>
      <c r="AK6" s="5">
        <f t="shared" si="10"/>
        <v>1119457962.8635352</v>
      </c>
      <c r="AL6" s="4">
        <f t="shared" si="11"/>
        <v>1049256642.820904</v>
      </c>
      <c r="AM6" s="7">
        <f t="shared" si="12"/>
        <v>2588920.9719786048</v>
      </c>
      <c r="AN6" s="12">
        <f t="shared" si="13"/>
        <v>8.7998156865225861E-3</v>
      </c>
      <c r="AO6" s="4">
        <f t="shared" si="14"/>
        <v>1046667721.8489254</v>
      </c>
      <c r="AP6" s="4">
        <f t="shared" si="15"/>
        <v>0</v>
      </c>
      <c r="AQ6" s="4"/>
      <c r="AR6" s="18">
        <f t="shared" si="16"/>
        <v>0.18458641974739454</v>
      </c>
      <c r="AS6" s="18">
        <f>AR6-$O$2</f>
        <v>0.10758641974739454</v>
      </c>
      <c r="AT6" s="18">
        <f t="shared" si="17"/>
        <v>7.8115994214434159E-2</v>
      </c>
      <c r="AU6" s="18">
        <f>AT6-$O$2</f>
        <v>1.11599421443416E-3</v>
      </c>
      <c r="AV6" s="18">
        <f t="shared" si="18"/>
        <v>0.93728990067384155</v>
      </c>
      <c r="AW6" s="18">
        <f t="shared" si="19"/>
        <v>0.67848935282904899</v>
      </c>
      <c r="AY6" s="7">
        <f t="shared" si="20"/>
        <v>23953207.810603052</v>
      </c>
      <c r="AZ6" s="7">
        <f t="shared" si="21"/>
        <v>4071950.8436950906</v>
      </c>
      <c r="BA6" s="7">
        <f t="shared" si="22"/>
        <v>5727969.2365609016</v>
      </c>
      <c r="BB6" s="7">
        <f t="shared" si="23"/>
        <v>21389334.278176602</v>
      </c>
      <c r="BC6" s="7">
        <f t="shared" si="24"/>
        <v>7660929.416650922</v>
      </c>
      <c r="BD6" s="5">
        <f t="shared" si="25"/>
        <v>1.1920928955078125E-7</v>
      </c>
      <c r="BF6" s="7">
        <f t="shared" si="26"/>
        <v>24169184.966445256</v>
      </c>
      <c r="BG6" s="7">
        <f t="shared" si="27"/>
        <v>10238208.989483364</v>
      </c>
      <c r="BH6" s="7">
        <f t="shared" si="28"/>
        <v>6481726.9810156254</v>
      </c>
      <c r="BI6" s="7">
        <f t="shared" si="29"/>
        <v>21582193.941036198</v>
      </c>
      <c r="BJ6" s="7">
        <f t="shared" si="30"/>
        <v>7730005.1646508928</v>
      </c>
      <c r="BK6" s="5">
        <f t="shared" ref="BK6:BK49" si="51">SUM(BF6:BJ6)-(AK6-AL6)</f>
        <v>1.7881393432617188E-7</v>
      </c>
      <c r="BM6" s="4">
        <f t="shared" si="31"/>
        <v>1109454425.4153407</v>
      </c>
      <c r="BN6" s="4">
        <f t="shared" ref="BN6:BN49" si="52">AY6</f>
        <v>23953207.810603052</v>
      </c>
      <c r="BO6" s="4">
        <f t="shared" ref="BO6:BO49" si="53">AZ6</f>
        <v>4071950.8436950906</v>
      </c>
      <c r="BP6" s="4">
        <f t="shared" ref="BP6:BP49" si="54">BA6</f>
        <v>5727969.2365609016</v>
      </c>
      <c r="BQ6" s="4">
        <f t="shared" ref="BQ6:BQ49" si="55">BB6</f>
        <v>21389334.278176602</v>
      </c>
      <c r="BR6" s="4">
        <f t="shared" ref="BR6:BR49" si="56">BC6</f>
        <v>7660929.416650922</v>
      </c>
      <c r="BS6" s="4">
        <f t="shared" ref="BS6:BS49" si="57">BM6-SUM(BN6:BR6)</f>
        <v>1046651033.8296541</v>
      </c>
      <c r="BU6" s="4">
        <f t="shared" ref="BU6:BU49" si="58">AK6</f>
        <v>1119457962.8635352</v>
      </c>
      <c r="BV6" s="4">
        <f t="shared" ref="BV6:BV49" si="59">BF6</f>
        <v>24169184.966445256</v>
      </c>
      <c r="BW6" s="4">
        <f t="shared" ref="BW6:BW49" si="60">AM6</f>
        <v>2588920.9719786048</v>
      </c>
      <c r="BX6" s="4">
        <f t="shared" ref="BX6:BX49" si="61">BG6</f>
        <v>10238208.989483364</v>
      </c>
      <c r="BY6" s="4">
        <f t="shared" ref="BY6:BY49" si="62">BH6</f>
        <v>6481726.9810156254</v>
      </c>
      <c r="BZ6" s="4">
        <f t="shared" ref="BZ6:BZ49" si="63">BI6</f>
        <v>21582193.941036198</v>
      </c>
      <c r="CA6" s="4">
        <f t="shared" ref="CA6:CA49" si="64">BJ6</f>
        <v>7730005.1646508928</v>
      </c>
      <c r="CB6" s="4">
        <f t="shared" ref="CB6:CB49" si="65">BU6-SUM(BV6:CA6)</f>
        <v>1046667721.8489252</v>
      </c>
      <c r="CD6" s="4">
        <f t="shared" ref="CD6:CD49" si="66">CB6-BS6</f>
        <v>16688.01927113533</v>
      </c>
      <c r="CE6" s="18">
        <f t="shared" ref="CE6:CE49" si="67">CD6/BS6</f>
        <v>1.5944205596467563E-5</v>
      </c>
      <c r="CF6" s="5">
        <f t="shared" si="34"/>
        <v>311080620.91692275</v>
      </c>
      <c r="CG6" s="5">
        <f t="shared" si="35"/>
        <v>287127413.10631967</v>
      </c>
      <c r="CH6" s="5">
        <f t="shared" si="36"/>
        <v>287127413.10631973</v>
      </c>
      <c r="CI6" s="5">
        <f t="shared" ref="CI6:CI49" si="68">CH6-CG6</f>
        <v>0</v>
      </c>
      <c r="CK6" s="6">
        <f t="shared" ref="CK6:CK49" si="69">1-CH6/CF6</f>
        <v>7.6999999999999957E-2</v>
      </c>
      <c r="CL6" s="6">
        <f t="shared" ref="CL6:CL49" si="70">1-CG6/CF6</f>
        <v>7.7000000000000068E-2</v>
      </c>
    </row>
    <row r="7" spans="1:92" x14ac:dyDescent="0.25">
      <c r="A7" s="1">
        <v>3</v>
      </c>
      <c r="B7" s="1">
        <v>210003</v>
      </c>
      <c r="D7" s="4">
        <v>484325106.80000001</v>
      </c>
      <c r="E7" s="4">
        <v>113354044.7</v>
      </c>
      <c r="F7" s="4">
        <v>40465630.473599084</v>
      </c>
      <c r="G7" s="4">
        <v>29007312.12640091</v>
      </c>
      <c r="H7" s="4">
        <v>27626914.899999999</v>
      </c>
      <c r="I7" s="4">
        <v>117325710.39999999</v>
      </c>
      <c r="J7" s="4">
        <v>30292846.5</v>
      </c>
      <c r="K7" s="4">
        <v>21023955.199999999</v>
      </c>
      <c r="L7" s="4">
        <v>1018742.4</v>
      </c>
      <c r="M7" s="4">
        <v>30929000</v>
      </c>
      <c r="N7" s="4">
        <f t="shared" si="37"/>
        <v>73280950.100000024</v>
      </c>
      <c r="O7" s="12">
        <f t="shared" si="38"/>
        <v>0.23404536149064242</v>
      </c>
      <c r="P7" s="12">
        <f t="shared" si="39"/>
        <v>8.3550552935322417E-2</v>
      </c>
      <c r="Q7" s="12">
        <f t="shared" si="40"/>
        <v>5.9892232963217731E-2</v>
      </c>
      <c r="R7" s="12">
        <f t="shared" si="41"/>
        <v>0.29928786111816735</v>
      </c>
      <c r="S7" s="12">
        <f t="shared" si="42"/>
        <v>6.2546512816873859E-2</v>
      </c>
      <c r="T7" s="12">
        <f t="shared" si="43"/>
        <v>4.340876594011004E-2</v>
      </c>
      <c r="U7" s="12">
        <f t="shared" si="44"/>
        <v>2.1034267802694882E-3</v>
      </c>
      <c r="V7" s="12">
        <f t="shared" si="45"/>
        <v>6.3859997274045927E-2</v>
      </c>
      <c r="W7" s="12">
        <f t="shared" si="46"/>
        <v>0.15130528868135074</v>
      </c>
      <c r="X7" s="4">
        <f t="shared" si="47"/>
        <v>261342708.15347484</v>
      </c>
      <c r="Y7" s="4">
        <v>519878074.70355058</v>
      </c>
      <c r="Z7" s="4">
        <f t="shared" si="48"/>
        <v>246327158.62743124</v>
      </c>
      <c r="AA7" s="18">
        <f t="shared" si="2"/>
        <v>0.114873</v>
      </c>
      <c r="AB7" s="7">
        <f t="shared" si="49"/>
        <v>243818869.02029699</v>
      </c>
      <c r="AC7" s="4">
        <f t="shared" si="3"/>
        <v>264038574.51366147</v>
      </c>
      <c r="AD7" s="4">
        <f t="shared" si="4"/>
        <v>246333969.17983374</v>
      </c>
      <c r="AE7" s="18">
        <f t="shared" si="5"/>
        <v>8.6354E-2</v>
      </c>
      <c r="AF7" s="4">
        <f t="shared" si="6"/>
        <v>246186046.33511439</v>
      </c>
      <c r="AG7" s="4">
        <f t="shared" si="7"/>
        <v>264197657.70361269</v>
      </c>
      <c r="AH7" s="4">
        <f t="shared" si="8"/>
        <v>246334373.38029939</v>
      </c>
      <c r="AI7" s="4">
        <f t="shared" si="9"/>
        <v>616737.24663809687</v>
      </c>
      <c r="AJ7" s="4">
        <f t="shared" si="50"/>
        <v>802718.38126983086</v>
      </c>
      <c r="AK7" s="5">
        <f t="shared" si="10"/>
        <v>265060938.83484814</v>
      </c>
      <c r="AL7" s="4">
        <f t="shared" si="11"/>
        <v>247139285.19655961</v>
      </c>
      <c r="AM7" s="7">
        <f t="shared" si="12"/>
        <v>803226.57634518296</v>
      </c>
      <c r="AN7" s="12">
        <f t="shared" si="13"/>
        <v>1.3886610201117956E-2</v>
      </c>
      <c r="AO7" s="4">
        <f t="shared" si="14"/>
        <v>246336058.62021443</v>
      </c>
      <c r="AP7" s="4">
        <f t="shared" si="15"/>
        <v>0</v>
      </c>
      <c r="AQ7" s="43"/>
      <c r="AR7" s="18">
        <f t="shared" si="16"/>
        <v>0.18037544329724486</v>
      </c>
      <c r="AS7" s="18">
        <f t="shared" ref="AS7:AS49" si="71">AR7-$O$2</f>
        <v>0.10337544329724487</v>
      </c>
      <c r="AT7" s="18">
        <f t="shared" si="17"/>
        <v>7.3355180889581151E-2</v>
      </c>
      <c r="AU7" s="18">
        <f t="shared" ref="AU7:AU49" si="72">AT7-$O$2</f>
        <v>-3.6448191104188482E-3</v>
      </c>
      <c r="AV7" s="18">
        <f t="shared" si="18"/>
        <v>0.93238666656404257</v>
      </c>
      <c r="AW7" s="18">
        <f t="shared" si="19"/>
        <v>0.71636279790817958</v>
      </c>
      <c r="AY7" s="7">
        <f t="shared" si="20"/>
        <v>4709785.742409708</v>
      </c>
      <c r="AZ7" s="7">
        <f t="shared" si="21"/>
        <v>1681320.2384314812</v>
      </c>
      <c r="BA7" s="7">
        <f t="shared" si="22"/>
        <v>1205234.6737173926</v>
      </c>
      <c r="BB7" s="7">
        <f t="shared" si="23"/>
        <v>6022685.9109403845</v>
      </c>
      <c r="BC7" s="7">
        <f t="shared" si="24"/>
        <v>1396522.9605446386</v>
      </c>
      <c r="BD7" s="5">
        <f t="shared" si="25"/>
        <v>0</v>
      </c>
      <c r="BF7" s="7">
        <f t="shared" si="26"/>
        <v>4776793.8099921336</v>
      </c>
      <c r="BG7" s="7">
        <f t="shared" si="27"/>
        <v>4249217.1557556363</v>
      </c>
      <c r="BH7" s="7">
        <f t="shared" si="28"/>
        <v>1370877.6512308938</v>
      </c>
      <c r="BI7" s="7">
        <f t="shared" si="29"/>
        <v>6108373.1516388403</v>
      </c>
      <c r="BJ7" s="7">
        <f t="shared" si="30"/>
        <v>1416391.8696710027</v>
      </c>
      <c r="BK7" s="5">
        <f t="shared" si="51"/>
        <v>0</v>
      </c>
      <c r="BM7" s="4">
        <f t="shared" si="31"/>
        <v>261342708.15347484</v>
      </c>
      <c r="BN7" s="4">
        <f t="shared" si="52"/>
        <v>4709785.742409708</v>
      </c>
      <c r="BO7" s="4">
        <f t="shared" si="53"/>
        <v>1681320.2384314812</v>
      </c>
      <c r="BP7" s="4">
        <f t="shared" si="54"/>
        <v>1205234.6737173926</v>
      </c>
      <c r="BQ7" s="4">
        <f t="shared" si="55"/>
        <v>6022685.9109403845</v>
      </c>
      <c r="BR7" s="4">
        <f t="shared" si="56"/>
        <v>1396522.9605446386</v>
      </c>
      <c r="BS7" s="4">
        <f t="shared" si="57"/>
        <v>246327158.62743124</v>
      </c>
      <c r="BU7" s="4">
        <f t="shared" si="58"/>
        <v>265060938.83484814</v>
      </c>
      <c r="BV7" s="4">
        <f t="shared" si="59"/>
        <v>4776793.8099921336</v>
      </c>
      <c r="BW7" s="4">
        <f t="shared" si="60"/>
        <v>803226.57634518296</v>
      </c>
      <c r="BX7" s="4">
        <f t="shared" si="61"/>
        <v>4249217.1557556363</v>
      </c>
      <c r="BY7" s="4">
        <f t="shared" si="62"/>
        <v>1370877.6512308938</v>
      </c>
      <c r="BZ7" s="4">
        <f t="shared" si="63"/>
        <v>6108373.1516388403</v>
      </c>
      <c r="CA7" s="4">
        <f t="shared" si="64"/>
        <v>1416391.8696710027</v>
      </c>
      <c r="CB7" s="4">
        <f t="shared" si="65"/>
        <v>246336058.62021446</v>
      </c>
      <c r="CD7" s="4">
        <f t="shared" si="66"/>
        <v>8899.9927832186222</v>
      </c>
      <c r="CE7" s="18">
        <f t="shared" si="67"/>
        <v>3.613078165156698E-5</v>
      </c>
      <c r="CF7" s="5">
        <f t="shared" si="34"/>
        <v>61166048.602723479</v>
      </c>
      <c r="CG7" s="5">
        <f t="shared" si="35"/>
        <v>56456262.860313773</v>
      </c>
      <c r="CH7" s="5">
        <f t="shared" si="36"/>
        <v>56456262.860313773</v>
      </c>
      <c r="CI7" s="5">
        <f t="shared" si="68"/>
        <v>0</v>
      </c>
      <c r="CK7" s="6">
        <f t="shared" si="69"/>
        <v>7.6999999999999957E-2</v>
      </c>
      <c r="CL7" s="6">
        <f t="shared" si="70"/>
        <v>7.6999999999999957E-2</v>
      </c>
      <c r="CN7" s="9"/>
    </row>
    <row r="8" spans="1:92" x14ac:dyDescent="0.25">
      <c r="A8" s="1">
        <v>4</v>
      </c>
      <c r="B8" s="1">
        <v>210004</v>
      </c>
      <c r="D8" s="4">
        <v>638008057</v>
      </c>
      <c r="E8" s="4">
        <v>115293285.8</v>
      </c>
      <c r="F8" s="4">
        <v>89031175.616723955</v>
      </c>
      <c r="G8" s="4">
        <v>21808091.283276051</v>
      </c>
      <c r="H8" s="4">
        <v>38011102.5</v>
      </c>
      <c r="I8" s="4">
        <v>131463830.69999999</v>
      </c>
      <c r="J8" s="4">
        <v>38795590.100000001</v>
      </c>
      <c r="K8" s="4">
        <v>21621495.800000001</v>
      </c>
      <c r="L8" s="4">
        <v>4480781.6000000006</v>
      </c>
      <c r="M8" s="4">
        <v>38345457.699999996</v>
      </c>
      <c r="N8" s="4">
        <f t="shared" si="37"/>
        <v>139157245.89999998</v>
      </c>
      <c r="O8" s="12">
        <f t="shared" si="38"/>
        <v>0.18070819723206097</v>
      </c>
      <c r="P8" s="12">
        <f t="shared" si="39"/>
        <v>0.13954553495039007</v>
      </c>
      <c r="Q8" s="12">
        <f t="shared" si="40"/>
        <v>3.418152959669607E-2</v>
      </c>
      <c r="R8" s="12">
        <f t="shared" si="41"/>
        <v>0.26563133700363284</v>
      </c>
      <c r="S8" s="12">
        <f t="shared" si="42"/>
        <v>6.0807367045523066E-2</v>
      </c>
      <c r="T8" s="12">
        <f t="shared" si="43"/>
        <v>3.3889063880583568E-2</v>
      </c>
      <c r="U8" s="12">
        <f t="shared" si="44"/>
        <v>7.0230799608851967E-3</v>
      </c>
      <c r="V8" s="12">
        <f t="shared" si="45"/>
        <v>6.0101839278183279E-2</v>
      </c>
      <c r="W8" s="12">
        <f t="shared" si="46"/>
        <v>0.2181120510520449</v>
      </c>
      <c r="X8" s="4">
        <f t="shared" si="47"/>
        <v>352550720.71266001</v>
      </c>
      <c r="Y8" s="4">
        <v>701314343.96789348</v>
      </c>
      <c r="Z8" s="4">
        <f t="shared" si="48"/>
        <v>333409410.23221821</v>
      </c>
      <c r="AA8" s="18">
        <f t="shared" si="2"/>
        <v>0.114873</v>
      </c>
      <c r="AB8" s="7">
        <f t="shared" si="49"/>
        <v>327758017.16015661</v>
      </c>
      <c r="AC8" s="4">
        <f t="shared" si="3"/>
        <v>358653687.59062779</v>
      </c>
      <c r="AD8" s="4">
        <f t="shared" si="4"/>
        <v>333431800.26482129</v>
      </c>
      <c r="AE8" s="18">
        <f t="shared" si="5"/>
        <v>8.6354E-2</v>
      </c>
      <c r="AF8" s="4">
        <f t="shared" si="6"/>
        <v>333317126.47668558</v>
      </c>
      <c r="AG8" s="4">
        <f t="shared" si="7"/>
        <v>358777567.8508141</v>
      </c>
      <c r="AH8" s="4">
        <f t="shared" si="8"/>
        <v>333432255.39848715</v>
      </c>
      <c r="AI8" s="4">
        <f t="shared" si="9"/>
        <v>1038598.6620757356</v>
      </c>
      <c r="AJ8" s="4">
        <f t="shared" si="50"/>
        <v>1265769.0362354133</v>
      </c>
      <c r="AK8" s="4">
        <f t="shared" si="10"/>
        <v>360144957.90650022</v>
      </c>
      <c r="AL8" s="4">
        <f t="shared" si="11"/>
        <v>334703048.19918555</v>
      </c>
      <c r="AM8" s="7">
        <f t="shared" si="12"/>
        <v>1266670.6623773575</v>
      </c>
      <c r="AN8" s="12">
        <f t="shared" si="13"/>
        <v>2.0942387491323555E-2</v>
      </c>
      <c r="AO8" s="4">
        <f t="shared" si="14"/>
        <v>333436377.53680819</v>
      </c>
      <c r="AP8" s="4">
        <f t="shared" si="15"/>
        <v>0</v>
      </c>
      <c r="AQ8" s="43"/>
      <c r="AR8" s="18">
        <f t="shared" si="16"/>
        <v>0.17446526896958059</v>
      </c>
      <c r="AS8" s="18">
        <f t="shared" si="71"/>
        <v>9.746526896958059E-2</v>
      </c>
      <c r="AT8" s="18">
        <f t="shared" si="17"/>
        <v>6.6673301514466488E-2</v>
      </c>
      <c r="AU8" s="18">
        <f t="shared" si="72"/>
        <v>-1.0326698485533511E-2</v>
      </c>
      <c r="AV8" s="18">
        <f t="shared" si="18"/>
        <v>0.92935647397312759</v>
      </c>
      <c r="AW8" s="18">
        <f t="shared" si="19"/>
        <v>0.76256280792793552</v>
      </c>
      <c r="AY8" s="7">
        <f t="shared" si="20"/>
        <v>4905577.9983093422</v>
      </c>
      <c r="AZ8" s="7">
        <f t="shared" si="21"/>
        <v>3788159.6767625152</v>
      </c>
      <c r="BA8" s="7">
        <f t="shared" si="22"/>
        <v>927905.66286697658</v>
      </c>
      <c r="BB8" s="7">
        <f t="shared" si="23"/>
        <v>7210935.9864463629</v>
      </c>
      <c r="BC8" s="7">
        <f t="shared" si="24"/>
        <v>2308731.1560566095</v>
      </c>
      <c r="BD8" s="5">
        <f t="shared" si="25"/>
        <v>0</v>
      </c>
      <c r="BF8" s="7">
        <f t="shared" si="26"/>
        <v>5011248.2485835105</v>
      </c>
      <c r="BG8" s="7">
        <f t="shared" si="27"/>
        <v>9642888.604820706</v>
      </c>
      <c r="BH8" s="7">
        <f t="shared" si="28"/>
        <v>1063044.1244096181</v>
      </c>
      <c r="BI8" s="7">
        <f t="shared" si="29"/>
        <v>7366265.5746541955</v>
      </c>
      <c r="BJ8" s="7">
        <f t="shared" si="30"/>
        <v>2358463.1548466296</v>
      </c>
      <c r="BK8" s="5">
        <f t="shared" si="51"/>
        <v>0</v>
      </c>
      <c r="BM8" s="4">
        <f t="shared" si="31"/>
        <v>352550720.71266001</v>
      </c>
      <c r="BN8" s="4">
        <f t="shared" si="52"/>
        <v>4905577.9983093422</v>
      </c>
      <c r="BO8" s="4">
        <f t="shared" si="53"/>
        <v>3788159.6767625152</v>
      </c>
      <c r="BP8" s="4">
        <f t="shared" si="54"/>
        <v>927905.66286697658</v>
      </c>
      <c r="BQ8" s="4">
        <f t="shared" si="55"/>
        <v>7210935.9864463629</v>
      </c>
      <c r="BR8" s="4">
        <f t="shared" si="56"/>
        <v>2308731.1560566095</v>
      </c>
      <c r="BS8" s="4">
        <f t="shared" si="57"/>
        <v>333409410.23221821</v>
      </c>
      <c r="BU8" s="4">
        <f t="shared" si="58"/>
        <v>360144957.90650022</v>
      </c>
      <c r="BV8" s="4">
        <f t="shared" si="59"/>
        <v>5011248.2485835105</v>
      </c>
      <c r="BW8" s="4">
        <f t="shared" si="60"/>
        <v>1266670.6623773575</v>
      </c>
      <c r="BX8" s="4">
        <f t="shared" si="61"/>
        <v>9642888.604820706</v>
      </c>
      <c r="BY8" s="4">
        <f t="shared" si="62"/>
        <v>1063044.1244096181</v>
      </c>
      <c r="BZ8" s="4">
        <f t="shared" si="63"/>
        <v>7366265.5746541955</v>
      </c>
      <c r="CA8" s="4">
        <f t="shared" si="64"/>
        <v>2358463.1548466296</v>
      </c>
      <c r="CB8" s="4">
        <f t="shared" si="65"/>
        <v>333436377.53680819</v>
      </c>
      <c r="CD8" s="4">
        <f t="shared" si="66"/>
        <v>26967.304589986801</v>
      </c>
      <c r="CE8" s="18">
        <f t="shared" si="67"/>
        <v>8.0883453682978505E-5</v>
      </c>
      <c r="CF8" s="5">
        <f t="shared" si="34"/>
        <v>63708805.172848605</v>
      </c>
      <c r="CG8" s="5">
        <f t="shared" si="35"/>
        <v>58803227.174539261</v>
      </c>
      <c r="CH8" s="5">
        <f t="shared" si="36"/>
        <v>58803227.174539268</v>
      </c>
      <c r="CI8" s="5">
        <f t="shared" si="68"/>
        <v>0</v>
      </c>
      <c r="CK8" s="6">
        <f t="shared" si="69"/>
        <v>7.6999999999999957E-2</v>
      </c>
      <c r="CL8" s="6">
        <f t="shared" si="70"/>
        <v>7.7000000000000068E-2</v>
      </c>
      <c r="CN8" s="9"/>
    </row>
    <row r="9" spans="1:92" x14ac:dyDescent="0.25">
      <c r="A9" s="1">
        <v>5</v>
      </c>
      <c r="B9" s="1">
        <v>210005</v>
      </c>
      <c r="D9" s="4">
        <v>464628200</v>
      </c>
      <c r="E9" s="4">
        <v>162379200</v>
      </c>
      <c r="F9" s="4">
        <v>17374729.31097018</v>
      </c>
      <c r="G9" s="4">
        <v>31581870.68902982</v>
      </c>
      <c r="H9" s="4">
        <v>7748400</v>
      </c>
      <c r="I9" s="4">
        <v>62118500</v>
      </c>
      <c r="J9" s="4">
        <v>37567300</v>
      </c>
      <c r="K9" s="4">
        <v>37785400</v>
      </c>
      <c r="L9" s="4">
        <v>3671900</v>
      </c>
      <c r="M9" s="4">
        <v>30488500</v>
      </c>
      <c r="N9" s="4">
        <f t="shared" si="37"/>
        <v>73912400</v>
      </c>
      <c r="O9" s="12">
        <f t="shared" si="38"/>
        <v>0.34948201594307016</v>
      </c>
      <c r="P9" s="12">
        <f t="shared" si="39"/>
        <v>3.7394909114363224E-2</v>
      </c>
      <c r="Q9" s="12">
        <f t="shared" si="40"/>
        <v>6.7972350126466324E-2</v>
      </c>
      <c r="R9" s="12">
        <f t="shared" si="41"/>
        <v>0.15037163047787458</v>
      </c>
      <c r="S9" s="12">
        <f t="shared" si="42"/>
        <v>8.0854541330035501E-2</v>
      </c>
      <c r="T9" s="12">
        <f t="shared" si="43"/>
        <v>8.1323948912270072E-2</v>
      </c>
      <c r="U9" s="12">
        <f t="shared" si="44"/>
        <v>7.9028780431321215E-3</v>
      </c>
      <c r="V9" s="12">
        <f t="shared" si="45"/>
        <v>6.561913375038364E-2</v>
      </c>
      <c r="W9" s="12">
        <f t="shared" si="46"/>
        <v>0.15907859230240437</v>
      </c>
      <c r="X9" s="4">
        <f t="shared" si="47"/>
        <v>255171152.77080637</v>
      </c>
      <c r="Y9" s="4">
        <v>507601258.74439311</v>
      </c>
      <c r="Z9" s="4">
        <f t="shared" si="48"/>
        <v>241548242.3269673</v>
      </c>
      <c r="AA9" s="18">
        <f t="shared" si="2"/>
        <v>0.114873</v>
      </c>
      <c r="AB9" s="7">
        <f t="shared" ref="AB9" si="73">(X9*O9*(1-O$2))+(X9*P9*(1-AA9-O$2))+(X9*Q9*(1-Q$2))+(X9*R9*(1-R$2))+(X9*S9*(1-S$2))+(X9*T9*(1-T$2))+(X9*U9*(1-U$2))+(X9*V9*(1-V$2))+(X9*W9*(1-W$2))</f>
        <v>240452112.4362855</v>
      </c>
      <c r="AC9" s="4">
        <f t="shared" si="3"/>
        <v>256336533.19358227</v>
      </c>
      <c r="AD9" s="4">
        <f t="shared" si="4"/>
        <v>241550270.20766979</v>
      </c>
      <c r="AE9" s="18">
        <f t="shared" si="5"/>
        <v>8.6354E-2</v>
      </c>
      <c r="AF9" s="4">
        <f t="shared" si="6"/>
        <v>241387288.01441896</v>
      </c>
      <c r="AG9" s="4">
        <f t="shared" si="7"/>
        <v>256509935.04504859</v>
      </c>
      <c r="AH9" s="4">
        <f t="shared" si="8"/>
        <v>241550577.27381817</v>
      </c>
      <c r="AI9" s="4">
        <f t="shared" si="9"/>
        <v>431853.54284647107</v>
      </c>
      <c r="AJ9" s="4">
        <f t="shared" si="50"/>
        <v>656860.37721492385</v>
      </c>
      <c r="AK9" s="4">
        <f t="shared" si="10"/>
        <v>257208789.33883423</v>
      </c>
      <c r="AL9" s="4">
        <f t="shared" si="11"/>
        <v>242208675.20700178</v>
      </c>
      <c r="AM9" s="7">
        <f t="shared" si="12"/>
        <v>657284.30071605742</v>
      </c>
      <c r="AN9" s="12">
        <f t="shared" si="13"/>
        <v>7.7649512375324563E-3</v>
      </c>
      <c r="AO9" s="4">
        <f t="shared" si="14"/>
        <v>241551390.9062857</v>
      </c>
      <c r="AP9" s="4">
        <f t="shared" si="15"/>
        <v>0</v>
      </c>
      <c r="AQ9" s="4"/>
      <c r="AR9" s="18">
        <f t="shared" si="16"/>
        <v>0.18541980531505975</v>
      </c>
      <c r="AS9" s="18">
        <f t="shared" si="71"/>
        <v>0.10841980531505975</v>
      </c>
      <c r="AT9" s="18">
        <f t="shared" si="17"/>
        <v>7.9058196851340523E-2</v>
      </c>
      <c r="AU9" s="18">
        <f t="shared" si="72"/>
        <v>2.0581968513405241E-3</v>
      </c>
      <c r="AV9" s="18">
        <f t="shared" si="18"/>
        <v>0.94168117594118428</v>
      </c>
      <c r="AW9" s="18">
        <f t="shared" si="19"/>
        <v>0.61910927522573056</v>
      </c>
      <c r="AY9" s="7">
        <f t="shared" si="20"/>
        <v>6866685.1238261079</v>
      </c>
      <c r="AZ9" s="7">
        <f t="shared" si="21"/>
        <v>734741.85911831295</v>
      </c>
      <c r="BA9" s="7">
        <f t="shared" si="22"/>
        <v>1335532.8862499685</v>
      </c>
      <c r="BB9" s="7">
        <f t="shared" si="23"/>
        <v>2954528.6765660029</v>
      </c>
      <c r="BC9" s="7">
        <f t="shared" si="24"/>
        <v>1731421.898078707</v>
      </c>
      <c r="BD9" s="5">
        <f t="shared" si="25"/>
        <v>2.6077032089233398E-8</v>
      </c>
      <c r="BF9" s="7">
        <f t="shared" si="26"/>
        <v>6921518.1586637413</v>
      </c>
      <c r="BG9" s="7">
        <f t="shared" si="27"/>
        <v>1845491.9417310976</v>
      </c>
      <c r="BH9" s="7">
        <f t="shared" si="28"/>
        <v>1509734.3984738917</v>
      </c>
      <c r="BI9" s="7">
        <f t="shared" si="29"/>
        <v>2978121.6870112917</v>
      </c>
      <c r="BJ9" s="7">
        <f t="shared" si="30"/>
        <v>1745247.9459524578</v>
      </c>
      <c r="BK9" s="5">
        <f t="shared" si="51"/>
        <v>3.166496753692627E-8</v>
      </c>
      <c r="BM9" s="4">
        <f t="shared" si="31"/>
        <v>255171152.77080637</v>
      </c>
      <c r="BN9" s="4">
        <f t="shared" si="52"/>
        <v>6866685.1238261079</v>
      </c>
      <c r="BO9" s="4">
        <f t="shared" si="53"/>
        <v>734741.85911831295</v>
      </c>
      <c r="BP9" s="4">
        <f t="shared" si="54"/>
        <v>1335532.8862499685</v>
      </c>
      <c r="BQ9" s="4">
        <f t="shared" si="55"/>
        <v>2954528.6765660029</v>
      </c>
      <c r="BR9" s="4">
        <f t="shared" si="56"/>
        <v>1731421.898078707</v>
      </c>
      <c r="BS9" s="4">
        <f t="shared" si="57"/>
        <v>241548242.32696727</v>
      </c>
      <c r="BU9" s="4">
        <f t="shared" si="58"/>
        <v>257208789.33883423</v>
      </c>
      <c r="BV9" s="4">
        <f t="shared" si="59"/>
        <v>6921518.1586637413</v>
      </c>
      <c r="BW9" s="4">
        <f t="shared" si="60"/>
        <v>657284.30071605742</v>
      </c>
      <c r="BX9" s="4">
        <f t="shared" si="61"/>
        <v>1845491.9417310976</v>
      </c>
      <c r="BY9" s="4">
        <f t="shared" si="62"/>
        <v>1509734.3984738917</v>
      </c>
      <c r="BZ9" s="4">
        <f t="shared" si="63"/>
        <v>2978121.6870112917</v>
      </c>
      <c r="CA9" s="4">
        <f t="shared" si="64"/>
        <v>1745247.9459524578</v>
      </c>
      <c r="CB9" s="4">
        <f t="shared" si="65"/>
        <v>241551390.90628567</v>
      </c>
      <c r="CD9" s="4">
        <f t="shared" si="66"/>
        <v>3148.5793184041977</v>
      </c>
      <c r="CE9" s="18">
        <f t="shared" si="67"/>
        <v>1.3034991635924148E-5</v>
      </c>
      <c r="CF9" s="5">
        <f t="shared" si="34"/>
        <v>89177728.880858541</v>
      </c>
      <c r="CG9" s="5">
        <f t="shared" si="35"/>
        <v>82311043.757032439</v>
      </c>
      <c r="CH9" s="5">
        <f t="shared" si="36"/>
        <v>82311043.757032439</v>
      </c>
      <c r="CI9" s="5">
        <f t="shared" si="68"/>
        <v>0</v>
      </c>
      <c r="CK9" s="6">
        <f t="shared" si="69"/>
        <v>7.6999999999999957E-2</v>
      </c>
      <c r="CL9" s="6">
        <f t="shared" si="70"/>
        <v>7.6999999999999957E-2</v>
      </c>
      <c r="CN9" s="9"/>
    </row>
    <row r="10" spans="1:92" x14ac:dyDescent="0.25">
      <c r="A10" s="1">
        <v>6</v>
      </c>
      <c r="B10" s="1">
        <v>210006</v>
      </c>
      <c r="D10" s="4">
        <v>38346876.100000001</v>
      </c>
      <c r="E10" s="4">
        <v>8802748.4000000004</v>
      </c>
      <c r="F10" s="4">
        <v>1737426.3145739348</v>
      </c>
      <c r="G10" s="4">
        <v>2555426.8854260645</v>
      </c>
      <c r="H10" s="4">
        <v>517795.89999999997</v>
      </c>
      <c r="I10" s="4">
        <v>9066069.6000000015</v>
      </c>
      <c r="J10" s="4">
        <v>0</v>
      </c>
      <c r="K10" s="4">
        <v>5731495.5</v>
      </c>
      <c r="L10" s="4">
        <v>151462.6</v>
      </c>
      <c r="M10" s="4">
        <v>2527000</v>
      </c>
      <c r="N10" s="4">
        <f t="shared" si="37"/>
        <v>7257450.8999999985</v>
      </c>
      <c r="O10" s="12">
        <f t="shared" si="38"/>
        <v>0.2295558151084959</v>
      </c>
      <c r="P10" s="12">
        <f t="shared" si="39"/>
        <v>4.5308157828635606E-2</v>
      </c>
      <c r="Q10" s="12">
        <f t="shared" si="40"/>
        <v>6.6639766920311524E-2</v>
      </c>
      <c r="R10" s="12">
        <f t="shared" si="41"/>
        <v>0.24992558650690197</v>
      </c>
      <c r="S10" s="12">
        <f t="shared" si="42"/>
        <v>0</v>
      </c>
      <c r="T10" s="12">
        <f t="shared" si="43"/>
        <v>0.14946446967553637</v>
      </c>
      <c r="U10" s="12">
        <f t="shared" si="44"/>
        <v>3.9498028367426783E-3</v>
      </c>
      <c r="V10" s="12">
        <f t="shared" si="45"/>
        <v>6.5898457892897305E-2</v>
      </c>
      <c r="W10" s="12">
        <f t="shared" si="46"/>
        <v>0.18925794323047865</v>
      </c>
      <c r="X10" s="4">
        <f t="shared" si="47"/>
        <v>16461403.924284134</v>
      </c>
      <c r="Y10" s="4">
        <v>32745979.558949944</v>
      </c>
      <c r="Z10" s="4">
        <f t="shared" si="48"/>
        <v>15598933.317530505</v>
      </c>
      <c r="AA10" s="18">
        <f t="shared" si="2"/>
        <v>0.114873</v>
      </c>
      <c r="AB10" s="7">
        <f t="shared" ref="AB10" si="74">(X10*O10*(1-O$2))+(X10*P10*(1-AA10-O$2))+(X10*Q10*(1-Q$2))+(X10*R10*(1-R$2))+(X10*S10*(1-S$2))+(X10*T10*(1-T$2))+(X10*U10*(1-U$2))+(X10*V10*(1-V$2))+(X10*W10*(1-W$2))</f>
        <v>15513256.911673691</v>
      </c>
      <c r="AC10" s="4">
        <f t="shared" si="3"/>
        <v>16552504.520295402</v>
      </c>
      <c r="AD10" s="4">
        <f t="shared" si="4"/>
        <v>15599110.278569363</v>
      </c>
      <c r="AE10" s="18">
        <f t="shared" si="5"/>
        <v>8.6354E-2</v>
      </c>
      <c r="AF10" s="4">
        <f t="shared" si="6"/>
        <v>15588792.301695457</v>
      </c>
      <c r="AG10" s="4">
        <f t="shared" si="7"/>
        <v>16563483.357179578</v>
      </c>
      <c r="AH10" s="4">
        <f t="shared" si="8"/>
        <v>15599131.933845492</v>
      </c>
      <c r="AI10" s="4">
        <f t="shared" si="9"/>
        <v>21628.592012469191</v>
      </c>
      <c r="AJ10" s="4">
        <f t="shared" si="50"/>
        <v>27907.09070563077</v>
      </c>
      <c r="AK10" s="4">
        <f t="shared" si="10"/>
        <v>16593177.879711792</v>
      </c>
      <c r="AL10" s="4">
        <f t="shared" si="11"/>
        <v>15627097.595699569</v>
      </c>
      <c r="AM10" s="7">
        <f t="shared" si="12"/>
        <v>27920.267961650621</v>
      </c>
      <c r="AN10" s="12">
        <f t="shared" si="13"/>
        <v>7.783106243170918E-3</v>
      </c>
      <c r="AO10" s="4">
        <f t="shared" si="14"/>
        <v>15599177.327737918</v>
      </c>
      <c r="AP10" s="4">
        <f t="shared" si="15"/>
        <v>0</v>
      </c>
      <c r="AQ10" s="4"/>
      <c r="AR10" s="18">
        <f t="shared" si="16"/>
        <v>0.18540392289286511</v>
      </c>
      <c r="AS10" s="18">
        <f t="shared" si="71"/>
        <v>0.10840392289286511</v>
      </c>
      <c r="AT10" s="18">
        <f t="shared" si="17"/>
        <v>7.9040240624771441E-2</v>
      </c>
      <c r="AU10" s="18">
        <f t="shared" si="72"/>
        <v>2.0402406247714416E-3</v>
      </c>
      <c r="AV10" s="18">
        <f t="shared" si="18"/>
        <v>0.94177846516106878</v>
      </c>
      <c r="AW10" s="18">
        <f t="shared" si="19"/>
        <v>0.72989844781592716</v>
      </c>
      <c r="AY10" s="7">
        <f t="shared" si="20"/>
        <v>290968.44666653126</v>
      </c>
      <c r="AZ10" s="7">
        <f t="shared" si="21"/>
        <v>57429.36330534381</v>
      </c>
      <c r="BA10" s="7">
        <f t="shared" si="22"/>
        <v>84467.7772935455</v>
      </c>
      <c r="BB10" s="7">
        <f t="shared" si="23"/>
        <v>316787.7043487872</v>
      </c>
      <c r="BC10" s="7">
        <f t="shared" si="24"/>
        <v>112817.31513941943</v>
      </c>
      <c r="BD10" s="5">
        <f t="shared" si="25"/>
        <v>-1.6298145055770874E-9</v>
      </c>
      <c r="BF10" s="7">
        <f t="shared" si="26"/>
        <v>293297.65645314782</v>
      </c>
      <c r="BG10" s="7">
        <f t="shared" si="27"/>
        <v>144251.33446957447</v>
      </c>
      <c r="BH10" s="7">
        <f t="shared" si="28"/>
        <v>95487.274537184014</v>
      </c>
      <c r="BI10" s="7">
        <f t="shared" si="29"/>
        <v>319323.59794722474</v>
      </c>
      <c r="BJ10" s="7">
        <f t="shared" si="30"/>
        <v>113720.42060509106</v>
      </c>
      <c r="BK10" s="5">
        <f t="shared" si="51"/>
        <v>0</v>
      </c>
      <c r="BM10" s="4">
        <f t="shared" si="31"/>
        <v>16461403.924284134</v>
      </c>
      <c r="BN10" s="4">
        <f t="shared" si="52"/>
        <v>290968.44666653126</v>
      </c>
      <c r="BO10" s="4">
        <f t="shared" si="53"/>
        <v>57429.36330534381</v>
      </c>
      <c r="BP10" s="4">
        <f t="shared" si="54"/>
        <v>84467.7772935455</v>
      </c>
      <c r="BQ10" s="4">
        <f t="shared" si="55"/>
        <v>316787.7043487872</v>
      </c>
      <c r="BR10" s="4">
        <f t="shared" si="56"/>
        <v>112817.31513941943</v>
      </c>
      <c r="BS10" s="4">
        <f t="shared" si="57"/>
        <v>15598933.317530507</v>
      </c>
      <c r="BU10" s="4">
        <f t="shared" si="58"/>
        <v>16593177.879711792</v>
      </c>
      <c r="BV10" s="4">
        <f t="shared" si="59"/>
        <v>293297.65645314782</v>
      </c>
      <c r="BW10" s="4">
        <f t="shared" si="60"/>
        <v>27920.267961650621</v>
      </c>
      <c r="BX10" s="4">
        <f t="shared" si="61"/>
        <v>144251.33446957447</v>
      </c>
      <c r="BY10" s="4">
        <f t="shared" si="62"/>
        <v>95487.274537184014</v>
      </c>
      <c r="BZ10" s="4">
        <f t="shared" si="63"/>
        <v>319323.59794722474</v>
      </c>
      <c r="CA10" s="4">
        <f t="shared" si="64"/>
        <v>113720.42060509106</v>
      </c>
      <c r="CB10" s="4">
        <f t="shared" si="65"/>
        <v>15599177.32773792</v>
      </c>
      <c r="CD10" s="4">
        <f t="shared" si="66"/>
        <v>244.01020741276443</v>
      </c>
      <c r="CE10" s="18">
        <f t="shared" si="67"/>
        <v>1.5642749567916871E-5</v>
      </c>
      <c r="CF10" s="5">
        <f t="shared" si="34"/>
        <v>3778810.9956692373</v>
      </c>
      <c r="CG10" s="5">
        <f t="shared" si="35"/>
        <v>3487842.5490027061</v>
      </c>
      <c r="CH10" s="5">
        <f t="shared" si="36"/>
        <v>3487842.5490027056</v>
      </c>
      <c r="CI10" s="5">
        <f t="shared" si="68"/>
        <v>0</v>
      </c>
      <c r="CK10" s="6">
        <f t="shared" si="69"/>
        <v>7.7000000000000068E-2</v>
      </c>
      <c r="CL10" s="6">
        <f t="shared" si="70"/>
        <v>7.6999999999999957E-2</v>
      </c>
    </row>
    <row r="11" spans="1:92" x14ac:dyDescent="0.25">
      <c r="A11" s="1">
        <v>8</v>
      </c>
      <c r="B11" s="1">
        <v>210008</v>
      </c>
      <c r="D11" s="7">
        <v>717488099.89999998</v>
      </c>
      <c r="E11" s="7">
        <f>180105.3*1000</f>
        <v>180105300</v>
      </c>
      <c r="F11" s="7">
        <v>37985858.73414325</v>
      </c>
      <c r="G11" s="7">
        <v>50781441.26585675</v>
      </c>
      <c r="H11" s="7">
        <v>13192500.200000001</v>
      </c>
      <c r="I11" s="7">
        <v>130626343.09999999</v>
      </c>
      <c r="J11" s="7">
        <v>43889363.799999997</v>
      </c>
      <c r="K11" s="7">
        <v>137689363.90000001</v>
      </c>
      <c r="L11" s="7">
        <v>-3066440</v>
      </c>
      <c r="M11" s="7">
        <v>33119277</v>
      </c>
      <c r="N11" s="7">
        <f t="shared" si="37"/>
        <v>93165091.899999976</v>
      </c>
      <c r="O11" s="12">
        <f t="shared" si="38"/>
        <v>0.25102200304799788</v>
      </c>
      <c r="P11" s="12">
        <f t="shared" si="39"/>
        <v>5.2942841476308157E-2</v>
      </c>
      <c r="Q11" s="12">
        <f t="shared" si="40"/>
        <v>7.0776701764021482E-2</v>
      </c>
      <c r="R11" s="12">
        <f t="shared" si="41"/>
        <v>0.20044770543238941</v>
      </c>
      <c r="S11" s="12">
        <f t="shared" si="42"/>
        <v>6.1170859567032658E-2</v>
      </c>
      <c r="T11" s="12">
        <f t="shared" si="43"/>
        <v>0.19190473531085808</v>
      </c>
      <c r="U11" s="12">
        <f t="shared" si="44"/>
        <v>-4.2738548561674899E-3</v>
      </c>
      <c r="V11" s="12">
        <f t="shared" si="45"/>
        <v>4.6160036667668783E-2</v>
      </c>
      <c r="W11" s="12">
        <f t="shared" si="46"/>
        <v>0.129848971589891</v>
      </c>
      <c r="X11" s="7">
        <f t="shared" si="47"/>
        <v>394254990.68607509</v>
      </c>
      <c r="Y11" s="7">
        <v>784274896.92873514</v>
      </c>
      <c r="Z11" s="4">
        <f t="shared" si="48"/>
        <v>373747614.79165781</v>
      </c>
      <c r="AA11" s="18">
        <f t="shared" si="2"/>
        <v>0.114873</v>
      </c>
      <c r="AB11" s="7">
        <f t="shared" si="49"/>
        <v>371349873.02064019</v>
      </c>
      <c r="AC11" s="4">
        <f t="shared" si="3"/>
        <v>396806248.04393089</v>
      </c>
      <c r="AD11" s="4">
        <f t="shared" si="4"/>
        <v>373752909.42668307</v>
      </c>
      <c r="AE11" s="18">
        <f t="shared" si="5"/>
        <v>8.6354E-2</v>
      </c>
      <c r="AF11" s="4">
        <f t="shared" si="6"/>
        <v>373490205.72773343</v>
      </c>
      <c r="AG11" s="4">
        <f t="shared" si="7"/>
        <v>397085977.60645062</v>
      </c>
      <c r="AH11" s="4">
        <f t="shared" si="8"/>
        <v>373753498.58758289</v>
      </c>
      <c r="AI11" s="4">
        <f t="shared" si="9"/>
        <v>655920.72678898275</v>
      </c>
      <c r="AJ11" s="4">
        <f t="shared" si="50"/>
        <v>870102.94670935348</v>
      </c>
      <c r="AK11" s="4">
        <f t="shared" si="10"/>
        <v>398012472.04715806</v>
      </c>
      <c r="AL11" s="4">
        <f t="shared" si="11"/>
        <v>374625552.89865088</v>
      </c>
      <c r="AM11" s="7">
        <f t="shared" si="12"/>
        <v>870583.28935360909</v>
      </c>
      <c r="AN11" s="12">
        <f t="shared" si="13"/>
        <v>9.2576581320863108E-3</v>
      </c>
      <c r="AO11" s="4">
        <f t="shared" si="14"/>
        <v>373754969.60929728</v>
      </c>
      <c r="AP11" s="4">
        <f t="shared" si="15"/>
        <v>0</v>
      </c>
      <c r="AQ11" s="4"/>
      <c r="AR11" s="18">
        <f t="shared" si="16"/>
        <v>0.18417107558148149</v>
      </c>
      <c r="AS11" s="18">
        <f t="shared" si="71"/>
        <v>0.10717107558148149</v>
      </c>
      <c r="AT11" s="18">
        <f t="shared" si="17"/>
        <v>7.7646417606042295E-2</v>
      </c>
      <c r="AU11" s="18">
        <f t="shared" si="72"/>
        <v>6.4641760604229603E-4</v>
      </c>
      <c r="AV11" s="18">
        <f t="shared" si="18"/>
        <v>0.94124073793914631</v>
      </c>
      <c r="AW11" s="18">
        <f t="shared" si="19"/>
        <v>0.70954742912584434</v>
      </c>
      <c r="AY11" s="7">
        <f t="shared" si="20"/>
        <v>7620434.1654740004</v>
      </c>
      <c r="AZ11" s="7">
        <f t="shared" si="21"/>
        <v>1607219.4194314892</v>
      </c>
      <c r="BA11" s="7">
        <f t="shared" si="22"/>
        <v>2148613.2278969362</v>
      </c>
      <c r="BB11" s="7">
        <f t="shared" si="23"/>
        <v>6085118.1343484698</v>
      </c>
      <c r="BC11" s="7">
        <f t="shared" si="24"/>
        <v>3045990.9472664027</v>
      </c>
      <c r="BD11" s="5">
        <f t="shared" si="25"/>
        <v>0</v>
      </c>
      <c r="BF11" s="7">
        <f t="shared" si="26"/>
        <v>7693061.3737949412</v>
      </c>
      <c r="BG11" s="7">
        <f t="shared" si="27"/>
        <v>4043130.8202076796</v>
      </c>
      <c r="BH11" s="7">
        <f t="shared" si="28"/>
        <v>2432593.0463415519</v>
      </c>
      <c r="BI11" s="7">
        <f t="shared" si="29"/>
        <v>6143112.8801600914</v>
      </c>
      <c r="BJ11" s="7">
        <f t="shared" si="30"/>
        <v>3075021.0280028936</v>
      </c>
      <c r="BK11" s="5">
        <f t="shared" si="51"/>
        <v>0</v>
      </c>
      <c r="BM11" s="4">
        <f t="shared" si="31"/>
        <v>394254990.68607509</v>
      </c>
      <c r="BN11" s="4">
        <f t="shared" si="52"/>
        <v>7620434.1654740004</v>
      </c>
      <c r="BO11" s="4">
        <f t="shared" si="53"/>
        <v>1607219.4194314892</v>
      </c>
      <c r="BP11" s="4">
        <f t="shared" si="54"/>
        <v>2148613.2278969362</v>
      </c>
      <c r="BQ11" s="4">
        <f t="shared" si="55"/>
        <v>6085118.1343484698</v>
      </c>
      <c r="BR11" s="4">
        <f t="shared" si="56"/>
        <v>3045990.9472664027</v>
      </c>
      <c r="BS11" s="4">
        <f t="shared" si="57"/>
        <v>373747614.79165781</v>
      </c>
      <c r="BU11" s="4">
        <f t="shared" si="58"/>
        <v>398012472.04715806</v>
      </c>
      <c r="BV11" s="4">
        <f t="shared" si="59"/>
        <v>7693061.3737949412</v>
      </c>
      <c r="BW11" s="4">
        <f t="shared" si="60"/>
        <v>870583.28935360909</v>
      </c>
      <c r="BX11" s="4">
        <f t="shared" si="61"/>
        <v>4043130.8202076796</v>
      </c>
      <c r="BY11" s="4">
        <f t="shared" si="62"/>
        <v>2432593.0463415519</v>
      </c>
      <c r="BZ11" s="4">
        <f t="shared" si="63"/>
        <v>6143112.8801600914</v>
      </c>
      <c r="CA11" s="4">
        <f t="shared" si="64"/>
        <v>3075021.0280028936</v>
      </c>
      <c r="CB11" s="4">
        <f t="shared" si="65"/>
        <v>373754969.60929728</v>
      </c>
      <c r="CD11" s="4">
        <f t="shared" si="66"/>
        <v>7354.8176394701004</v>
      </c>
      <c r="CE11" s="18">
        <f t="shared" si="67"/>
        <v>1.9678567429975376E-5</v>
      </c>
      <c r="CF11" s="5">
        <f t="shared" si="34"/>
        <v>98966677.473688319</v>
      </c>
      <c r="CG11" s="5">
        <f t="shared" si="35"/>
        <v>91346243.308214322</v>
      </c>
      <c r="CH11" s="5">
        <f t="shared" si="36"/>
        <v>91346243.308214322</v>
      </c>
      <c r="CI11" s="5">
        <f t="shared" si="68"/>
        <v>0</v>
      </c>
      <c r="CK11" s="6">
        <f t="shared" si="69"/>
        <v>7.6999999999999957E-2</v>
      </c>
      <c r="CL11" s="6">
        <f t="shared" si="70"/>
        <v>7.6999999999999957E-2</v>
      </c>
    </row>
    <row r="12" spans="1:92" x14ac:dyDescent="0.25">
      <c r="A12" s="1">
        <v>9</v>
      </c>
      <c r="B12" s="1">
        <v>210009</v>
      </c>
      <c r="D12" s="4">
        <v>3311615589.4000001</v>
      </c>
      <c r="E12" s="4">
        <v>909302467.30000007</v>
      </c>
      <c r="F12" s="4">
        <v>39986664.700511202</v>
      </c>
      <c r="G12" s="4">
        <v>35591809.999488801</v>
      </c>
      <c r="H12" s="4">
        <v>183425210.09999999</v>
      </c>
      <c r="I12" s="4">
        <v>483234508</v>
      </c>
      <c r="J12" s="4">
        <v>371266764.80000001</v>
      </c>
      <c r="K12" s="4">
        <v>314601087.69999999</v>
      </c>
      <c r="L12" s="4">
        <v>13732401.9</v>
      </c>
      <c r="M12" s="4">
        <v>90366000</v>
      </c>
      <c r="N12" s="4">
        <f t="shared" si="37"/>
        <v>870108674.9000001</v>
      </c>
      <c r="O12" s="12">
        <f t="shared" si="38"/>
        <v>0.27457971577695944</v>
      </c>
      <c r="P12" s="12">
        <f t="shared" si="39"/>
        <v>1.2074669786101593E-2</v>
      </c>
      <c r="Q12" s="12">
        <f t="shared" si="40"/>
        <v>1.0747566871412555E-2</v>
      </c>
      <c r="R12" s="12">
        <f t="shared" si="41"/>
        <v>0.20130951195962504</v>
      </c>
      <c r="S12" s="12">
        <f t="shared" si="42"/>
        <v>0.11211046535363915</v>
      </c>
      <c r="T12" s="12">
        <f t="shared" si="43"/>
        <v>9.4999277303498733E-2</v>
      </c>
      <c r="U12" s="12">
        <f t="shared" si="44"/>
        <v>4.1467379076108417E-3</v>
      </c>
      <c r="V12" s="12">
        <f t="shared" si="45"/>
        <v>2.7287587451046078E-2</v>
      </c>
      <c r="W12" s="12">
        <f t="shared" si="46"/>
        <v>0.26274446759010661</v>
      </c>
      <c r="X12" s="4">
        <f t="shared" si="47"/>
        <v>1852574357.5746317</v>
      </c>
      <c r="Y12" s="4">
        <v>3685248373.9300418</v>
      </c>
      <c r="Z12" s="4">
        <f t="shared" si="48"/>
        <v>1763352379.6520469</v>
      </c>
      <c r="AA12" s="18">
        <f t="shared" si="2"/>
        <v>0.114873</v>
      </c>
      <c r="AB12" s="7">
        <f t="shared" ref="AB12" si="75">(X12*O12*(1-O$2))+(X12*P12*(1-AA12-O$2))+(X12*Q12*(1-Q$2))+(X12*R12*(1-R$2))+(X12*S12*(1-S$2))+(X12*T12*(1-T$2))+(X12*U12*(1-U$2))+(X12*V12*(1-V$2))+(X12*W12*(1-W$2))</f>
        <v>1760782759.8269269</v>
      </c>
      <c r="AC12" s="4">
        <f t="shared" si="3"/>
        <v>1855281272.0590355</v>
      </c>
      <c r="AD12" s="4">
        <f t="shared" si="4"/>
        <v>1763355551.7566955</v>
      </c>
      <c r="AE12" s="18">
        <f t="shared" si="5"/>
        <v>8.6354E-2</v>
      </c>
      <c r="AF12" s="4">
        <f t="shared" si="6"/>
        <v>1763169035.2459888</v>
      </c>
      <c r="AG12" s="4">
        <f t="shared" si="7"/>
        <v>1855477776.3730307</v>
      </c>
      <c r="AH12" s="4">
        <f t="shared" si="8"/>
        <v>1763355783.3832908</v>
      </c>
      <c r="AI12" s="4">
        <f t="shared" si="9"/>
        <v>735833.97549545765</v>
      </c>
      <c r="AJ12" s="4">
        <f t="shared" si="50"/>
        <v>1003424.4433439984</v>
      </c>
      <c r="AK12" s="4">
        <f t="shared" si="10"/>
        <v>1856534933.3568177</v>
      </c>
      <c r="AL12" s="4">
        <f t="shared" si="11"/>
        <v>1764360453.9350176</v>
      </c>
      <c r="AM12" s="7">
        <f t="shared" si="12"/>
        <v>1003756.7520965934</v>
      </c>
      <c r="AN12" s="12">
        <f t="shared" si="13"/>
        <v>2.0719187163850089E-3</v>
      </c>
      <c r="AO12" s="4">
        <f t="shared" si="14"/>
        <v>1763356697.1829209</v>
      </c>
      <c r="AP12" s="4">
        <f t="shared" si="15"/>
        <v>0</v>
      </c>
      <c r="AQ12" s="4"/>
      <c r="AR12" s="18">
        <f t="shared" si="16"/>
        <v>0.19014532401655337</v>
      </c>
      <c r="AS12" s="18">
        <f t="shared" si="71"/>
        <v>0.11314532401655338</v>
      </c>
      <c r="AT12" s="18">
        <f t="shared" si="17"/>
        <v>8.4400737392053449E-2</v>
      </c>
      <c r="AU12" s="18">
        <f t="shared" si="72"/>
        <v>7.4007373920534497E-3</v>
      </c>
      <c r="AV12" s="18">
        <f t="shared" si="18"/>
        <v>0.95035133583231923</v>
      </c>
      <c r="AW12" s="18">
        <f t="shared" si="19"/>
        <v>0.69691425817018571</v>
      </c>
      <c r="AY12" s="7">
        <f t="shared" si="20"/>
        <v>39168309.223006472</v>
      </c>
      <c r="AZ12" s="7">
        <f t="shared" si="21"/>
        <v>1722430.2188872991</v>
      </c>
      <c r="BA12" s="7">
        <f t="shared" si="22"/>
        <v>1533121.3430069082</v>
      </c>
      <c r="BB12" s="7">
        <f t="shared" si="23"/>
        <v>28716444.664004404</v>
      </c>
      <c r="BC12" s="7">
        <f t="shared" si="24"/>
        <v>18081672.473679725</v>
      </c>
      <c r="BD12" s="5">
        <f t="shared" si="25"/>
        <v>0</v>
      </c>
      <c r="BF12" s="7">
        <f t="shared" si="26"/>
        <v>39252046.243495576</v>
      </c>
      <c r="BG12" s="7">
        <f t="shared" si="27"/>
        <v>4301225.918320111</v>
      </c>
      <c r="BH12" s="7">
        <f t="shared" si="28"/>
        <v>1723041.5123057226</v>
      </c>
      <c r="BI12" s="7">
        <f t="shared" si="29"/>
        <v>28777836.88549431</v>
      </c>
      <c r="BJ12" s="7">
        <f t="shared" si="30"/>
        <v>18120328.862184655</v>
      </c>
      <c r="BK12" s="5">
        <f t="shared" si="51"/>
        <v>2.384185791015625E-7</v>
      </c>
      <c r="BM12" s="4">
        <f t="shared" si="31"/>
        <v>1852574357.5746317</v>
      </c>
      <c r="BN12" s="4">
        <f t="shared" si="52"/>
        <v>39168309.223006472</v>
      </c>
      <c r="BO12" s="4">
        <f t="shared" si="53"/>
        <v>1722430.2188872991</v>
      </c>
      <c r="BP12" s="4">
        <f t="shared" si="54"/>
        <v>1533121.3430069082</v>
      </c>
      <c r="BQ12" s="4">
        <f t="shared" si="55"/>
        <v>28716444.664004404</v>
      </c>
      <c r="BR12" s="4">
        <f t="shared" si="56"/>
        <v>18081672.473679725</v>
      </c>
      <c r="BS12" s="4">
        <f t="shared" si="57"/>
        <v>1763352379.6520469</v>
      </c>
      <c r="BU12" s="4">
        <f t="shared" si="58"/>
        <v>1856534933.3568177</v>
      </c>
      <c r="BV12" s="4">
        <f t="shared" si="59"/>
        <v>39252046.243495576</v>
      </c>
      <c r="BW12" s="4">
        <f t="shared" si="60"/>
        <v>1003756.7520965934</v>
      </c>
      <c r="BX12" s="4">
        <f t="shared" si="61"/>
        <v>4301225.918320111</v>
      </c>
      <c r="BY12" s="4">
        <f t="shared" si="62"/>
        <v>1723041.5123057226</v>
      </c>
      <c r="BZ12" s="4">
        <f t="shared" si="63"/>
        <v>28777836.88549431</v>
      </c>
      <c r="CA12" s="4">
        <f t="shared" si="64"/>
        <v>18120328.862184655</v>
      </c>
      <c r="CB12" s="4">
        <f t="shared" si="65"/>
        <v>1763356697.1829207</v>
      </c>
      <c r="CD12" s="4">
        <f t="shared" si="66"/>
        <v>4317.5308737754822</v>
      </c>
      <c r="CE12" s="18">
        <f t="shared" si="67"/>
        <v>2.4484787746323501E-6</v>
      </c>
      <c r="CF12" s="5">
        <f t="shared" si="34"/>
        <v>508679340.55852562</v>
      </c>
      <c r="CG12" s="5">
        <f t="shared" si="35"/>
        <v>469511031.33551913</v>
      </c>
      <c r="CH12" s="5">
        <f t="shared" si="36"/>
        <v>469511031.33551919</v>
      </c>
      <c r="CI12" s="5">
        <f t="shared" si="68"/>
        <v>0</v>
      </c>
      <c r="CK12" s="6">
        <f t="shared" si="69"/>
        <v>7.6999999999999957E-2</v>
      </c>
      <c r="CL12" s="6">
        <f t="shared" si="70"/>
        <v>7.7000000000000068E-2</v>
      </c>
    </row>
    <row r="13" spans="1:92" x14ac:dyDescent="0.25">
      <c r="A13" s="1">
        <v>10</v>
      </c>
      <c r="B13" s="1">
        <v>210010</v>
      </c>
      <c r="D13" s="4">
        <v>17496640.699999999</v>
      </c>
      <c r="E13" s="4">
        <v>4094217.5</v>
      </c>
      <c r="F13" s="4">
        <v>738320.92870865483</v>
      </c>
      <c r="G13" s="4">
        <v>1107030.9712913451</v>
      </c>
      <c r="H13" s="4">
        <v>381171.89999999997</v>
      </c>
      <c r="I13" s="4">
        <v>5946729.7999999998</v>
      </c>
      <c r="J13" s="4">
        <v>0</v>
      </c>
      <c r="K13" s="4">
        <v>1684870.5999999999</v>
      </c>
      <c r="L13" s="4">
        <v>83712.900000000009</v>
      </c>
      <c r="M13" s="4">
        <v>1609000</v>
      </c>
      <c r="N13" s="4">
        <f t="shared" si="37"/>
        <v>1851586.0999999978</v>
      </c>
      <c r="O13" s="12">
        <f t="shared" si="38"/>
        <v>0.23400020439352109</v>
      </c>
      <c r="P13" s="12">
        <f t="shared" si="39"/>
        <v>4.2197867657455805E-2</v>
      </c>
      <c r="Q13" s="12">
        <f t="shared" si="40"/>
        <v>6.327105815754365E-2</v>
      </c>
      <c r="R13" s="12">
        <f t="shared" si="41"/>
        <v>0.36166380784169616</v>
      </c>
      <c r="S13" s="12">
        <f t="shared" si="42"/>
        <v>0</v>
      </c>
      <c r="T13" s="12">
        <f t="shared" si="43"/>
        <v>9.6296805134713656E-2</v>
      </c>
      <c r="U13" s="12">
        <f t="shared" si="44"/>
        <v>4.7845127207761665E-3</v>
      </c>
      <c r="V13" s="12">
        <f t="shared" si="45"/>
        <v>9.196050988233416E-2</v>
      </c>
      <c r="W13" s="12">
        <f t="shared" si="46"/>
        <v>0.1058252342119592</v>
      </c>
      <c r="X13" s="4">
        <f t="shared" si="47"/>
        <v>9660166.9073144104</v>
      </c>
      <c r="Y13" s="4">
        <v>19216564.36704677</v>
      </c>
      <c r="Z13" s="4">
        <f t="shared" si="48"/>
        <v>9098666.1579255164</v>
      </c>
      <c r="AA13" s="18">
        <f t="shared" si="2"/>
        <v>0.114873</v>
      </c>
      <c r="AB13" s="7">
        <f t="shared" ref="AB13" si="76">(X13*O13*(1-O$2))+(X13*P13*(1-AA13-O$2))+(X13*Q13*(1-Q$2))+(X13*R13*(1-R$2))+(X13*S13*(1-S$2))+(X13*T13*(1-T$2))+(X13*U13*(1-U$2))+(X13*V13*(1-V$2))+(X13*W13*(1-W$2))</f>
        <v>9051839.5068670586</v>
      </c>
      <c r="AC13" s="4">
        <f t="shared" si="3"/>
        <v>9710234.5404404979</v>
      </c>
      <c r="AD13" s="4">
        <f t="shared" si="4"/>
        <v>9098754.242802199</v>
      </c>
      <c r="AE13" s="18">
        <f t="shared" si="5"/>
        <v>8.6354E-2</v>
      </c>
      <c r="AF13" s="4">
        <f t="shared" si="6"/>
        <v>9093007.362080941</v>
      </c>
      <c r="AG13" s="4">
        <f t="shared" si="7"/>
        <v>9716383.2094694935</v>
      </c>
      <c r="AH13" s="4">
        <f t="shared" si="8"/>
        <v>9098765.1934201121</v>
      </c>
      <c r="AI13" s="4">
        <f t="shared" si="9"/>
        <v>12141.719977558125</v>
      </c>
      <c r="AJ13" s="4">
        <f t="shared" si="50"/>
        <v>15781.644423665042</v>
      </c>
      <c r="AK13" s="4">
        <f t="shared" si="10"/>
        <v>9733268.2142226733</v>
      </c>
      <c r="AL13" s="4">
        <f t="shared" si="11"/>
        <v>9114576.909593394</v>
      </c>
      <c r="AM13" s="7">
        <f t="shared" si="12"/>
        <v>15788.580259603448</v>
      </c>
      <c r="AN13" s="12">
        <f t="shared" si="13"/>
        <v>7.4027030487075129E-3</v>
      </c>
      <c r="AO13" s="4">
        <f t="shared" si="14"/>
        <v>9098788.3293337896</v>
      </c>
      <c r="AP13" s="4">
        <f t="shared" si="15"/>
        <v>0</v>
      </c>
      <c r="AQ13" s="4"/>
      <c r="AR13" s="18">
        <f t="shared" si="16"/>
        <v>0.18575766675424377</v>
      </c>
      <c r="AS13" s="18">
        <f t="shared" si="71"/>
        <v>0.10875766675424377</v>
      </c>
      <c r="AT13" s="18">
        <f t="shared" si="17"/>
        <v>7.9440173635267564E-2</v>
      </c>
      <c r="AU13" s="18">
        <f t="shared" si="72"/>
        <v>2.4401736352675646E-3</v>
      </c>
      <c r="AV13" s="18">
        <f t="shared" si="18"/>
        <v>0.93643539959936373</v>
      </c>
      <c r="AW13" s="18">
        <f t="shared" si="19"/>
        <v>0.72045321094414372</v>
      </c>
      <c r="AY13" s="7">
        <f t="shared" si="20"/>
        <v>174057.03937060674</v>
      </c>
      <c r="AZ13" s="7">
        <f t="shared" si="21"/>
        <v>31388.160242191647</v>
      </c>
      <c r="BA13" s="7">
        <f t="shared" si="22"/>
        <v>47063.091629728689</v>
      </c>
      <c r="BB13" s="7">
        <f t="shared" si="23"/>
        <v>269017.42160259665</v>
      </c>
      <c r="BC13" s="7">
        <f t="shared" si="24"/>
        <v>39975.036543769944</v>
      </c>
      <c r="BD13" s="5">
        <f t="shared" si="25"/>
        <v>0</v>
      </c>
      <c r="BF13" s="7">
        <f t="shared" si="26"/>
        <v>175374.17986897018</v>
      </c>
      <c r="BG13" s="7">
        <f t="shared" si="27"/>
        <v>78806.685642006356</v>
      </c>
      <c r="BH13" s="7">
        <f t="shared" si="28"/>
        <v>53179.744714527376</v>
      </c>
      <c r="BI13" s="7">
        <f t="shared" si="29"/>
        <v>271053.1550727245</v>
      </c>
      <c r="BJ13" s="7">
        <f t="shared" si="30"/>
        <v>40277.539331050204</v>
      </c>
      <c r="BK13" s="5">
        <f t="shared" si="51"/>
        <v>0</v>
      </c>
      <c r="BM13" s="4">
        <f t="shared" si="31"/>
        <v>9660166.9073144104</v>
      </c>
      <c r="BN13" s="4">
        <f t="shared" si="52"/>
        <v>174057.03937060674</v>
      </c>
      <c r="BO13" s="4">
        <f t="shared" si="53"/>
        <v>31388.160242191647</v>
      </c>
      <c r="BP13" s="4">
        <f t="shared" si="54"/>
        <v>47063.091629728689</v>
      </c>
      <c r="BQ13" s="4">
        <f t="shared" si="55"/>
        <v>269017.42160259665</v>
      </c>
      <c r="BR13" s="4">
        <f t="shared" si="56"/>
        <v>39975.036543769944</v>
      </c>
      <c r="BS13" s="4">
        <f t="shared" si="57"/>
        <v>9098666.1579255164</v>
      </c>
      <c r="BU13" s="4">
        <f t="shared" si="58"/>
        <v>9733268.2142226733</v>
      </c>
      <c r="BV13" s="4">
        <f t="shared" si="59"/>
        <v>175374.17986897018</v>
      </c>
      <c r="BW13" s="4">
        <f t="shared" si="60"/>
        <v>15788.580259603448</v>
      </c>
      <c r="BX13" s="4">
        <f t="shared" si="61"/>
        <v>78806.685642006356</v>
      </c>
      <c r="BY13" s="4">
        <f t="shared" si="62"/>
        <v>53179.744714527376</v>
      </c>
      <c r="BZ13" s="4">
        <f t="shared" si="63"/>
        <v>271053.1550727245</v>
      </c>
      <c r="CA13" s="4">
        <f t="shared" si="64"/>
        <v>40277.539331050204</v>
      </c>
      <c r="CB13" s="4">
        <f t="shared" si="65"/>
        <v>9098788.3293337915</v>
      </c>
      <c r="CD13" s="4">
        <f t="shared" si="66"/>
        <v>122.17140827514231</v>
      </c>
      <c r="CE13" s="18">
        <f t="shared" si="67"/>
        <v>1.342739761571791E-5</v>
      </c>
      <c r="CF13" s="5">
        <f t="shared" si="34"/>
        <v>2260481.0307871005</v>
      </c>
      <c r="CG13" s="5">
        <f t="shared" si="35"/>
        <v>2086423.9914164939</v>
      </c>
      <c r="CH13" s="5">
        <f t="shared" si="36"/>
        <v>2086423.9914164939</v>
      </c>
      <c r="CI13" s="5">
        <f t="shared" si="68"/>
        <v>0</v>
      </c>
      <c r="CK13" s="6">
        <f t="shared" si="69"/>
        <v>7.6999999999999957E-2</v>
      </c>
      <c r="CL13" s="6">
        <f t="shared" si="70"/>
        <v>7.6999999999999957E-2</v>
      </c>
    </row>
    <row r="14" spans="1:92" x14ac:dyDescent="0.25">
      <c r="A14" s="1">
        <v>11</v>
      </c>
      <c r="B14" s="1">
        <v>210011</v>
      </c>
      <c r="D14" s="4">
        <v>568926838.29999995</v>
      </c>
      <c r="E14" s="4">
        <v>165578609</v>
      </c>
      <c r="F14" s="4">
        <v>44502474.747690983</v>
      </c>
      <c r="G14" s="4">
        <v>54107812.45230902</v>
      </c>
      <c r="H14" s="4">
        <v>21979929.100000001</v>
      </c>
      <c r="I14" s="4">
        <v>107720681</v>
      </c>
      <c r="J14" s="4">
        <v>24642250.400000002</v>
      </c>
      <c r="K14" s="4">
        <v>47344357.799999997</v>
      </c>
      <c r="L14" s="4">
        <v>10656613.799999999</v>
      </c>
      <c r="M14" s="4">
        <v>31745187.900000002</v>
      </c>
      <c r="N14" s="4">
        <f t="shared" si="37"/>
        <v>60648922.099999964</v>
      </c>
      <c r="O14" s="12">
        <f t="shared" si="38"/>
        <v>0.29103673416912879</v>
      </c>
      <c r="P14" s="12">
        <f t="shared" si="39"/>
        <v>7.8221788377338689E-2</v>
      </c>
      <c r="Q14" s="12">
        <f t="shared" si="40"/>
        <v>9.5105044813824563E-2</v>
      </c>
      <c r="R14" s="12">
        <f t="shared" si="41"/>
        <v>0.22797414600365146</v>
      </c>
      <c r="S14" s="12">
        <f t="shared" si="42"/>
        <v>4.3313566422060641E-2</v>
      </c>
      <c r="T14" s="12">
        <f t="shared" si="43"/>
        <v>8.3216952713056777E-2</v>
      </c>
      <c r="U14" s="12">
        <f t="shared" si="44"/>
        <v>1.8731079433416842E-2</v>
      </c>
      <c r="V14" s="12">
        <f t="shared" si="45"/>
        <v>5.5798365910909087E-2</v>
      </c>
      <c r="W14" s="12">
        <f t="shared" si="46"/>
        <v>0.10660232215661317</v>
      </c>
      <c r="X14" s="4">
        <f t="shared" si="47"/>
        <v>303762161.17838854</v>
      </c>
      <c r="Y14" s="4">
        <v>604261311.27588737</v>
      </c>
      <c r="Z14" s="4">
        <f t="shared" si="48"/>
        <v>286005572.03847152</v>
      </c>
      <c r="AA14" s="18">
        <f t="shared" si="2"/>
        <v>0.114873</v>
      </c>
      <c r="AB14" s="7">
        <f t="shared" ref="AB14" si="77">(X14*O14*(1-O$2))+(X14*P14*(1-AA14-O$2))+(X14*Q14*(1-Q$2))+(X14*R14*(1-R$2))+(X14*S14*(1-S$2))+(X14*T14*(1-T$2))+(X14*U14*(1-U$2))+(X14*V14*(1-V$2))+(X14*W14*(1-W$2))</f>
        <v>283276095.4213416</v>
      </c>
      <c r="AC14" s="4">
        <f t="shared" si="3"/>
        <v>306696504.20828283</v>
      </c>
      <c r="AD14" s="4">
        <f t="shared" si="4"/>
        <v>286012543.01873392</v>
      </c>
      <c r="AE14" s="18">
        <f t="shared" si="5"/>
        <v>8.6354E-2</v>
      </c>
      <c r="AF14" s="4">
        <f t="shared" si="6"/>
        <v>285739701.94753009</v>
      </c>
      <c r="AG14" s="4">
        <f t="shared" si="7"/>
        <v>306990111.74704909</v>
      </c>
      <c r="AH14" s="4">
        <f t="shared" si="8"/>
        <v>286013247.06286544</v>
      </c>
      <c r="AI14" s="4">
        <f t="shared" si="9"/>
        <v>867114.3728120625</v>
      </c>
      <c r="AJ14" s="4">
        <f t="shared" si="50"/>
        <v>1218419.6143320673</v>
      </c>
      <c r="AK14" s="4">
        <f t="shared" si="10"/>
        <v>308301267.66126013</v>
      </c>
      <c r="AL14" s="4">
        <f t="shared" si="11"/>
        <v>287234810.70963913</v>
      </c>
      <c r="AM14" s="7">
        <f t="shared" si="12"/>
        <v>1219326.1288556755</v>
      </c>
      <c r="AN14" s="12">
        <f t="shared" si="13"/>
        <v>1.4585959387512115E-2</v>
      </c>
      <c r="AO14" s="4">
        <f t="shared" si="14"/>
        <v>286015484.58078349</v>
      </c>
      <c r="AP14" s="4">
        <f t="shared" si="15"/>
        <v>0</v>
      </c>
      <c r="AQ14" s="4"/>
      <c r="AR14" s="18">
        <f t="shared" si="16"/>
        <v>0.17979718881122764</v>
      </c>
      <c r="AS14" s="18">
        <f t="shared" si="71"/>
        <v>0.10279718881122764</v>
      </c>
      <c r="AT14" s="18">
        <f t="shared" si="17"/>
        <v>7.2701422386114101E-2</v>
      </c>
      <c r="AU14" s="18">
        <f t="shared" si="72"/>
        <v>-4.2985776138858983E-3</v>
      </c>
      <c r="AV14" s="18">
        <f t="shared" si="18"/>
        <v>0.93166924965495956</v>
      </c>
      <c r="AW14" s="18">
        <f t="shared" si="19"/>
        <v>0.66304234401685391</v>
      </c>
      <c r="AY14" s="7">
        <f t="shared" si="20"/>
        <v>6807257.9462206326</v>
      </c>
      <c r="AZ14" s="7">
        <f t="shared" si="21"/>
        <v>1829583.1006328994</v>
      </c>
      <c r="BA14" s="7">
        <f t="shared" si="22"/>
        <v>2224477.1742743426</v>
      </c>
      <c r="BB14" s="7">
        <f t="shared" si="23"/>
        <v>5332243.7847807324</v>
      </c>
      <c r="BC14" s="7">
        <f t="shared" si="24"/>
        <v>1563027.1340084341</v>
      </c>
      <c r="BD14" s="5">
        <f t="shared" si="25"/>
        <v>0</v>
      </c>
      <c r="BF14" s="7">
        <f t="shared" si="26"/>
        <v>6908978.5441858405</v>
      </c>
      <c r="BG14" s="7">
        <f t="shared" si="27"/>
        <v>4627185.5746516902</v>
      </c>
      <c r="BH14" s="7">
        <f t="shared" si="28"/>
        <v>2531986.1415096312</v>
      </c>
      <c r="BI14" s="7">
        <f t="shared" si="29"/>
        <v>5411923.3019327587</v>
      </c>
      <c r="BJ14" s="7">
        <f t="shared" si="30"/>
        <v>1586383.3893410903</v>
      </c>
      <c r="BK14" s="5">
        <f t="shared" si="51"/>
        <v>0</v>
      </c>
      <c r="BM14" s="4">
        <f t="shared" si="31"/>
        <v>303762161.17838854</v>
      </c>
      <c r="BN14" s="4">
        <f t="shared" si="52"/>
        <v>6807257.9462206326</v>
      </c>
      <c r="BO14" s="4">
        <f t="shared" si="53"/>
        <v>1829583.1006328994</v>
      </c>
      <c r="BP14" s="4">
        <f t="shared" si="54"/>
        <v>2224477.1742743426</v>
      </c>
      <c r="BQ14" s="4">
        <f t="shared" si="55"/>
        <v>5332243.7847807324</v>
      </c>
      <c r="BR14" s="4">
        <f t="shared" si="56"/>
        <v>1563027.1340084341</v>
      </c>
      <c r="BS14" s="4">
        <f t="shared" si="57"/>
        <v>286005572.03847152</v>
      </c>
      <c r="BU14" s="4">
        <f t="shared" si="58"/>
        <v>308301267.66126013</v>
      </c>
      <c r="BV14" s="4">
        <f t="shared" si="59"/>
        <v>6908978.5441858405</v>
      </c>
      <c r="BW14" s="4">
        <f t="shared" si="60"/>
        <v>1219326.1288556755</v>
      </c>
      <c r="BX14" s="4">
        <f t="shared" si="61"/>
        <v>4627185.5746516902</v>
      </c>
      <c r="BY14" s="4">
        <f t="shared" si="62"/>
        <v>2531986.1415096312</v>
      </c>
      <c r="BZ14" s="4">
        <f t="shared" si="63"/>
        <v>5411923.3019327587</v>
      </c>
      <c r="CA14" s="4">
        <f t="shared" si="64"/>
        <v>1586383.3893410903</v>
      </c>
      <c r="CB14" s="4">
        <f t="shared" si="65"/>
        <v>286015484.58078343</v>
      </c>
      <c r="CD14" s="4">
        <f t="shared" si="66"/>
        <v>9912.5423119068146</v>
      </c>
      <c r="CE14" s="18">
        <f t="shared" si="67"/>
        <v>3.4658563612087413E-5</v>
      </c>
      <c r="CF14" s="5">
        <f t="shared" si="34"/>
        <v>88405947.353514716</v>
      </c>
      <c r="CG14" s="5">
        <f t="shared" si="35"/>
        <v>81598689.40729408</v>
      </c>
      <c r="CH14" s="5">
        <f t="shared" si="36"/>
        <v>81598689.407294065</v>
      </c>
      <c r="CI14" s="5">
        <f t="shared" si="68"/>
        <v>0</v>
      </c>
      <c r="CK14" s="6">
        <f t="shared" si="69"/>
        <v>7.7000000000000179E-2</v>
      </c>
      <c r="CL14" s="6">
        <f t="shared" si="70"/>
        <v>7.7000000000000068E-2</v>
      </c>
    </row>
    <row r="15" spans="1:92" x14ac:dyDescent="0.25">
      <c r="A15" s="1">
        <v>12</v>
      </c>
      <c r="B15" s="1">
        <v>210012</v>
      </c>
      <c r="D15" s="4">
        <v>994389579.10000002</v>
      </c>
      <c r="E15" s="4">
        <v>333687346.89999998</v>
      </c>
      <c r="F15" s="4">
        <v>56472876.618628852</v>
      </c>
      <c r="G15" s="4">
        <v>93405084.38137114</v>
      </c>
      <c r="H15" s="4">
        <v>39331012.600000001</v>
      </c>
      <c r="I15" s="4">
        <v>192369486.5</v>
      </c>
      <c r="J15" s="4">
        <v>39762161.399999999</v>
      </c>
      <c r="K15" s="4">
        <v>58202310.700000003</v>
      </c>
      <c r="L15" s="4">
        <v>0</v>
      </c>
      <c r="M15" s="4">
        <v>30264900</v>
      </c>
      <c r="N15" s="4">
        <f t="shared" si="37"/>
        <v>150894400</v>
      </c>
      <c r="O15" s="12">
        <f t="shared" si="38"/>
        <v>0.33557003604363295</v>
      </c>
      <c r="P15" s="12">
        <f t="shared" si="39"/>
        <v>5.6791500841894584E-2</v>
      </c>
      <c r="Q15" s="12">
        <f t="shared" si="40"/>
        <v>9.393208290246767E-2</v>
      </c>
      <c r="R15" s="12">
        <f t="shared" si="41"/>
        <v>0.23300777076697343</v>
      </c>
      <c r="S15" s="12">
        <f t="shared" si="42"/>
        <v>3.9986502509396615E-2</v>
      </c>
      <c r="T15" s="12">
        <f t="shared" si="43"/>
        <v>5.85306925206091E-2</v>
      </c>
      <c r="U15" s="12">
        <f t="shared" si="44"/>
        <v>0</v>
      </c>
      <c r="V15" s="12">
        <f t="shared" si="45"/>
        <v>3.0435656845269929E-2</v>
      </c>
      <c r="W15" s="12">
        <f t="shared" si="46"/>
        <v>0.1517457575697557</v>
      </c>
      <c r="X15" s="4">
        <f t="shared" si="47"/>
        <v>547465844.6445961</v>
      </c>
      <c r="Y15" s="4">
        <v>1089050814.888793</v>
      </c>
      <c r="Z15" s="4">
        <f t="shared" si="48"/>
        <v>514348851.52236974</v>
      </c>
      <c r="AA15" s="18">
        <f t="shared" si="2"/>
        <v>0.114873</v>
      </c>
      <c r="AB15" s="7">
        <f t="shared" ref="AB15" si="78">(X15*O15*(1-O$2))+(X15*P15*(1-AA15-O$2))+(X15*Q15*(1-Q$2))+(X15*R15*(1-R$2))+(X15*S15*(1-S$2))+(X15*T15*(1-T$2))+(X15*U15*(1-U$2))+(X15*V15*(1-V$2))+(X15*W15*(1-W$2))</f>
        <v>510777288.32869601</v>
      </c>
      <c r="AC15" s="4">
        <f t="shared" si="3"/>
        <v>551301577.43221653</v>
      </c>
      <c r="AD15" s="4">
        <f t="shared" si="4"/>
        <v>514355968.55355299</v>
      </c>
      <c r="AE15" s="18">
        <f t="shared" si="5"/>
        <v>8.6354E-2</v>
      </c>
      <c r="AF15" s="4">
        <f t="shared" si="6"/>
        <v>513871572.54773396</v>
      </c>
      <c r="AG15" s="4">
        <f t="shared" si="7"/>
        <v>551822306.34117758</v>
      </c>
      <c r="AH15" s="4">
        <f t="shared" si="8"/>
        <v>514356947.14899164</v>
      </c>
      <c r="AI15" s="4">
        <f t="shared" si="9"/>
        <v>1349331.8618866205</v>
      </c>
      <c r="AJ15" s="4">
        <f t="shared" si="50"/>
        <v>2020840.3864541547</v>
      </c>
      <c r="AK15" s="4">
        <f t="shared" si="10"/>
        <v>553994723.11790848</v>
      </c>
      <c r="AL15" s="4">
        <f t="shared" si="11"/>
        <v>516381870.11490691</v>
      </c>
      <c r="AM15" s="7">
        <f t="shared" si="12"/>
        <v>2022196.9937986732</v>
      </c>
      <c r="AN15" s="12">
        <f t="shared" si="13"/>
        <v>1.1669958183323519E-2</v>
      </c>
      <c r="AO15" s="4">
        <f t="shared" si="14"/>
        <v>514359673.12110823</v>
      </c>
      <c r="AP15" s="4">
        <f t="shared" si="15"/>
        <v>0</v>
      </c>
      <c r="AQ15" s="4"/>
      <c r="AR15" s="18">
        <f t="shared" si="16"/>
        <v>0.1822355714268481</v>
      </c>
      <c r="AS15" s="18">
        <f t="shared" si="71"/>
        <v>0.1052355714268481</v>
      </c>
      <c r="AT15" s="18">
        <f t="shared" si="17"/>
        <v>7.5458190224870769E-2</v>
      </c>
      <c r="AU15" s="18">
        <f t="shared" si="72"/>
        <v>-1.5418097751292298E-3</v>
      </c>
      <c r="AV15" s="18">
        <f t="shared" si="18"/>
        <v>0.93210611683931788</v>
      </c>
      <c r="AW15" s="18">
        <f t="shared" si="19"/>
        <v>0.62237497357104488</v>
      </c>
      <c r="AY15" s="7">
        <f t="shared" si="20"/>
        <v>14145911.25794347</v>
      </c>
      <c r="AZ15" s="7">
        <f t="shared" si="21"/>
        <v>2394038.3372322423</v>
      </c>
      <c r="BA15" s="7">
        <f t="shared" si="22"/>
        <v>3959694.7471177778</v>
      </c>
      <c r="BB15" s="7">
        <f t="shared" si="23"/>
        <v>9822412.2944405563</v>
      </c>
      <c r="BC15" s="7">
        <f t="shared" si="24"/>
        <v>2794936.485492303</v>
      </c>
      <c r="BD15" s="5">
        <f t="shared" si="25"/>
        <v>0</v>
      </c>
      <c r="BF15" s="7">
        <f t="shared" si="26"/>
        <v>14314610.248758744</v>
      </c>
      <c r="BG15" s="7">
        <f t="shared" si="27"/>
        <v>6036745.124239712</v>
      </c>
      <c r="BH15" s="7">
        <f t="shared" si="28"/>
        <v>4493678.9392157681</v>
      </c>
      <c r="BI15" s="7">
        <f t="shared" si="29"/>
        <v>9939550.8096785303</v>
      </c>
      <c r="BJ15" s="7">
        <f t="shared" si="30"/>
        <v>2828267.8811088689</v>
      </c>
      <c r="BK15" s="5">
        <f t="shared" si="51"/>
        <v>5.9604644775390625E-8</v>
      </c>
      <c r="BM15" s="4">
        <f t="shared" si="31"/>
        <v>547465844.6445961</v>
      </c>
      <c r="BN15" s="4">
        <f t="shared" si="52"/>
        <v>14145911.25794347</v>
      </c>
      <c r="BO15" s="4">
        <f t="shared" si="53"/>
        <v>2394038.3372322423</v>
      </c>
      <c r="BP15" s="4">
        <f t="shared" si="54"/>
        <v>3959694.7471177778</v>
      </c>
      <c r="BQ15" s="4">
        <f t="shared" si="55"/>
        <v>9822412.2944405563</v>
      </c>
      <c r="BR15" s="4">
        <f t="shared" si="56"/>
        <v>2794936.485492303</v>
      </c>
      <c r="BS15" s="4">
        <f t="shared" si="57"/>
        <v>514348851.52236974</v>
      </c>
      <c r="BU15" s="4">
        <f t="shared" si="58"/>
        <v>553994723.11790848</v>
      </c>
      <c r="BV15" s="4">
        <f t="shared" si="59"/>
        <v>14314610.248758744</v>
      </c>
      <c r="BW15" s="4">
        <f t="shared" si="60"/>
        <v>2022196.9937986732</v>
      </c>
      <c r="BX15" s="4">
        <f t="shared" si="61"/>
        <v>6036745.124239712</v>
      </c>
      <c r="BY15" s="4">
        <f t="shared" si="62"/>
        <v>4493678.9392157681</v>
      </c>
      <c r="BZ15" s="4">
        <f t="shared" si="63"/>
        <v>9939550.8096785303</v>
      </c>
      <c r="CA15" s="4">
        <f t="shared" si="64"/>
        <v>2828267.8811088689</v>
      </c>
      <c r="CB15" s="4">
        <f t="shared" si="65"/>
        <v>514359673.12110817</v>
      </c>
      <c r="CD15" s="4">
        <f t="shared" si="66"/>
        <v>10821.598738431931</v>
      </c>
      <c r="CE15" s="18">
        <f t="shared" si="67"/>
        <v>2.10394146043141E-5</v>
      </c>
      <c r="CF15" s="5">
        <f t="shared" si="34"/>
        <v>183713133.22004506</v>
      </c>
      <c r="CG15" s="5">
        <f t="shared" si="35"/>
        <v>169567221.96210158</v>
      </c>
      <c r="CH15" s="5">
        <f t="shared" si="36"/>
        <v>169567221.96210161</v>
      </c>
      <c r="CI15" s="5">
        <f t="shared" si="68"/>
        <v>0</v>
      </c>
      <c r="CK15" s="6">
        <f t="shared" si="69"/>
        <v>7.6999999999999846E-2</v>
      </c>
      <c r="CL15" s="6">
        <f t="shared" si="70"/>
        <v>7.7000000000000068E-2</v>
      </c>
    </row>
    <row r="16" spans="1:92" x14ac:dyDescent="0.25">
      <c r="A16" s="1">
        <v>13</v>
      </c>
      <c r="B16" s="1">
        <v>210013</v>
      </c>
      <c r="D16" s="4">
        <v>34392900</v>
      </c>
      <c r="E16" s="4">
        <v>5559100</v>
      </c>
      <c r="F16" s="4">
        <v>2109131.8607032788</v>
      </c>
      <c r="G16" s="4">
        <v>2648768.1392967212</v>
      </c>
      <c r="H16" s="4">
        <v>2279300</v>
      </c>
      <c r="I16" s="4">
        <v>16750800</v>
      </c>
      <c r="J16" s="4">
        <v>0</v>
      </c>
      <c r="K16" s="4">
        <v>925900</v>
      </c>
      <c r="L16" s="4">
        <v>0</v>
      </c>
      <c r="M16" s="4">
        <v>2838040</v>
      </c>
      <c r="N16" s="4">
        <f t="shared" si="37"/>
        <v>1281860</v>
      </c>
      <c r="O16" s="12">
        <f t="shared" si="38"/>
        <v>0.16163510491991079</v>
      </c>
      <c r="P16" s="12">
        <f t="shared" si="39"/>
        <v>6.1324629813225368E-2</v>
      </c>
      <c r="Q16" s="12">
        <f t="shared" si="40"/>
        <v>7.7014969348229462E-2</v>
      </c>
      <c r="R16" s="12">
        <f t="shared" si="41"/>
        <v>0.55331478299300141</v>
      </c>
      <c r="S16" s="12">
        <f t="shared" si="42"/>
        <v>0</v>
      </c>
      <c r="T16" s="12">
        <f t="shared" si="43"/>
        <v>2.6921254096048893E-2</v>
      </c>
      <c r="U16" s="12">
        <f t="shared" si="44"/>
        <v>0</v>
      </c>
      <c r="V16" s="12">
        <f t="shared" si="45"/>
        <v>8.2518194162167186E-2</v>
      </c>
      <c r="W16" s="12">
        <f t="shared" si="46"/>
        <v>3.7271064667416823E-2</v>
      </c>
      <c r="X16" s="4">
        <f t="shared" si="47"/>
        <v>19069324.061792254</v>
      </c>
      <c r="Y16" s="4">
        <v>37933805.573487684</v>
      </c>
      <c r="Z16" s="4">
        <f t="shared" si="48"/>
        <v>17791924.640655983</v>
      </c>
      <c r="AA16" s="18">
        <f t="shared" si="2"/>
        <v>0.114873</v>
      </c>
      <c r="AB16" s="7">
        <f t="shared" ref="AB16" si="79">(X16*O16*(1-O$2))+(X16*P16*(1-AA16-O$2))+(X16*Q16*(1-Q$2))+(X16*R16*(1-R$2))+(X16*S16*(1-S$2))+(X16*T16*(1-T$2))+(X16*U16*(1-U$2))+(X16*V16*(1-V$2))+(X16*W16*(1-W$2))</f>
        <v>17657589.944428369</v>
      </c>
      <c r="AC16" s="4">
        <f t="shared" si="3"/>
        <v>19214665.993024807</v>
      </c>
      <c r="AD16" s="4">
        <f t="shared" si="4"/>
        <v>17792171.968160283</v>
      </c>
      <c r="AE16" s="18">
        <f t="shared" si="5"/>
        <v>8.6354E-2</v>
      </c>
      <c r="AF16" s="4">
        <f t="shared" si="6"/>
        <v>17778329.760760859</v>
      </c>
      <c r="AG16" s="4">
        <f t="shared" si="7"/>
        <v>19229654.240361597</v>
      </c>
      <c r="AH16" s="4">
        <f t="shared" si="8"/>
        <v>17792197.605447102</v>
      </c>
      <c r="AI16" s="4">
        <f t="shared" si="9"/>
        <v>23919.531371797435</v>
      </c>
      <c r="AJ16" s="4">
        <f t="shared" si="50"/>
        <v>28517.812025245865</v>
      </c>
      <c r="AK16" s="4">
        <f t="shared" si="10"/>
        <v>19260533.131842174</v>
      </c>
      <c r="AL16" s="4">
        <f t="shared" si="11"/>
        <v>17820768.235589083</v>
      </c>
      <c r="AM16" s="7">
        <f t="shared" si="12"/>
        <v>28526.328545521945</v>
      </c>
      <c r="AN16" s="12">
        <f t="shared" si="13"/>
        <v>9.9033874029976817E-3</v>
      </c>
      <c r="AO16" s="4">
        <f t="shared" si="14"/>
        <v>17792241.907043561</v>
      </c>
      <c r="AP16" s="4">
        <f t="shared" si="15"/>
        <v>0</v>
      </c>
      <c r="AQ16" s="4"/>
      <c r="AR16" s="18">
        <f t="shared" si="16"/>
        <v>0.18376986998597733</v>
      </c>
      <c r="AS16" s="18">
        <f t="shared" si="71"/>
        <v>0.10676986998597733</v>
      </c>
      <c r="AT16" s="18">
        <f t="shared" si="17"/>
        <v>7.7192825673697896E-2</v>
      </c>
      <c r="AU16" s="18">
        <f t="shared" si="72"/>
        <v>1.9282567369789672E-4</v>
      </c>
      <c r="AV16" s="18">
        <f t="shared" si="18"/>
        <v>0.92524792089618657</v>
      </c>
      <c r="AW16" s="18">
        <f t="shared" si="19"/>
        <v>0.77605871905510881</v>
      </c>
      <c r="AY16" s="7">
        <f t="shared" si="20"/>
        <v>237334.95905192691</v>
      </c>
      <c r="AZ16" s="7">
        <f t="shared" si="21"/>
        <v>90045.281393593759</v>
      </c>
      <c r="BA16" s="7">
        <f t="shared" si="22"/>
        <v>113084.00242449965</v>
      </c>
      <c r="BB16" s="7">
        <f t="shared" si="23"/>
        <v>812453.09569068265</v>
      </c>
      <c r="BC16" s="7">
        <f t="shared" si="24"/>
        <v>24482.082575567903</v>
      </c>
      <c r="BD16" s="5">
        <f t="shared" si="25"/>
        <v>0</v>
      </c>
      <c r="BF16" s="7">
        <f t="shared" si="26"/>
        <v>239714.72860556204</v>
      </c>
      <c r="BG16" s="7">
        <f t="shared" si="27"/>
        <v>226629.84692542398</v>
      </c>
      <c r="BH16" s="7">
        <f t="shared" si="28"/>
        <v>128093.15139157484</v>
      </c>
      <c r="BI16" s="7">
        <f t="shared" si="29"/>
        <v>820599.60368345689</v>
      </c>
      <c r="BJ16" s="7">
        <f t="shared" si="30"/>
        <v>24727.565647070107</v>
      </c>
      <c r="BK16" s="5">
        <f t="shared" si="51"/>
        <v>-2.5611370801925659E-9</v>
      </c>
      <c r="BM16" s="4">
        <f t="shared" si="31"/>
        <v>19069324.061792254</v>
      </c>
      <c r="BN16" s="4">
        <f t="shared" si="52"/>
        <v>237334.95905192691</v>
      </c>
      <c r="BO16" s="4">
        <f t="shared" si="53"/>
        <v>90045.281393593759</v>
      </c>
      <c r="BP16" s="4">
        <f t="shared" si="54"/>
        <v>113084.00242449965</v>
      </c>
      <c r="BQ16" s="4">
        <f t="shared" si="55"/>
        <v>812453.09569068265</v>
      </c>
      <c r="BR16" s="4">
        <f t="shared" si="56"/>
        <v>24482.082575567903</v>
      </c>
      <c r="BS16" s="4">
        <f t="shared" si="57"/>
        <v>17791924.640655983</v>
      </c>
      <c r="BU16" s="4">
        <f t="shared" si="58"/>
        <v>19260533.131842174</v>
      </c>
      <c r="BV16" s="4">
        <f t="shared" si="59"/>
        <v>239714.72860556204</v>
      </c>
      <c r="BW16" s="4">
        <f t="shared" si="60"/>
        <v>28526.328545521945</v>
      </c>
      <c r="BX16" s="4">
        <f t="shared" si="61"/>
        <v>226629.84692542398</v>
      </c>
      <c r="BY16" s="4">
        <f t="shared" si="62"/>
        <v>128093.15139157484</v>
      </c>
      <c r="BZ16" s="4">
        <f t="shared" si="63"/>
        <v>820599.60368345689</v>
      </c>
      <c r="CA16" s="4">
        <f t="shared" si="64"/>
        <v>24727.565647070107</v>
      </c>
      <c r="CB16" s="4">
        <f t="shared" si="65"/>
        <v>17792241.907043565</v>
      </c>
      <c r="CD16" s="4">
        <f t="shared" si="66"/>
        <v>317.26638758182526</v>
      </c>
      <c r="CE16" s="18">
        <f t="shared" si="67"/>
        <v>1.7832044255450922E-5</v>
      </c>
      <c r="CF16" s="5">
        <f t="shared" si="34"/>
        <v>3082272.1954795704</v>
      </c>
      <c r="CG16" s="5">
        <f t="shared" si="35"/>
        <v>2844937.2364276433</v>
      </c>
      <c r="CH16" s="5">
        <f t="shared" si="36"/>
        <v>2844937.2364276438</v>
      </c>
      <c r="CI16" s="5">
        <f t="shared" si="68"/>
        <v>0</v>
      </c>
      <c r="CK16" s="6">
        <f t="shared" si="69"/>
        <v>7.6999999999999957E-2</v>
      </c>
      <c r="CL16" s="6">
        <f t="shared" si="70"/>
        <v>7.7000000000000068E-2</v>
      </c>
    </row>
    <row r="17" spans="1:90" x14ac:dyDescent="0.25">
      <c r="A17" s="1">
        <v>15</v>
      </c>
      <c r="B17" s="1">
        <v>210015</v>
      </c>
      <c r="D17" s="4">
        <v>743866296.19999993</v>
      </c>
      <c r="E17" s="4">
        <v>222122968.09999999</v>
      </c>
      <c r="F17" s="4">
        <v>53671431.446348801</v>
      </c>
      <c r="G17" s="4">
        <v>68053909.353651211</v>
      </c>
      <c r="H17" s="4">
        <v>23054440.399999999</v>
      </c>
      <c r="I17" s="4">
        <v>161792057.39999998</v>
      </c>
      <c r="J17" s="4">
        <v>28034823.799999997</v>
      </c>
      <c r="K17" s="4">
        <v>40255594.899999999</v>
      </c>
      <c r="L17" s="4">
        <v>4100608.4</v>
      </c>
      <c r="M17" s="4">
        <v>26996832.299999997</v>
      </c>
      <c r="N17" s="4">
        <f t="shared" si="37"/>
        <v>115783630.10000002</v>
      </c>
      <c r="O17" s="12">
        <f t="shared" si="38"/>
        <v>0.29860603879313119</v>
      </c>
      <c r="P17" s="12">
        <f t="shared" si="39"/>
        <v>7.2151987152162103E-2</v>
      </c>
      <c r="Q17" s="12">
        <f t="shared" si="40"/>
        <v>9.1486749300648332E-2</v>
      </c>
      <c r="R17" s="12">
        <f t="shared" si="41"/>
        <v>0.24849425057201563</v>
      </c>
      <c r="S17" s="12">
        <f t="shared" si="42"/>
        <v>3.7687987670921984E-2</v>
      </c>
      <c r="T17" s="12">
        <f t="shared" si="43"/>
        <v>5.4116707674004713E-2</v>
      </c>
      <c r="U17" s="12">
        <f t="shared" si="44"/>
        <v>5.512561089200751E-3</v>
      </c>
      <c r="V17" s="12">
        <f t="shared" si="45"/>
        <v>3.6292587038708204E-2</v>
      </c>
      <c r="W17" s="12">
        <f t="shared" si="46"/>
        <v>0.15565113070920719</v>
      </c>
      <c r="X17" s="4">
        <f t="shared" si="47"/>
        <v>409310956.09716606</v>
      </c>
      <c r="Y17" s="4">
        <v>814225096.67230177</v>
      </c>
      <c r="Z17" s="4">
        <f t="shared" si="48"/>
        <v>384801214.3785488</v>
      </c>
      <c r="AA17" s="18">
        <f t="shared" si="2"/>
        <v>0.114873</v>
      </c>
      <c r="AB17" s="7">
        <f t="shared" ref="AB17" si="80">(X17*O17*(1-O$2))+(X17*P17*(1-AA17-O$2))+(X17*Q17*(1-Q$2))+(X17*R17*(1-R$2))+(X17*S17*(1-S$2))+(X17*T17*(1-T$2))+(X17*U17*(1-U$2))+(X17*V17*(1-V$2))+(X17*W17*(1-W$2))</f>
        <v>381408716.15136254</v>
      </c>
      <c r="AC17" s="4">
        <f t="shared" si="3"/>
        <v>412960148.41807759</v>
      </c>
      <c r="AD17" s="4">
        <f t="shared" si="4"/>
        <v>384809147.38188612</v>
      </c>
      <c r="AE17" s="18">
        <f t="shared" si="5"/>
        <v>8.6354E-2</v>
      </c>
      <c r="AF17" s="4">
        <f t="shared" si="6"/>
        <v>384455749.69268525</v>
      </c>
      <c r="AG17" s="4">
        <f t="shared" si="7"/>
        <v>413340644.6421656</v>
      </c>
      <c r="AH17" s="4">
        <f t="shared" si="8"/>
        <v>384809982.32662678</v>
      </c>
      <c r="AI17" s="4">
        <f t="shared" si="9"/>
        <v>1110636.0552749485</v>
      </c>
      <c r="AJ17" s="4">
        <f t="shared" si="50"/>
        <v>1577715.5111188754</v>
      </c>
      <c r="AK17" s="4">
        <f t="shared" si="10"/>
        <v>415039339.37903076</v>
      </c>
      <c r="AL17" s="4">
        <f t="shared" si="11"/>
        <v>386391425.38127059</v>
      </c>
      <c r="AM17" s="7">
        <f t="shared" si="12"/>
        <v>1578819.0427689403</v>
      </c>
      <c r="AN17" s="12">
        <f t="shared" si="13"/>
        <v>1.3683786496928144E-2</v>
      </c>
      <c r="AO17" s="4">
        <f t="shared" si="14"/>
        <v>384812606.33850163</v>
      </c>
      <c r="AP17" s="4">
        <f t="shared" si="15"/>
        <v>0</v>
      </c>
      <c r="AQ17" s="4"/>
      <c r="AR17" s="18">
        <f t="shared" si="16"/>
        <v>0.18056311169267469</v>
      </c>
      <c r="AS17" s="18">
        <f t="shared" si="71"/>
        <v>0.10356311169267469</v>
      </c>
      <c r="AT17" s="18">
        <f t="shared" si="17"/>
        <v>7.3567353578788408E-2</v>
      </c>
      <c r="AU17" s="18">
        <f t="shared" si="72"/>
        <v>-3.4326464212115909E-3</v>
      </c>
      <c r="AV17" s="18">
        <f t="shared" si="18"/>
        <v>0.93097542502688491</v>
      </c>
      <c r="AW17" s="18">
        <f t="shared" si="19"/>
        <v>0.65536205122082469</v>
      </c>
      <c r="AY17" s="7">
        <f t="shared" si="20"/>
        <v>9411149.6890799068</v>
      </c>
      <c r="AZ17" s="7">
        <f t="shared" si="21"/>
        <v>2274010.1111082672</v>
      </c>
      <c r="BA17" s="7">
        <f t="shared" si="22"/>
        <v>2883382.7196381981</v>
      </c>
      <c r="BB17" s="7">
        <f t="shared" si="23"/>
        <v>7831779.2850435963</v>
      </c>
      <c r="BC17" s="7">
        <f t="shared" si="24"/>
        <v>2109419.9137473353</v>
      </c>
      <c r="BD17" s="5">
        <f t="shared" si="25"/>
        <v>4.4703483581542969E-8</v>
      </c>
      <c r="BF17" s="7">
        <f t="shared" si="26"/>
        <v>9542860.4867973607</v>
      </c>
      <c r="BG17" s="7">
        <f t="shared" si="27"/>
        <v>5745812.1808819147</v>
      </c>
      <c r="BH17" s="7">
        <f t="shared" si="28"/>
        <v>3278913.1916811964</v>
      </c>
      <c r="BI17" s="7">
        <f t="shared" si="29"/>
        <v>7941386.4989610463</v>
      </c>
      <c r="BJ17" s="7">
        <f t="shared" si="30"/>
        <v>2138941.6394386315</v>
      </c>
      <c r="BK17" s="5">
        <f t="shared" si="51"/>
        <v>0</v>
      </c>
      <c r="BM17" s="4">
        <f t="shared" si="31"/>
        <v>409310956.09716606</v>
      </c>
      <c r="BN17" s="4">
        <f t="shared" si="52"/>
        <v>9411149.6890799068</v>
      </c>
      <c r="BO17" s="4">
        <f t="shared" si="53"/>
        <v>2274010.1111082672</v>
      </c>
      <c r="BP17" s="4">
        <f t="shared" si="54"/>
        <v>2883382.7196381981</v>
      </c>
      <c r="BQ17" s="4">
        <f t="shared" si="55"/>
        <v>7831779.2850435963</v>
      </c>
      <c r="BR17" s="4">
        <f t="shared" si="56"/>
        <v>2109419.9137473353</v>
      </c>
      <c r="BS17" s="4">
        <f t="shared" si="57"/>
        <v>384801214.37854874</v>
      </c>
      <c r="BU17" s="4">
        <f t="shared" si="58"/>
        <v>415039339.37903076</v>
      </c>
      <c r="BV17" s="4">
        <f t="shared" si="59"/>
        <v>9542860.4867973607</v>
      </c>
      <c r="BW17" s="4">
        <f t="shared" si="60"/>
        <v>1578819.0427689403</v>
      </c>
      <c r="BX17" s="4">
        <f t="shared" si="61"/>
        <v>5745812.1808819147</v>
      </c>
      <c r="BY17" s="4">
        <f t="shared" si="62"/>
        <v>3278913.1916811964</v>
      </c>
      <c r="BZ17" s="4">
        <f t="shared" si="63"/>
        <v>7941386.4989610463</v>
      </c>
      <c r="CA17" s="4">
        <f t="shared" si="64"/>
        <v>2138941.6394386315</v>
      </c>
      <c r="CB17" s="4">
        <f t="shared" si="65"/>
        <v>384812606.33850169</v>
      </c>
      <c r="CD17" s="4">
        <f t="shared" si="66"/>
        <v>11391.959952950478</v>
      </c>
      <c r="CE17" s="18">
        <f t="shared" si="67"/>
        <v>2.9604792103757816E-5</v>
      </c>
      <c r="CF17" s="5">
        <f t="shared" si="34"/>
        <v>122222723.23480399</v>
      </c>
      <c r="CG17" s="5">
        <f t="shared" si="35"/>
        <v>112811573.54572408</v>
      </c>
      <c r="CH17" s="5">
        <f t="shared" si="36"/>
        <v>112811573.54572409</v>
      </c>
      <c r="CI17" s="5">
        <f t="shared" si="68"/>
        <v>0</v>
      </c>
      <c r="CK17" s="6">
        <f t="shared" si="69"/>
        <v>7.6999999999999957E-2</v>
      </c>
      <c r="CL17" s="6">
        <f t="shared" si="70"/>
        <v>7.7000000000000068E-2</v>
      </c>
    </row>
    <row r="18" spans="1:90" x14ac:dyDescent="0.25">
      <c r="A18" s="1">
        <v>18</v>
      </c>
      <c r="B18" s="1">
        <v>210018</v>
      </c>
      <c r="D18" s="4">
        <v>241848933</v>
      </c>
      <c r="E18" s="4">
        <v>90932270</v>
      </c>
      <c r="F18" s="4">
        <v>10710928.220156388</v>
      </c>
      <c r="G18" s="4">
        <v>16319329.979843611</v>
      </c>
      <c r="H18" s="4">
        <v>6165380</v>
      </c>
      <c r="I18" s="4">
        <v>31779251.599999998</v>
      </c>
      <c r="J18" s="4">
        <v>8106210</v>
      </c>
      <c r="K18" s="4">
        <v>17127791.199999999</v>
      </c>
      <c r="L18" s="4">
        <v>1048543.1000000001</v>
      </c>
      <c r="M18" s="4">
        <v>10355704.199999999</v>
      </c>
      <c r="N18" s="4">
        <f t="shared" si="37"/>
        <v>49303524.700000018</v>
      </c>
      <c r="O18" s="12">
        <f t="shared" si="38"/>
        <v>0.37598788992796589</v>
      </c>
      <c r="P18" s="12">
        <f t="shared" si="39"/>
        <v>4.4287680277491193E-2</v>
      </c>
      <c r="Q18" s="12">
        <f t="shared" si="40"/>
        <v>6.7477370180680563E-2</v>
      </c>
      <c r="R18" s="12">
        <f t="shared" si="41"/>
        <v>0.15689393841568031</v>
      </c>
      <c r="S18" s="12">
        <f t="shared" si="42"/>
        <v>3.3517658727896887E-2</v>
      </c>
      <c r="T18" s="12">
        <f t="shared" si="43"/>
        <v>7.0820205768697769E-2</v>
      </c>
      <c r="U18" s="12">
        <f t="shared" si="44"/>
        <v>4.3355291544742939E-3</v>
      </c>
      <c r="V18" s="12">
        <f t="shared" si="45"/>
        <v>4.2818895545840591E-2</v>
      </c>
      <c r="W18" s="12">
        <f t="shared" si="46"/>
        <v>0.20386083200127253</v>
      </c>
      <c r="X18" s="4">
        <f t="shared" si="47"/>
        <v>132070198.44948146</v>
      </c>
      <c r="Y18" s="4">
        <v>262721699.7204724</v>
      </c>
      <c r="Z18" s="4">
        <f t="shared" si="48"/>
        <v>124677927.22238287</v>
      </c>
      <c r="AA18" s="18">
        <f t="shared" si="2"/>
        <v>0.114873</v>
      </c>
      <c r="AB18" s="7">
        <f t="shared" ref="AB18" si="81">(X18*O18*(1-O$2))+(X18*P18*(1-AA18-O$2))+(X18*Q18*(1-Q$2))+(X18*R18*(1-R$2))+(X18*S18*(1-S$2))+(X18*T18*(1-T$2))+(X18*U18*(1-U$2))+(X18*V18*(1-V$2))+(X18*W18*(1-W$2))</f>
        <v>124006025.54273044</v>
      </c>
      <c r="AC18" s="4">
        <f t="shared" si="3"/>
        <v>132787161.24892932</v>
      </c>
      <c r="AD18" s="4">
        <f t="shared" si="4"/>
        <v>124679210.7750183</v>
      </c>
      <c r="AE18" s="18">
        <f t="shared" si="5"/>
        <v>8.6354E-2</v>
      </c>
      <c r="AF18" s="4">
        <f t="shared" si="6"/>
        <v>124595397.73363885</v>
      </c>
      <c r="AG18" s="4">
        <f t="shared" si="7"/>
        <v>132876657.94788401</v>
      </c>
      <c r="AH18" s="4">
        <f t="shared" si="8"/>
        <v>124679373.29797222</v>
      </c>
      <c r="AI18" s="4">
        <f t="shared" si="9"/>
        <v>279871.14172274619</v>
      </c>
      <c r="AJ18" s="4">
        <f t="shared" si="50"/>
        <v>444136.57470620942</v>
      </c>
      <c r="AK18" s="4">
        <f t="shared" si="10"/>
        <v>133350912.98823373</v>
      </c>
      <c r="AL18" s="4">
        <f t="shared" si="11"/>
        <v>125124371.10366207</v>
      </c>
      <c r="AM18" s="7">
        <f t="shared" si="12"/>
        <v>444455.10393457115</v>
      </c>
      <c r="AN18" s="12">
        <f t="shared" si="13"/>
        <v>9.4473962893209425E-3</v>
      </c>
      <c r="AO18" s="4">
        <f t="shared" si="14"/>
        <v>124679915.9997275</v>
      </c>
      <c r="AP18" s="4">
        <f t="shared" si="15"/>
        <v>0</v>
      </c>
      <c r="AQ18" s="4"/>
      <c r="AR18" s="18">
        <f t="shared" si="16"/>
        <v>0.18403640998795312</v>
      </c>
      <c r="AS18" s="18">
        <f t="shared" si="71"/>
        <v>0.10703640998795312</v>
      </c>
      <c r="AT18" s="18">
        <f t="shared" si="17"/>
        <v>7.7494168416416542E-2</v>
      </c>
      <c r="AU18" s="18">
        <f t="shared" si="72"/>
        <v>4.941684164165433E-4</v>
      </c>
      <c r="AV18" s="18">
        <f t="shared" si="18"/>
        <v>0.93830906965520722</v>
      </c>
      <c r="AW18" s="18">
        <f t="shared" si="19"/>
        <v>0.59127224725169469</v>
      </c>
      <c r="AY18" s="7">
        <f t="shared" si="20"/>
        <v>3823573.2332788948</v>
      </c>
      <c r="AZ18" s="7">
        <f t="shared" si="21"/>
        <v>450379.36967988947</v>
      </c>
      <c r="BA18" s="7">
        <f t="shared" si="22"/>
        <v>686204.7246370936</v>
      </c>
      <c r="BB18" s="7">
        <f t="shared" si="23"/>
        <v>1595518.0458201307</v>
      </c>
      <c r="BC18" s="7">
        <f t="shared" si="24"/>
        <v>836595.85368258343</v>
      </c>
      <c r="BD18" s="5">
        <f t="shared" si="25"/>
        <v>8.3819031715393066E-9</v>
      </c>
      <c r="BF18" s="7">
        <f t="shared" si="26"/>
        <v>3860651.2863698611</v>
      </c>
      <c r="BG18" s="7">
        <f t="shared" si="27"/>
        <v>1133164.0621037232</v>
      </c>
      <c r="BH18" s="7">
        <f t="shared" si="28"/>
        <v>777027.87888648652</v>
      </c>
      <c r="BI18" s="7">
        <f t="shared" si="29"/>
        <v>1610990.1446139028</v>
      </c>
      <c r="BJ18" s="7">
        <f t="shared" si="30"/>
        <v>844708.51259769069</v>
      </c>
      <c r="BK18" s="5">
        <f t="shared" si="51"/>
        <v>7.4505805969238281E-9</v>
      </c>
      <c r="BM18" s="4">
        <f t="shared" si="31"/>
        <v>132070198.44948146</v>
      </c>
      <c r="BN18" s="4">
        <f t="shared" si="52"/>
        <v>3823573.2332788948</v>
      </c>
      <c r="BO18" s="4">
        <f t="shared" si="53"/>
        <v>450379.36967988947</v>
      </c>
      <c r="BP18" s="4">
        <f t="shared" si="54"/>
        <v>686204.7246370936</v>
      </c>
      <c r="BQ18" s="4">
        <f t="shared" si="55"/>
        <v>1595518.0458201307</v>
      </c>
      <c r="BR18" s="4">
        <f t="shared" si="56"/>
        <v>836595.85368258343</v>
      </c>
      <c r="BS18" s="4">
        <f t="shared" si="57"/>
        <v>124677927.22238286</v>
      </c>
      <c r="BU18" s="4">
        <f t="shared" si="58"/>
        <v>133350912.98823373</v>
      </c>
      <c r="BV18" s="4">
        <f t="shared" si="59"/>
        <v>3860651.2863698611</v>
      </c>
      <c r="BW18" s="4">
        <f t="shared" si="60"/>
        <v>444455.10393457115</v>
      </c>
      <c r="BX18" s="4">
        <f t="shared" si="61"/>
        <v>1133164.0621037232</v>
      </c>
      <c r="BY18" s="4">
        <f t="shared" si="62"/>
        <v>777027.87888648652</v>
      </c>
      <c r="BZ18" s="4">
        <f t="shared" si="63"/>
        <v>1610990.1446139028</v>
      </c>
      <c r="CA18" s="4">
        <f t="shared" si="64"/>
        <v>844708.51259769069</v>
      </c>
      <c r="CB18" s="4">
        <f t="shared" si="65"/>
        <v>124679915.99972749</v>
      </c>
      <c r="CD18" s="4">
        <f t="shared" si="66"/>
        <v>1988.7773446291685</v>
      </c>
      <c r="CE18" s="18">
        <f t="shared" si="67"/>
        <v>1.5951318641044367E-5</v>
      </c>
      <c r="CF18" s="5">
        <f t="shared" si="34"/>
        <v>49656795.237388246</v>
      </c>
      <c r="CG18" s="5">
        <f t="shared" si="35"/>
        <v>45833222.004109353</v>
      </c>
      <c r="CH18" s="5">
        <f t="shared" si="36"/>
        <v>45833222.004109353</v>
      </c>
      <c r="CI18" s="5">
        <f t="shared" si="68"/>
        <v>0</v>
      </c>
      <c r="CK18" s="6">
        <f t="shared" si="69"/>
        <v>7.6999999999999957E-2</v>
      </c>
      <c r="CL18" s="6">
        <f t="shared" si="70"/>
        <v>7.6999999999999957E-2</v>
      </c>
    </row>
    <row r="19" spans="1:90" x14ac:dyDescent="0.25">
      <c r="A19" s="1">
        <v>19</v>
      </c>
      <c r="B19" s="1">
        <v>210019</v>
      </c>
      <c r="D19" s="4">
        <v>650222000</v>
      </c>
      <c r="E19" s="4">
        <v>245185000</v>
      </c>
      <c r="F19" s="4">
        <v>39177869.680312499</v>
      </c>
      <c r="G19" s="4">
        <v>60215930.319687501</v>
      </c>
      <c r="H19" s="4">
        <v>13782000</v>
      </c>
      <c r="I19" s="4">
        <v>107338400</v>
      </c>
      <c r="J19" s="4">
        <v>31344100</v>
      </c>
      <c r="K19" s="4">
        <v>40337600</v>
      </c>
      <c r="L19" s="4">
        <v>0</v>
      </c>
      <c r="M19" s="4">
        <v>30523300</v>
      </c>
      <c r="N19" s="4">
        <f t="shared" si="37"/>
        <v>82317800</v>
      </c>
      <c r="O19" s="12">
        <f t="shared" si="38"/>
        <v>0.37707890535847755</v>
      </c>
      <c r="P19" s="12">
        <f t="shared" si="39"/>
        <v>6.0253066922239633E-2</v>
      </c>
      <c r="Q19" s="12">
        <f t="shared" si="40"/>
        <v>9.2608263515672334E-2</v>
      </c>
      <c r="R19" s="12">
        <f t="shared" si="41"/>
        <v>0.18627545669017659</v>
      </c>
      <c r="S19" s="12">
        <f t="shared" si="42"/>
        <v>4.8205228368157334E-2</v>
      </c>
      <c r="T19" s="12">
        <f t="shared" si="43"/>
        <v>6.2036658249028792E-2</v>
      </c>
      <c r="U19" s="12">
        <f t="shared" si="44"/>
        <v>0</v>
      </c>
      <c r="V19" s="12">
        <f t="shared" si="45"/>
        <v>4.6942890274398588E-2</v>
      </c>
      <c r="W19" s="12">
        <f t="shared" si="46"/>
        <v>0.12659953062184914</v>
      </c>
      <c r="X19" s="4">
        <f t="shared" si="47"/>
        <v>357150052.84543407</v>
      </c>
      <c r="Y19" s="4">
        <v>710463602.23877883</v>
      </c>
      <c r="Z19" s="4">
        <f t="shared" si="48"/>
        <v>335718924.72576451</v>
      </c>
      <c r="AA19" s="18">
        <f t="shared" si="2"/>
        <v>0.114873</v>
      </c>
      <c r="AB19" s="7">
        <f t="shared" ref="AB19" si="82">(X19*O19*(1-O$2))+(X19*P19*(1-AA19-O$2))+(X19*Q19*(1-Q$2))+(X19*R19*(1-R$2))+(X19*S19*(1-S$2))+(X19*T19*(1-T$2))+(X19*U19*(1-U$2))+(X19*V19*(1-V$2))+(X19*W19*(1-W$2))</f>
        <v>333246928.29372263</v>
      </c>
      <c r="AC19" s="4">
        <f t="shared" si="3"/>
        <v>359804947.14860588</v>
      </c>
      <c r="AD19" s="4">
        <f t="shared" si="4"/>
        <v>335724137.42312855</v>
      </c>
      <c r="AE19" s="18">
        <f t="shared" si="5"/>
        <v>8.6354E-2</v>
      </c>
      <c r="AF19" s="4">
        <f t="shared" si="6"/>
        <v>335412453.61826915</v>
      </c>
      <c r="AG19" s="4">
        <f t="shared" si="7"/>
        <v>360140011.96026403</v>
      </c>
      <c r="AH19" s="4">
        <f t="shared" si="8"/>
        <v>335724803.16068101</v>
      </c>
      <c r="AI19" s="4">
        <f t="shared" si="9"/>
        <v>1040636.82081002</v>
      </c>
      <c r="AJ19" s="4">
        <f t="shared" si="50"/>
        <v>1660647.8908799686</v>
      </c>
      <c r="AK19" s="4">
        <f t="shared" si="10"/>
        <v>361925233.59871</v>
      </c>
      <c r="AL19" s="4">
        <f t="shared" si="11"/>
        <v>337388998.09393263</v>
      </c>
      <c r="AM19" s="7">
        <f t="shared" si="12"/>
        <v>1661972.1966214478</v>
      </c>
      <c r="AN19" s="12">
        <f t="shared" si="13"/>
        <v>1.3063531591645571E-2</v>
      </c>
      <c r="AO19" s="4">
        <f t="shared" si="14"/>
        <v>335727025.89731121</v>
      </c>
      <c r="AP19" s="4">
        <f t="shared" si="15"/>
        <v>0</v>
      </c>
      <c r="AQ19" s="4"/>
      <c r="AR19" s="18">
        <f t="shared" si="16"/>
        <v>0.18106815070526217</v>
      </c>
      <c r="AS19" s="18">
        <f t="shared" si="71"/>
        <v>0.10406815070526217</v>
      </c>
      <c r="AT19" s="18">
        <f t="shared" si="17"/>
        <v>7.4138336696162654E-2</v>
      </c>
      <c r="AU19" s="18">
        <f t="shared" si="72"/>
        <v>-2.8616633038373446E-3</v>
      </c>
      <c r="AV19" s="18">
        <f t="shared" si="18"/>
        <v>0.93220634200934926</v>
      </c>
      <c r="AW19" s="18">
        <f t="shared" si="19"/>
        <v>0.58416251236347438</v>
      </c>
      <c r="AY19" s="7">
        <f t="shared" si="20"/>
        <v>10369878.825127259</v>
      </c>
      <c r="AZ19" s="7">
        <f t="shared" si="21"/>
        <v>1656992.7247240567</v>
      </c>
      <c r="BA19" s="7">
        <f t="shared" si="22"/>
        <v>2546778.5580580621</v>
      </c>
      <c r="BB19" s="7">
        <f t="shared" si="23"/>
        <v>5122678.2684542025</v>
      </c>
      <c r="BC19" s="7">
        <f t="shared" si="24"/>
        <v>1734799.743305963</v>
      </c>
      <c r="BD19" s="5">
        <f t="shared" si="25"/>
        <v>0</v>
      </c>
      <c r="BF19" s="7">
        <f t="shared" si="26"/>
        <v>10508526.55983999</v>
      </c>
      <c r="BG19" s="7">
        <f t="shared" si="27"/>
        <v>4184194.7192313443</v>
      </c>
      <c r="BH19" s="7">
        <f t="shared" si="28"/>
        <v>2894350.1095846845</v>
      </c>
      <c r="BI19" s="7">
        <f t="shared" si="29"/>
        <v>5191169.6895749876</v>
      </c>
      <c r="BJ19" s="7">
        <f t="shared" si="30"/>
        <v>1757994.4265463089</v>
      </c>
      <c r="BK19" s="5">
        <f t="shared" si="51"/>
        <v>-5.5879354476928711E-8</v>
      </c>
      <c r="BM19" s="4">
        <f t="shared" si="31"/>
        <v>357150052.84543407</v>
      </c>
      <c r="BN19" s="4">
        <f t="shared" si="52"/>
        <v>10369878.825127259</v>
      </c>
      <c r="BO19" s="4">
        <f t="shared" si="53"/>
        <v>1656992.7247240567</v>
      </c>
      <c r="BP19" s="4">
        <f t="shared" si="54"/>
        <v>2546778.5580580621</v>
      </c>
      <c r="BQ19" s="4">
        <f t="shared" si="55"/>
        <v>5122678.2684542025</v>
      </c>
      <c r="BR19" s="4">
        <f t="shared" si="56"/>
        <v>1734799.743305963</v>
      </c>
      <c r="BS19" s="4">
        <f t="shared" si="57"/>
        <v>335718924.72576451</v>
      </c>
      <c r="BU19" s="4">
        <f t="shared" si="58"/>
        <v>361925233.59871</v>
      </c>
      <c r="BV19" s="4">
        <f t="shared" si="59"/>
        <v>10508526.55983999</v>
      </c>
      <c r="BW19" s="4">
        <f t="shared" si="60"/>
        <v>1661972.1966214478</v>
      </c>
      <c r="BX19" s="4">
        <f t="shared" si="61"/>
        <v>4184194.7192313443</v>
      </c>
      <c r="BY19" s="4">
        <f t="shared" si="62"/>
        <v>2894350.1095846845</v>
      </c>
      <c r="BZ19" s="4">
        <f t="shared" si="63"/>
        <v>5191169.6895749876</v>
      </c>
      <c r="CA19" s="4">
        <f t="shared" si="64"/>
        <v>1757994.4265463089</v>
      </c>
      <c r="CB19" s="4">
        <f t="shared" si="65"/>
        <v>335727025.89731121</v>
      </c>
      <c r="CD19" s="4">
        <f t="shared" si="66"/>
        <v>8101.1715466976166</v>
      </c>
      <c r="CE19" s="18">
        <f t="shared" si="67"/>
        <v>2.4130815840409184E-5</v>
      </c>
      <c r="CF19" s="5">
        <f t="shared" si="34"/>
        <v>134673750.97567868</v>
      </c>
      <c r="CG19" s="5">
        <f t="shared" si="35"/>
        <v>124303872.15055142</v>
      </c>
      <c r="CH19" s="5">
        <f t="shared" si="36"/>
        <v>124303872.15055141</v>
      </c>
      <c r="CI19" s="5">
        <f t="shared" si="68"/>
        <v>0</v>
      </c>
      <c r="CK19" s="6">
        <f t="shared" si="69"/>
        <v>7.7000000000000068E-2</v>
      </c>
      <c r="CL19" s="6">
        <f t="shared" si="70"/>
        <v>7.6999999999999957E-2</v>
      </c>
    </row>
    <row r="20" spans="1:90" x14ac:dyDescent="0.25">
      <c r="A20" s="1">
        <v>22</v>
      </c>
      <c r="B20" s="1">
        <v>210022</v>
      </c>
      <c r="D20" s="4">
        <v>465603383.90000004</v>
      </c>
      <c r="E20" s="4">
        <v>190450461.60000002</v>
      </c>
      <c r="F20" s="4">
        <v>16225618.451682884</v>
      </c>
      <c r="G20" s="4">
        <v>7538562.6483171172</v>
      </c>
      <c r="H20" s="4">
        <v>9495691.4000000004</v>
      </c>
      <c r="I20" s="4">
        <v>29607100.600000001</v>
      </c>
      <c r="J20" s="4">
        <v>29703282.100000001</v>
      </c>
      <c r="K20" s="4">
        <v>39706360.899999999</v>
      </c>
      <c r="L20" s="4">
        <v>1919982.8</v>
      </c>
      <c r="M20" s="4">
        <v>17032436</v>
      </c>
      <c r="N20" s="4">
        <f t="shared" si="37"/>
        <v>123923887.39999998</v>
      </c>
      <c r="O20" s="12">
        <f t="shared" si="38"/>
        <v>0.40904011479629626</v>
      </c>
      <c r="P20" s="12">
        <f t="shared" si="39"/>
        <v>3.4848583607304154E-2</v>
      </c>
      <c r="Q20" s="12">
        <f t="shared" si="40"/>
        <v>1.6190953307023671E-2</v>
      </c>
      <c r="R20" s="12">
        <f t="shared" si="41"/>
        <v>8.398304941958562E-2</v>
      </c>
      <c r="S20" s="12">
        <f t="shared" si="42"/>
        <v>6.3795245324891198E-2</v>
      </c>
      <c r="T20" s="12">
        <f t="shared" si="43"/>
        <v>8.5279364955233944E-2</v>
      </c>
      <c r="U20" s="12">
        <f t="shared" si="44"/>
        <v>4.123644428693337E-3</v>
      </c>
      <c r="V20" s="12">
        <f t="shared" si="45"/>
        <v>3.6581426572402535E-2</v>
      </c>
      <c r="W20" s="12">
        <f t="shared" si="46"/>
        <v>0.26615761758856915</v>
      </c>
      <c r="X20" s="4">
        <f t="shared" si="47"/>
        <v>257288064.52180392</v>
      </c>
      <c r="Y20" s="4">
        <v>511812342.39467663</v>
      </c>
      <c r="Z20" s="4">
        <f>(X20*O$20*(1-O$2))+(X20*P$20*(1-O$2))+(X20*Q$20*(1-Q$2))+(X20*R$20*(1-R$2))+(X20*S$20*(1-S$2))+(X20*T$20*(1-T$2))+(X20*U$20*(1-U$2))+(X20*V$20*(1-V$2))+(X20*W$20*(1-W$2))</f>
        <v>244310600.28910378</v>
      </c>
      <c r="AA20" s="18">
        <f t="shared" si="2"/>
        <v>0.114873</v>
      </c>
      <c r="AB20" s="7">
        <f t="shared" ref="AB20" si="83">(X20*O20*(1-O$2))+(X20*P20*(1-AA20-O$2))+(X20*Q20*(1-Q$2))+(X20*R20*(1-R$2))+(X20*S20*(1-S$2))+(X20*T20*(1-T$2))+(X20*U20*(1-U$2))+(X20*V20*(1-V$2))+(X20*W20*(1-W$2))</f>
        <v>243280634.65475178</v>
      </c>
      <c r="AC20" s="4">
        <f t="shared" si="3"/>
        <v>258379291.82204559</v>
      </c>
      <c r="AD20" s="4">
        <f t="shared" si="4"/>
        <v>244312452.7091524</v>
      </c>
      <c r="AE20" s="18">
        <f t="shared" si="5"/>
        <v>8.6354E-2</v>
      </c>
      <c r="AF20" s="4">
        <f t="shared" si="6"/>
        <v>244273321.1196124</v>
      </c>
      <c r="AG20" s="4">
        <f t="shared" si="7"/>
        <v>258420757.96008587</v>
      </c>
      <c r="AH20" s="4">
        <f t="shared" si="8"/>
        <v>244312523.45344371</v>
      </c>
      <c r="AI20" s="4">
        <f t="shared" si="9"/>
        <v>427641.64086402953</v>
      </c>
      <c r="AJ20" s="4">
        <f t="shared" si="50"/>
        <v>711959.95579340879</v>
      </c>
      <c r="AK20" s="4">
        <f t="shared" si="10"/>
        <v>259175192.68029818</v>
      </c>
      <c r="AL20" s="4">
        <f t="shared" si="11"/>
        <v>245025770.53053969</v>
      </c>
      <c r="AM20" s="7">
        <f t="shared" si="12"/>
        <v>712473.96245472133</v>
      </c>
      <c r="AN20" s="12">
        <f t="shared" si="13"/>
        <v>7.1087187544345981E-3</v>
      </c>
      <c r="AO20" s="4">
        <f t="shared" si="14"/>
        <v>244313296.56808496</v>
      </c>
      <c r="AP20" s="4">
        <f t="shared" si="15"/>
        <v>0</v>
      </c>
      <c r="AQ20" s="4"/>
      <c r="AR20" s="18">
        <f t="shared" si="16"/>
        <v>0.18594563908578909</v>
      </c>
      <c r="AS20" s="18">
        <f t="shared" si="71"/>
        <v>0.10894563908578909</v>
      </c>
      <c r="AT20" s="18">
        <f t="shared" si="17"/>
        <v>7.9652689946227317E-2</v>
      </c>
      <c r="AU20" s="18">
        <f t="shared" si="72"/>
        <v>2.6526899462273185E-3</v>
      </c>
      <c r="AV20" s="18">
        <f t="shared" si="18"/>
        <v>0.94540595493175805</v>
      </c>
      <c r="AW20" s="18">
        <f t="shared" si="19"/>
        <v>0.56786192897477661</v>
      </c>
      <c r="AY20" s="7">
        <f t="shared" si="20"/>
        <v>8103567.7374740969</v>
      </c>
      <c r="AZ20" s="7">
        <f t="shared" si="21"/>
        <v>690391.59632901533</v>
      </c>
      <c r="BA20" s="7">
        <f t="shared" si="22"/>
        <v>320761.90601278056</v>
      </c>
      <c r="BB20" s="7">
        <f t="shared" si="23"/>
        <v>1663803.3903109229</v>
      </c>
      <c r="BC20" s="7">
        <f t="shared" si="24"/>
        <v>2198939.60257329</v>
      </c>
      <c r="BD20" s="5">
        <f t="shared" si="25"/>
        <v>-3.3527612686157227E-8</v>
      </c>
      <c r="BF20" s="7">
        <f t="shared" si="26"/>
        <v>8163004.8936052062</v>
      </c>
      <c r="BG20" s="7">
        <f t="shared" si="27"/>
        <v>1732975.5174201145</v>
      </c>
      <c r="BH20" s="7">
        <f t="shared" si="28"/>
        <v>362366.72397903021</v>
      </c>
      <c r="BI20" s="7">
        <f t="shared" si="29"/>
        <v>1676006.8721704083</v>
      </c>
      <c r="BJ20" s="7">
        <f t="shared" si="30"/>
        <v>2215068.1425837129</v>
      </c>
      <c r="BK20" s="5">
        <f t="shared" si="51"/>
        <v>-1.4901161193847656E-8</v>
      </c>
      <c r="BM20" s="4">
        <f t="shared" si="31"/>
        <v>257288064.52180392</v>
      </c>
      <c r="BN20" s="4">
        <f t="shared" si="52"/>
        <v>8103567.7374740969</v>
      </c>
      <c r="BO20" s="4">
        <f t="shared" si="53"/>
        <v>690391.59632901533</v>
      </c>
      <c r="BP20" s="4">
        <f t="shared" si="54"/>
        <v>320761.90601278056</v>
      </c>
      <c r="BQ20" s="4">
        <f t="shared" si="55"/>
        <v>1663803.3903109229</v>
      </c>
      <c r="BR20" s="4">
        <f t="shared" si="56"/>
        <v>2198939.60257329</v>
      </c>
      <c r="BS20" s="4">
        <f t="shared" si="57"/>
        <v>244310600.28910381</v>
      </c>
      <c r="BU20" s="4">
        <f t="shared" si="58"/>
        <v>259175192.68029818</v>
      </c>
      <c r="BV20" s="4">
        <f t="shared" si="59"/>
        <v>8163004.8936052062</v>
      </c>
      <c r="BW20" s="4">
        <f t="shared" si="60"/>
        <v>712473.96245472133</v>
      </c>
      <c r="BX20" s="4">
        <f t="shared" si="61"/>
        <v>1732975.5174201145</v>
      </c>
      <c r="BY20" s="4">
        <f t="shared" si="62"/>
        <v>362366.72397903021</v>
      </c>
      <c r="BZ20" s="4">
        <f t="shared" si="63"/>
        <v>1676006.8721704083</v>
      </c>
      <c r="CA20" s="4">
        <f t="shared" si="64"/>
        <v>2215068.1425837129</v>
      </c>
      <c r="CB20" s="4">
        <f t="shared" si="65"/>
        <v>244313296.56808499</v>
      </c>
      <c r="CD20" s="4">
        <f t="shared" si="66"/>
        <v>2696.2789811789989</v>
      </c>
      <c r="CE20" s="18">
        <f t="shared" si="67"/>
        <v>1.1036275044915651E-5</v>
      </c>
      <c r="CF20" s="5">
        <f t="shared" si="34"/>
        <v>105241139.44771555</v>
      </c>
      <c r="CG20" s="5">
        <f t="shared" si="35"/>
        <v>97137571.710241452</v>
      </c>
      <c r="CH20" s="5">
        <f t="shared" si="36"/>
        <v>97137571.710241452</v>
      </c>
      <c r="CI20" s="5">
        <f t="shared" si="68"/>
        <v>0</v>
      </c>
      <c r="CK20" s="6">
        <f t="shared" si="69"/>
        <v>7.7000000000000068E-2</v>
      </c>
      <c r="CL20" s="6">
        <f t="shared" si="70"/>
        <v>7.7000000000000068E-2</v>
      </c>
    </row>
    <row r="21" spans="1:90" x14ac:dyDescent="0.25">
      <c r="A21" s="1">
        <v>23</v>
      </c>
      <c r="B21" s="1">
        <v>210023</v>
      </c>
      <c r="D21" s="4">
        <v>791316600</v>
      </c>
      <c r="E21" s="4">
        <v>281747900</v>
      </c>
      <c r="F21" s="4">
        <v>46251923.995292708</v>
      </c>
      <c r="G21" s="4">
        <v>38389476.004707292</v>
      </c>
      <c r="H21" s="4">
        <v>15087400</v>
      </c>
      <c r="I21" s="4">
        <v>84652300</v>
      </c>
      <c r="J21" s="4">
        <v>43978500</v>
      </c>
      <c r="K21" s="4">
        <v>55897000</v>
      </c>
      <c r="L21" s="4">
        <v>2921510.4</v>
      </c>
      <c r="M21" s="4">
        <v>16774200</v>
      </c>
      <c r="N21" s="4">
        <f t="shared" si="37"/>
        <v>205616389.60000002</v>
      </c>
      <c r="O21" s="12">
        <f t="shared" si="38"/>
        <v>0.35604952556284047</v>
      </c>
      <c r="P21" s="12">
        <f t="shared" si="39"/>
        <v>5.8449328619281725E-2</v>
      </c>
      <c r="Q21" s="12">
        <f t="shared" si="40"/>
        <v>4.8513421814615404E-2</v>
      </c>
      <c r="R21" s="12">
        <f t="shared" si="41"/>
        <v>0.12604272423957744</v>
      </c>
      <c r="S21" s="12">
        <f t="shared" si="42"/>
        <v>5.5576364757165465E-2</v>
      </c>
      <c r="T21" s="12">
        <f t="shared" si="43"/>
        <v>7.063797220985886E-2</v>
      </c>
      <c r="U21" s="12">
        <f t="shared" si="44"/>
        <v>3.6919614728163166E-3</v>
      </c>
      <c r="V21" s="12">
        <f t="shared" si="45"/>
        <v>2.1197836618112142E-2</v>
      </c>
      <c r="W21" s="12">
        <f t="shared" si="46"/>
        <v>0.2598408647057322</v>
      </c>
      <c r="X21" s="4">
        <f t="shared" si="47"/>
        <v>440344690.21884191</v>
      </c>
      <c r="Y21" s="4">
        <v>875959200.75361443</v>
      </c>
      <c r="Z21" s="4">
        <f>(X21*O$21*(1-O$2))+(X21*P$21*(1-O$2))+(X21*Q$21*(1-Q$2))+(X21*R$21*(1-R$2))+(X21*S$21*(1-S$2))+(X21*T$21*(1-T$2))+(X21*U$21*(1-U$2))+(X21*V$21*(1-V$2))+(X21*W$21*(1-W$2))</f>
        <v>416878228.84638476</v>
      </c>
      <c r="AA21" s="18">
        <f t="shared" si="2"/>
        <v>0.114873</v>
      </c>
      <c r="AB21" s="7">
        <f t="shared" ref="AB21" si="84">(X21*O21*(1-O$2))+(X21*P21*(1-AA21-O$2))+(X21*Q21*(1-Q$2))+(X21*R21*(1-R$2))+(X21*S21*(1-S$2))+(X21*T21*(1-T$2))+(X21*U21*(1-U$2))+(X21*V21*(1-V$2))+(X21*W21*(1-W$2))</f>
        <v>413921644.63052475</v>
      </c>
      <c r="AC21" s="4">
        <f t="shared" si="3"/>
        <v>443497123.56957877</v>
      </c>
      <c r="AD21" s="4">
        <f t="shared" si="4"/>
        <v>416884915.05505651</v>
      </c>
      <c r="AE21" s="18">
        <f t="shared" si="5"/>
        <v>8.6354E-2</v>
      </c>
      <c r="AF21" s="4">
        <f t="shared" si="6"/>
        <v>416683658.47848046</v>
      </c>
      <c r="AG21" s="4">
        <f t="shared" si="7"/>
        <v>443711820.02220571</v>
      </c>
      <c r="AH21" s="4">
        <f t="shared" si="8"/>
        <v>416885374.56318218</v>
      </c>
      <c r="AI21" s="4">
        <f t="shared" si="9"/>
        <v>1106552.3663834631</v>
      </c>
      <c r="AJ21" s="4">
        <f t="shared" si="50"/>
        <v>1701815.373220837</v>
      </c>
      <c r="AK21" s="4">
        <f t="shared" si="10"/>
        <v>445527282.30360097</v>
      </c>
      <c r="AL21" s="4">
        <f t="shared" si="11"/>
        <v>418591075.5137381</v>
      </c>
      <c r="AM21" s="7">
        <f t="shared" si="12"/>
        <v>1703174.4750859439</v>
      </c>
      <c r="AN21" s="12">
        <f t="shared" si="13"/>
        <v>1.1427698233560627E-2</v>
      </c>
      <c r="AO21" s="4">
        <f t="shared" si="14"/>
        <v>416887901.03865218</v>
      </c>
      <c r="AP21" s="4">
        <f t="shared" si="15"/>
        <v>0</v>
      </c>
      <c r="AQ21" s="4"/>
      <c r="AR21" s="18">
        <f t="shared" si="16"/>
        <v>0.1823618313934281</v>
      </c>
      <c r="AS21" s="18">
        <f t="shared" si="71"/>
        <v>0.1053618313934281</v>
      </c>
      <c r="AT21" s="18">
        <f t="shared" si="17"/>
        <v>7.5600936245515893E-2</v>
      </c>
      <c r="AU21" s="18">
        <f t="shared" si="72"/>
        <v>-1.3990637544841061E-3</v>
      </c>
      <c r="AV21" s="18">
        <f t="shared" si="18"/>
        <v>0.93954083653286258</v>
      </c>
      <c r="AW21" s="18">
        <f t="shared" si="19"/>
        <v>0.61090712443836104</v>
      </c>
      <c r="AY21" s="7">
        <f t="shared" si="20"/>
        <v>12072407.888813168</v>
      </c>
      <c r="AZ21" s="7">
        <f t="shared" si="21"/>
        <v>1981814.5658354815</v>
      </c>
      <c r="BA21" s="7">
        <f t="shared" si="22"/>
        <v>1644922.3329317877</v>
      </c>
      <c r="BB21" s="7">
        <f t="shared" si="23"/>
        <v>4273672.8156904038</v>
      </c>
      <c r="BC21" s="7">
        <f t="shared" si="24"/>
        <v>3493643.7691864027</v>
      </c>
      <c r="BD21" s="5">
        <f t="shared" si="25"/>
        <v>1.0058283805847168E-7</v>
      </c>
      <c r="BF21" s="7">
        <f t="shared" si="26"/>
        <v>12214492.866691409</v>
      </c>
      <c r="BG21" s="7">
        <f t="shared" si="27"/>
        <v>4996520.7643283941</v>
      </c>
      <c r="BH21" s="7">
        <f t="shared" si="28"/>
        <v>1866459.9307166045</v>
      </c>
      <c r="BI21" s="7">
        <f t="shared" si="29"/>
        <v>4323971.3736142879</v>
      </c>
      <c r="BJ21" s="7">
        <f t="shared" si="30"/>
        <v>3534761.8545121392</v>
      </c>
      <c r="BK21" s="5">
        <f t="shared" si="51"/>
        <v>-3.7252902984619141E-8</v>
      </c>
      <c r="BM21" s="4">
        <f t="shared" si="31"/>
        <v>440344690.21884191</v>
      </c>
      <c r="BN21" s="4">
        <f t="shared" si="52"/>
        <v>12072407.888813168</v>
      </c>
      <c r="BO21" s="4">
        <f t="shared" si="53"/>
        <v>1981814.5658354815</v>
      </c>
      <c r="BP21" s="4">
        <f t="shared" si="54"/>
        <v>1644922.3329317877</v>
      </c>
      <c r="BQ21" s="4">
        <f t="shared" si="55"/>
        <v>4273672.8156904038</v>
      </c>
      <c r="BR21" s="4">
        <f t="shared" si="56"/>
        <v>3493643.7691864027</v>
      </c>
      <c r="BS21" s="4">
        <f t="shared" si="57"/>
        <v>416878228.84638464</v>
      </c>
      <c r="BU21" s="4">
        <f t="shared" si="58"/>
        <v>445527282.30360097</v>
      </c>
      <c r="BV21" s="4">
        <f t="shared" si="59"/>
        <v>12214492.866691409</v>
      </c>
      <c r="BW21" s="4">
        <f t="shared" si="60"/>
        <v>1703174.4750859439</v>
      </c>
      <c r="BX21" s="4">
        <f t="shared" si="61"/>
        <v>4996520.7643283941</v>
      </c>
      <c r="BY21" s="4">
        <f t="shared" si="62"/>
        <v>1866459.9307166045</v>
      </c>
      <c r="BZ21" s="4">
        <f t="shared" si="63"/>
        <v>4323971.3736142879</v>
      </c>
      <c r="CA21" s="4">
        <f t="shared" si="64"/>
        <v>3534761.8545121392</v>
      </c>
      <c r="CB21" s="4">
        <f t="shared" si="65"/>
        <v>416887901.03865218</v>
      </c>
      <c r="CD21" s="4">
        <f t="shared" si="66"/>
        <v>9672.192267537117</v>
      </c>
      <c r="CE21" s="18">
        <f t="shared" si="67"/>
        <v>2.3201480907992489E-5</v>
      </c>
      <c r="CF21" s="5">
        <f t="shared" si="34"/>
        <v>156784518.03653464</v>
      </c>
      <c r="CG21" s="5">
        <f t="shared" si="35"/>
        <v>144712110.14772147</v>
      </c>
      <c r="CH21" s="5">
        <f t="shared" si="36"/>
        <v>144712110.14772147</v>
      </c>
      <c r="CI21" s="5">
        <f t="shared" si="68"/>
        <v>0</v>
      </c>
      <c r="CK21" s="6">
        <f t="shared" si="69"/>
        <v>7.6999999999999957E-2</v>
      </c>
      <c r="CL21" s="6">
        <f t="shared" si="70"/>
        <v>7.6999999999999957E-2</v>
      </c>
    </row>
    <row r="22" spans="1:90" x14ac:dyDescent="0.25">
      <c r="A22" s="1">
        <v>24</v>
      </c>
      <c r="B22" s="1">
        <v>210024</v>
      </c>
      <c r="D22" s="4">
        <v>524653145.69999999</v>
      </c>
      <c r="E22" s="4">
        <v>190667267</v>
      </c>
      <c r="F22" s="4">
        <v>35489632.268653058</v>
      </c>
      <c r="G22" s="4">
        <v>56664938.231346942</v>
      </c>
      <c r="H22" s="4">
        <v>19240376.5</v>
      </c>
      <c r="I22" s="4">
        <v>77195497.299999997</v>
      </c>
      <c r="J22" s="4">
        <v>15617665.699999999</v>
      </c>
      <c r="K22" s="4">
        <v>26523327</v>
      </c>
      <c r="L22" s="4">
        <v>3803650</v>
      </c>
      <c r="M22" s="4">
        <v>19534045</v>
      </c>
      <c r="N22" s="4">
        <f t="shared" si="37"/>
        <v>79916746.699999988</v>
      </c>
      <c r="O22" s="12">
        <f t="shared" si="38"/>
        <v>0.36341584637905661</v>
      </c>
      <c r="P22" s="12">
        <f t="shared" si="39"/>
        <v>6.7643990242929483E-2</v>
      </c>
      <c r="Q22" s="12">
        <f t="shared" si="40"/>
        <v>0.10800457158365789</v>
      </c>
      <c r="R22" s="12">
        <f t="shared" si="41"/>
        <v>0.1838088165302694</v>
      </c>
      <c r="S22" s="12">
        <f t="shared" si="42"/>
        <v>2.9767601372450894E-2</v>
      </c>
      <c r="T22" s="12">
        <f t="shared" si="43"/>
        <v>5.0554022628821152E-2</v>
      </c>
      <c r="U22" s="12">
        <f t="shared" si="44"/>
        <v>7.24983740433904E-3</v>
      </c>
      <c r="V22" s="12">
        <f t="shared" si="45"/>
        <v>3.7232303208508143E-2</v>
      </c>
      <c r="W22" s="12">
        <f t="shared" si="46"/>
        <v>0.15232301064996739</v>
      </c>
      <c r="X22" s="4">
        <f t="shared" si="47"/>
        <v>284447451.67270559</v>
      </c>
      <c r="Y22" s="4">
        <v>565839370.74339688</v>
      </c>
      <c r="Z22" s="4">
        <f>(X22*O$22*(1-O$2))+(X22*P$22*(1-O$2))+(X22*Q$22*(1-Q$2))+(X22*R$22*(1-R$2))+(X22*S$22*(1-S$2))+(X22*T$22*(1-T$2))+(X22*U$22*(1-U$2))+(X22*V$22*(1-V$2))+(X22*W$22*(1-W$2))</f>
        <v>267228838.55918276</v>
      </c>
      <c r="AA22" s="18">
        <f t="shared" si="2"/>
        <v>0.114873</v>
      </c>
      <c r="AB22" s="7">
        <f t="shared" ref="AB22" si="85">(X22*O22*(1-O$2))+(X22*P22*(1-AA22-O$2))+(X22*Q22*(1-Q$2))+(X22*R22*(1-R$2))+(X22*S22*(1-S$2))+(X22*T22*(1-T$2))+(X22*U22*(1-U$2))+(X22*V22*(1-V$2))+(X22*W22*(1-W$2))</f>
        <v>265018548.71234369</v>
      </c>
      <c r="AC22" s="4">
        <f t="shared" si="3"/>
        <v>286825051.06264532</v>
      </c>
      <c r="AD22" s="4">
        <f t="shared" si="4"/>
        <v>267233748.51826853</v>
      </c>
      <c r="AE22" s="18">
        <f t="shared" si="5"/>
        <v>8.6354E-2</v>
      </c>
      <c r="AF22" s="4">
        <f t="shared" si="6"/>
        <v>266943976.40790033</v>
      </c>
      <c r="AG22" s="4">
        <f t="shared" si="7"/>
        <v>287137104.83904588</v>
      </c>
      <c r="AH22" s="4">
        <f t="shared" si="8"/>
        <v>267234400.39847171</v>
      </c>
      <c r="AI22" s="4">
        <f t="shared" si="9"/>
        <v>902197.96310447156</v>
      </c>
      <c r="AJ22" s="4">
        <f t="shared" si="50"/>
        <v>1410598.3767796624</v>
      </c>
      <c r="AK22" s="4">
        <f t="shared" si="10"/>
        <v>288656169.42362332</v>
      </c>
      <c r="AL22" s="4">
        <f t="shared" si="11"/>
        <v>268648172.10050809</v>
      </c>
      <c r="AM22" s="7">
        <f t="shared" si="12"/>
        <v>1411742.0899015665</v>
      </c>
      <c r="AN22" s="12">
        <f t="shared" si="13"/>
        <v>1.4459977351506918E-2</v>
      </c>
      <c r="AO22" s="4">
        <f t="shared" si="14"/>
        <v>267236430.01060653</v>
      </c>
      <c r="AP22" s="4">
        <f t="shared" si="15"/>
        <v>0</v>
      </c>
      <c r="AQ22" s="4"/>
      <c r="AR22" s="18">
        <f t="shared" si="16"/>
        <v>0.17991585842641533</v>
      </c>
      <c r="AS22" s="18">
        <f t="shared" si="71"/>
        <v>0.10291585842641533</v>
      </c>
      <c r="AT22" s="18">
        <f t="shared" si="17"/>
        <v>7.2835586965737775E-2</v>
      </c>
      <c r="AU22" s="18">
        <f t="shared" si="72"/>
        <v>-4.1644130342622238E-3</v>
      </c>
      <c r="AV22" s="18">
        <f t="shared" si="18"/>
        <v>0.93068571039702241</v>
      </c>
      <c r="AW22" s="18">
        <f t="shared" si="19"/>
        <v>0.59525288418915312</v>
      </c>
      <c r="AY22" s="7">
        <f t="shared" si="20"/>
        <v>7959698.7778001623</v>
      </c>
      <c r="AZ22" s="7">
        <f t="shared" si="21"/>
        <v>1481569.3697092482</v>
      </c>
      <c r="BA22" s="7">
        <f t="shared" si="22"/>
        <v>2365565.1370099825</v>
      </c>
      <c r="BB22" s="7">
        <f t="shared" si="23"/>
        <v>4025864.1081898483</v>
      </c>
      <c r="BC22" s="7">
        <f t="shared" si="24"/>
        <v>1385915.720813574</v>
      </c>
      <c r="BD22" s="5">
        <f t="shared" si="25"/>
        <v>0</v>
      </c>
      <c r="BF22" s="7">
        <f t="shared" si="26"/>
        <v>8077471.4115189267</v>
      </c>
      <c r="BG22" s="7">
        <f t="shared" si="27"/>
        <v>3746484.3971474492</v>
      </c>
      <c r="BH22" s="7">
        <f t="shared" si="28"/>
        <v>2692188.3583811321</v>
      </c>
      <c r="BI22" s="7">
        <f t="shared" si="29"/>
        <v>4085431.2642156198</v>
      </c>
      <c r="BJ22" s="7">
        <f t="shared" si="30"/>
        <v>1406421.8918520673</v>
      </c>
      <c r="BK22" s="5">
        <f t="shared" si="51"/>
        <v>-3.7252902984619141E-8</v>
      </c>
      <c r="BM22" s="4">
        <f t="shared" si="31"/>
        <v>284447451.67270559</v>
      </c>
      <c r="BN22" s="4">
        <f t="shared" si="52"/>
        <v>7959698.7778001623</v>
      </c>
      <c r="BO22" s="4">
        <f t="shared" si="53"/>
        <v>1481569.3697092482</v>
      </c>
      <c r="BP22" s="4">
        <f t="shared" si="54"/>
        <v>2365565.1370099825</v>
      </c>
      <c r="BQ22" s="4">
        <f t="shared" si="55"/>
        <v>4025864.1081898483</v>
      </c>
      <c r="BR22" s="4">
        <f t="shared" si="56"/>
        <v>1385915.720813574</v>
      </c>
      <c r="BS22" s="4">
        <f t="shared" si="57"/>
        <v>267228838.55918276</v>
      </c>
      <c r="BU22" s="4">
        <f t="shared" si="58"/>
        <v>288656169.42362332</v>
      </c>
      <c r="BV22" s="4">
        <f t="shared" si="59"/>
        <v>8077471.4115189267</v>
      </c>
      <c r="BW22" s="4">
        <f t="shared" si="60"/>
        <v>1411742.0899015665</v>
      </c>
      <c r="BX22" s="4">
        <f t="shared" si="61"/>
        <v>3746484.3971474492</v>
      </c>
      <c r="BY22" s="4">
        <f t="shared" si="62"/>
        <v>2692188.3583811321</v>
      </c>
      <c r="BZ22" s="4">
        <f t="shared" si="63"/>
        <v>4085431.2642156198</v>
      </c>
      <c r="CA22" s="4">
        <f t="shared" si="64"/>
        <v>1406421.8918520673</v>
      </c>
      <c r="CB22" s="4">
        <f t="shared" si="65"/>
        <v>267236430.01060656</v>
      </c>
      <c r="CD22" s="4">
        <f t="shared" si="66"/>
        <v>7591.4514237940311</v>
      </c>
      <c r="CE22" s="18">
        <f t="shared" si="67"/>
        <v>2.840805455251329E-5</v>
      </c>
      <c r="CF22" s="5">
        <f t="shared" si="34"/>
        <v>103372711.40000211</v>
      </c>
      <c r="CG22" s="5">
        <f t="shared" si="35"/>
        <v>95413012.622201949</v>
      </c>
      <c r="CH22" s="5">
        <f t="shared" si="36"/>
        <v>95413012.622201934</v>
      </c>
      <c r="CI22" s="5">
        <f t="shared" si="68"/>
        <v>0</v>
      </c>
      <c r="CK22" s="6">
        <f t="shared" si="69"/>
        <v>7.7000000000000068E-2</v>
      </c>
      <c r="CL22" s="6">
        <f t="shared" si="70"/>
        <v>7.6999999999999957E-2</v>
      </c>
    </row>
    <row r="23" spans="1:90" x14ac:dyDescent="0.25">
      <c r="A23" s="1">
        <v>28</v>
      </c>
      <c r="B23" s="1">
        <v>210028</v>
      </c>
      <c r="D23" s="4">
        <v>256129029.40000001</v>
      </c>
      <c r="E23" s="4">
        <v>90154632.5</v>
      </c>
      <c r="F23" s="4">
        <v>8953854.272201065</v>
      </c>
      <c r="G23" s="4">
        <v>15103519.427798934</v>
      </c>
      <c r="H23" s="4">
        <v>4452601.5999999996</v>
      </c>
      <c r="I23" s="4">
        <v>35609712</v>
      </c>
      <c r="J23" s="4">
        <v>8729617.5999999996</v>
      </c>
      <c r="K23" s="4">
        <v>22577486.700000003</v>
      </c>
      <c r="L23" s="4">
        <v>1180952.6000000001</v>
      </c>
      <c r="M23" s="4">
        <v>10697469</v>
      </c>
      <c r="N23" s="4">
        <f t="shared" si="37"/>
        <v>58669183.700000048</v>
      </c>
      <c r="O23" s="12">
        <f t="shared" si="38"/>
        <v>0.35198912326023124</v>
      </c>
      <c r="P23" s="12">
        <f t="shared" si="39"/>
        <v>3.4958373493141674E-2</v>
      </c>
      <c r="Q23" s="12">
        <f t="shared" si="40"/>
        <v>5.8968401446645759E-2</v>
      </c>
      <c r="R23" s="12">
        <f t="shared" si="41"/>
        <v>0.15641457625419791</v>
      </c>
      <c r="S23" s="12">
        <f t="shared" si="42"/>
        <v>3.4082890254375824E-2</v>
      </c>
      <c r="T23" s="12">
        <f t="shared" si="43"/>
        <v>8.8148878527706642E-2</v>
      </c>
      <c r="U23" s="12">
        <f t="shared" si="44"/>
        <v>4.6107721673191958E-3</v>
      </c>
      <c r="V23" s="12">
        <f t="shared" si="45"/>
        <v>4.1765937367816378E-2</v>
      </c>
      <c r="W23" s="12">
        <f t="shared" si="46"/>
        <v>0.22906104722856552</v>
      </c>
      <c r="X23" s="4">
        <f t="shared" si="47"/>
        <v>143490371.83308229</v>
      </c>
      <c r="Y23" s="4">
        <v>285439371.06242752</v>
      </c>
      <c r="Z23" s="4">
        <f>(X23*O$23*(1-O$2))+(X23*P$23*(1-O$2))+(X23*Q$23*(1-Q$2))+(X23*R$23*(1-R$2))+(X23*S$23*(1-S$2))+(X23*T$23*(1-T$2))+(X23*U$23*(1-U$2))+(X23*V$23*(1-V$2))+(X23*W$23*(1-W$2))</f>
        <v>135801766.62407613</v>
      </c>
      <c r="AA23" s="18">
        <f t="shared" si="2"/>
        <v>0.114873</v>
      </c>
      <c r="AB23" s="7">
        <f t="shared" ref="AB23" si="86">(X23*O23*(1-O$2))+(X23*P23*(1-AA23-O$2))+(X23*Q23*(1-Q$2))+(X23*R23*(1-R$2))+(X23*S23*(1-S$2))+(X23*T23*(1-T$2))+(X23*U23*(1-U$2))+(X23*V23*(1-V$2))+(X23*W23*(1-W$2))</f>
        <v>135225541.82891834</v>
      </c>
      <c r="AC23" s="4">
        <f t="shared" si="3"/>
        <v>144102889.95145884</v>
      </c>
      <c r="AD23" s="4">
        <f t="shared" si="4"/>
        <v>135802779.82321283</v>
      </c>
      <c r="AE23" s="18">
        <f t="shared" si="5"/>
        <v>8.6354E-2</v>
      </c>
      <c r="AF23" s="4">
        <f t="shared" si="6"/>
        <v>135723294.04859355</v>
      </c>
      <c r="AG23" s="4">
        <f t="shared" si="7"/>
        <v>144187434.10142097</v>
      </c>
      <c r="AH23" s="4">
        <f t="shared" si="8"/>
        <v>135802921.94869512</v>
      </c>
      <c r="AI23" s="4">
        <f t="shared" si="9"/>
        <v>226465.74476516992</v>
      </c>
      <c r="AJ23" s="4">
        <f t="shared" si="50"/>
        <v>345719.94278466224</v>
      </c>
      <c r="AK23" s="4">
        <f t="shared" si="10"/>
        <v>144555155.22922888</v>
      </c>
      <c r="AL23" s="4">
        <f t="shared" si="11"/>
        <v>136149260.06012481</v>
      </c>
      <c r="AM23" s="7">
        <f t="shared" si="12"/>
        <v>345933.17666817456</v>
      </c>
      <c r="AN23" s="12">
        <f t="shared" si="13"/>
        <v>7.2185120522087667E-3</v>
      </c>
      <c r="AO23" s="4">
        <f t="shared" si="14"/>
        <v>135803326.88345665</v>
      </c>
      <c r="AP23" s="4">
        <f t="shared" si="15"/>
        <v>0</v>
      </c>
      <c r="AQ23" s="4"/>
      <c r="AR23" s="18">
        <f t="shared" si="16"/>
        <v>0.18587621986356884</v>
      </c>
      <c r="AS23" s="18">
        <f t="shared" si="71"/>
        <v>0.10887621986356884</v>
      </c>
      <c r="AT23" s="18">
        <f t="shared" si="17"/>
        <v>7.9574206496590527E-2</v>
      </c>
      <c r="AU23" s="18">
        <f t="shared" si="72"/>
        <v>2.5742064965905281E-3</v>
      </c>
      <c r="AV23" s="18">
        <f t="shared" si="18"/>
        <v>0.94184991081242064</v>
      </c>
      <c r="AW23" s="18">
        <f t="shared" si="19"/>
        <v>0.61696395004322713</v>
      </c>
      <c r="AY23" s="7">
        <f t="shared" si="20"/>
        <v>3889042.8636914631</v>
      </c>
      <c r="AZ23" s="7">
        <f t="shared" si="21"/>
        <v>386246.63086322136</v>
      </c>
      <c r="BA23" s="7">
        <f t="shared" si="22"/>
        <v>651527.63444858836</v>
      </c>
      <c r="BB23" s="7">
        <f t="shared" si="23"/>
        <v>1728186.8994258223</v>
      </c>
      <c r="BC23" s="7">
        <f t="shared" si="24"/>
        <v>1033601.1805770602</v>
      </c>
      <c r="BD23" s="5">
        <f t="shared" si="25"/>
        <v>0</v>
      </c>
      <c r="BF23" s="7">
        <f t="shared" si="26"/>
        <v>3917901.8610949838</v>
      </c>
      <c r="BG23" s="7">
        <f t="shared" si="27"/>
        <v>969613.5330530199</v>
      </c>
      <c r="BH23" s="7">
        <f t="shared" si="28"/>
        <v>736097.5945219429</v>
      </c>
      <c r="BI23" s="7">
        <f t="shared" si="29"/>
        <v>1741011.0679915519</v>
      </c>
      <c r="BJ23" s="7">
        <f t="shared" si="30"/>
        <v>1041271.1124425672</v>
      </c>
      <c r="BK23" s="5">
        <f t="shared" si="51"/>
        <v>0</v>
      </c>
      <c r="BM23" s="4">
        <f t="shared" si="31"/>
        <v>143490371.83308229</v>
      </c>
      <c r="BN23" s="4">
        <f t="shared" si="52"/>
        <v>3889042.8636914631</v>
      </c>
      <c r="BO23" s="4">
        <f t="shared" si="53"/>
        <v>386246.63086322136</v>
      </c>
      <c r="BP23" s="4">
        <f t="shared" si="54"/>
        <v>651527.63444858836</v>
      </c>
      <c r="BQ23" s="4">
        <f t="shared" si="55"/>
        <v>1728186.8994258223</v>
      </c>
      <c r="BR23" s="4">
        <f t="shared" si="56"/>
        <v>1033601.1805770602</v>
      </c>
      <c r="BS23" s="4">
        <f t="shared" si="57"/>
        <v>135801766.62407613</v>
      </c>
      <c r="BU23" s="4">
        <f t="shared" si="58"/>
        <v>144555155.22922888</v>
      </c>
      <c r="BV23" s="4">
        <f t="shared" si="59"/>
        <v>3917901.8610949838</v>
      </c>
      <c r="BW23" s="4">
        <f t="shared" si="60"/>
        <v>345933.17666817456</v>
      </c>
      <c r="BX23" s="4">
        <f t="shared" si="61"/>
        <v>969613.5330530199</v>
      </c>
      <c r="BY23" s="4">
        <f t="shared" si="62"/>
        <v>736097.5945219429</v>
      </c>
      <c r="BZ23" s="4">
        <f t="shared" si="63"/>
        <v>1741011.0679915519</v>
      </c>
      <c r="CA23" s="4">
        <f t="shared" si="64"/>
        <v>1041271.1124425672</v>
      </c>
      <c r="CB23" s="4">
        <f t="shared" si="65"/>
        <v>135803326.88345665</v>
      </c>
      <c r="CD23" s="4">
        <f t="shared" si="66"/>
        <v>1560.2593805193901</v>
      </c>
      <c r="CE23" s="18">
        <f t="shared" si="67"/>
        <v>1.1489242145416787E-5</v>
      </c>
      <c r="CF23" s="5">
        <f t="shared" si="34"/>
        <v>50507050.177811213</v>
      </c>
      <c r="CG23" s="5">
        <f t="shared" si="35"/>
        <v>46618007.314119749</v>
      </c>
      <c r="CH23" s="5">
        <f t="shared" si="36"/>
        <v>46618007.314119749</v>
      </c>
      <c r="CI23" s="5">
        <f t="shared" si="68"/>
        <v>0</v>
      </c>
      <c r="CK23" s="6">
        <f t="shared" si="69"/>
        <v>7.7000000000000068E-2</v>
      </c>
      <c r="CL23" s="6">
        <f t="shared" si="70"/>
        <v>7.7000000000000068E-2</v>
      </c>
    </row>
    <row r="24" spans="1:90" x14ac:dyDescent="0.25">
      <c r="A24" s="1">
        <v>29</v>
      </c>
      <c r="B24" s="1">
        <v>210029</v>
      </c>
      <c r="D24" s="4">
        <v>867460832.9000001</v>
      </c>
      <c r="E24" s="4">
        <v>284751696.10000002</v>
      </c>
      <c r="F24" s="4">
        <v>20929923.812608566</v>
      </c>
      <c r="G24" s="4">
        <v>14269251.787391435</v>
      </c>
      <c r="H24" s="4">
        <v>73115404.299999997</v>
      </c>
      <c r="I24" s="4">
        <v>143235366.59999999</v>
      </c>
      <c r="J24" s="4">
        <v>52084129.100000001</v>
      </c>
      <c r="K24" s="4">
        <v>63113180.5</v>
      </c>
      <c r="L24" s="4">
        <v>4608850.4000000004</v>
      </c>
      <c r="M24" s="4">
        <v>35708000</v>
      </c>
      <c r="N24" s="4">
        <f t="shared" si="37"/>
        <v>175645030.30000007</v>
      </c>
      <c r="O24" s="12">
        <f t="shared" si="38"/>
        <v>0.32825885077490974</v>
      </c>
      <c r="P24" s="12">
        <f t="shared" si="39"/>
        <v>2.4127802684344762E-2</v>
      </c>
      <c r="Q24" s="12">
        <f t="shared" si="40"/>
        <v>1.644944791304068E-2</v>
      </c>
      <c r="R24" s="12">
        <f t="shared" si="41"/>
        <v>0.24940696189904016</v>
      </c>
      <c r="S24" s="12">
        <f t="shared" si="42"/>
        <v>6.0042052764362905E-2</v>
      </c>
      <c r="T24" s="12">
        <f t="shared" si="43"/>
        <v>7.2756230721111551E-2</v>
      </c>
      <c r="U24" s="12">
        <f t="shared" si="44"/>
        <v>5.3130357304919419E-3</v>
      </c>
      <c r="V24" s="12">
        <f t="shared" si="45"/>
        <v>4.1163818175657479E-2</v>
      </c>
      <c r="W24" s="12">
        <f t="shared" si="46"/>
        <v>0.20248179933704077</v>
      </c>
      <c r="X24" s="4">
        <f t="shared" si="47"/>
        <v>460410634.44041717</v>
      </c>
      <c r="Y24" s="4">
        <v>915875540.9596523</v>
      </c>
      <c r="Z24" s="4">
        <f>(X24*O$24*(1-O$2))+(X24*P$24*(1-O$2))+(X24*Q$24*(1-Q$2))+(X24*R$24*(1-R$2))+(X24*S$24*(1-S$2))+(X24*T$24*(1-T$2))+(X24*U$24*(1-U$2))+(X24*V$24*(1-V$2))+(X24*W$24*(1-W$2))</f>
        <v>435287553.12848675</v>
      </c>
      <c r="AA24" s="18">
        <f t="shared" si="2"/>
        <v>0.114873</v>
      </c>
      <c r="AB24" s="7">
        <f t="shared" ref="AB24" si="87">(X24*O24*(1-O$2))+(X24*P24*(1-AA24-O$2))+(X24*Q24*(1-Q$2))+(X24*R24*(1-R$2))+(X24*S24*(1-S$2))+(X24*T24*(1-T$2))+(X24*U24*(1-U$2))+(X24*V24*(1-V$2))+(X24*W24*(1-W$2))</f>
        <v>434011463.78471982</v>
      </c>
      <c r="AC24" s="4">
        <f t="shared" si="3"/>
        <v>461766351.07714337</v>
      </c>
      <c r="AD24" s="4">
        <f t="shared" si="4"/>
        <v>435289445.91190934</v>
      </c>
      <c r="AE24" s="18">
        <f t="shared" si="5"/>
        <v>8.6354E-2</v>
      </c>
      <c r="AF24" s="4">
        <f t="shared" si="6"/>
        <v>435218394.78430378</v>
      </c>
      <c r="AG24" s="4">
        <f t="shared" si="7"/>
        <v>461841848.72116292</v>
      </c>
      <c r="AH24" s="4">
        <f t="shared" si="8"/>
        <v>435289551.90383732</v>
      </c>
      <c r="AI24" s="4">
        <f t="shared" si="9"/>
        <v>433633.48087444901</v>
      </c>
      <c r="AJ24" s="4">
        <f t="shared" si="50"/>
        <v>639072.76669143362</v>
      </c>
      <c r="AK24" s="4">
        <f t="shared" si="10"/>
        <v>462520915.89248353</v>
      </c>
      <c r="AL24" s="4">
        <f t="shared" si="11"/>
        <v>435929578.01999646</v>
      </c>
      <c r="AM24" s="7">
        <f t="shared" si="12"/>
        <v>639379.23481836915</v>
      </c>
      <c r="AN24" s="12">
        <f t="shared" si="13"/>
        <v>4.4681294375669431E-3</v>
      </c>
      <c r="AO24" s="4">
        <f t="shared" si="14"/>
        <v>435290198.78517807</v>
      </c>
      <c r="AP24" s="4">
        <f t="shared" si="15"/>
        <v>0</v>
      </c>
      <c r="AQ24" s="4"/>
      <c r="AR24" s="18">
        <f t="shared" si="16"/>
        <v>0.18816896866048338</v>
      </c>
      <c r="AS24" s="18">
        <f t="shared" si="71"/>
        <v>0.11116896866048338</v>
      </c>
      <c r="AT24" s="18">
        <f t="shared" si="17"/>
        <v>8.2166324774170629E-2</v>
      </c>
      <c r="AU24" s="18">
        <f t="shared" si="72"/>
        <v>5.1663247741706303E-3</v>
      </c>
      <c r="AV24" s="18">
        <f t="shared" si="18"/>
        <v>0.94250781541159867</v>
      </c>
      <c r="AW24" s="18">
        <f t="shared" si="19"/>
        <v>0.6395248961463571</v>
      </c>
      <c r="AY24" s="7">
        <f t="shared" si="20"/>
        <v>11637307.662438799</v>
      </c>
      <c r="AZ24" s="7">
        <f t="shared" si="21"/>
        <v>855369.66449953266</v>
      </c>
      <c r="BA24" s="7">
        <f t="shared" si="22"/>
        <v>583159.55773749948</v>
      </c>
      <c r="BB24" s="7">
        <f t="shared" si="23"/>
        <v>8841880.5522581395</v>
      </c>
      <c r="BC24" s="7">
        <f t="shared" si="24"/>
        <v>3205363.8749964684</v>
      </c>
      <c r="BD24" s="5">
        <f t="shared" si="25"/>
        <v>0</v>
      </c>
      <c r="BF24" s="7">
        <f t="shared" si="26"/>
        <v>11690646.991887351</v>
      </c>
      <c r="BG24" s="7">
        <f t="shared" si="27"/>
        <v>2141228.5011376659</v>
      </c>
      <c r="BH24" s="7">
        <f t="shared" si="28"/>
        <v>656999.68711620534</v>
      </c>
      <c r="BI24" s="7">
        <f t="shared" si="29"/>
        <v>8882407.1064579468</v>
      </c>
      <c r="BJ24" s="7">
        <f t="shared" si="30"/>
        <v>3220055.5858878773</v>
      </c>
      <c r="BK24" s="5">
        <f t="shared" si="51"/>
        <v>0</v>
      </c>
      <c r="BM24" s="4">
        <f t="shared" si="31"/>
        <v>460410634.44041717</v>
      </c>
      <c r="BN24" s="4">
        <f t="shared" si="52"/>
        <v>11637307.662438799</v>
      </c>
      <c r="BO24" s="4">
        <f t="shared" si="53"/>
        <v>855369.66449953266</v>
      </c>
      <c r="BP24" s="4">
        <f t="shared" si="54"/>
        <v>583159.55773749948</v>
      </c>
      <c r="BQ24" s="4">
        <f t="shared" si="55"/>
        <v>8841880.5522581395</v>
      </c>
      <c r="BR24" s="4">
        <f t="shared" si="56"/>
        <v>3205363.8749964684</v>
      </c>
      <c r="BS24" s="4">
        <f t="shared" si="57"/>
        <v>435287553.12848675</v>
      </c>
      <c r="BU24" s="4">
        <f t="shared" si="58"/>
        <v>462520915.89248353</v>
      </c>
      <c r="BV24" s="4">
        <f t="shared" si="59"/>
        <v>11690646.991887351</v>
      </c>
      <c r="BW24" s="4">
        <f t="shared" si="60"/>
        <v>639379.23481836915</v>
      </c>
      <c r="BX24" s="4">
        <f t="shared" si="61"/>
        <v>2141228.5011376659</v>
      </c>
      <c r="BY24" s="4">
        <f t="shared" si="62"/>
        <v>656999.68711620534</v>
      </c>
      <c r="BZ24" s="4">
        <f t="shared" si="63"/>
        <v>8882407.1064579468</v>
      </c>
      <c r="CA24" s="4">
        <f t="shared" si="64"/>
        <v>3220055.5858878773</v>
      </c>
      <c r="CB24" s="4">
        <f t="shared" si="65"/>
        <v>435290198.78517812</v>
      </c>
      <c r="CD24" s="4">
        <f t="shared" si="66"/>
        <v>2645.6566913723946</v>
      </c>
      <c r="CE24" s="18">
        <f t="shared" si="67"/>
        <v>6.0779516261322046E-6</v>
      </c>
      <c r="CF24" s="5">
        <f t="shared" si="34"/>
        <v>151133865.74595842</v>
      </c>
      <c r="CG24" s="5">
        <f t="shared" si="35"/>
        <v>139496558.08351961</v>
      </c>
      <c r="CH24" s="5">
        <f t="shared" si="36"/>
        <v>139496558.08351961</v>
      </c>
      <c r="CI24" s="5">
        <f t="shared" si="68"/>
        <v>0</v>
      </c>
      <c r="CK24" s="6">
        <f t="shared" si="69"/>
        <v>7.7000000000000068E-2</v>
      </c>
      <c r="CL24" s="6">
        <f t="shared" si="70"/>
        <v>7.7000000000000068E-2</v>
      </c>
    </row>
    <row r="25" spans="1:90" x14ac:dyDescent="0.25">
      <c r="A25" s="1">
        <v>30</v>
      </c>
      <c r="B25" s="1">
        <v>210030</v>
      </c>
      <c r="D25" s="4">
        <v>59088059.300000004</v>
      </c>
      <c r="E25" s="4">
        <v>26039694.300000001</v>
      </c>
      <c r="F25" s="4">
        <v>2450545.3919137856</v>
      </c>
      <c r="G25" s="4">
        <v>4057899.6080862144</v>
      </c>
      <c r="H25" s="4">
        <v>464068.5</v>
      </c>
      <c r="I25" s="4">
        <v>9357654.5999999996</v>
      </c>
      <c r="J25" s="4">
        <v>652338.9</v>
      </c>
      <c r="K25" s="4">
        <v>6483227.5</v>
      </c>
      <c r="L25" s="4">
        <v>333066.59999999998</v>
      </c>
      <c r="M25" s="4">
        <v>3116000</v>
      </c>
      <c r="N25" s="4">
        <f t="shared" si="37"/>
        <v>6133563.900000006</v>
      </c>
      <c r="O25" s="12">
        <f t="shared" si="38"/>
        <v>0.44069300309546633</v>
      </c>
      <c r="P25" s="12">
        <f t="shared" si="39"/>
        <v>4.1472768287615522E-2</v>
      </c>
      <c r="Q25" s="12">
        <f t="shared" si="40"/>
        <v>6.8675459240987696E-2</v>
      </c>
      <c r="R25" s="12">
        <f t="shared" si="41"/>
        <v>0.16622179195518103</v>
      </c>
      <c r="S25" s="12">
        <f t="shared" si="42"/>
        <v>1.1040113818732239E-2</v>
      </c>
      <c r="T25" s="12">
        <f t="shared" si="43"/>
        <v>0.10972144925396118</v>
      </c>
      <c r="U25" s="12">
        <f t="shared" si="44"/>
        <v>5.6367835387682117E-3</v>
      </c>
      <c r="V25" s="12">
        <f t="shared" si="45"/>
        <v>5.2734850948133946E-2</v>
      </c>
      <c r="W25" s="12">
        <f t="shared" si="46"/>
        <v>0.10380377986115387</v>
      </c>
      <c r="X25" s="4">
        <f t="shared" si="47"/>
        <v>31532745.787087768</v>
      </c>
      <c r="Y25" s="4">
        <v>62726767.032201655</v>
      </c>
      <c r="Z25" s="4">
        <f>(X25*O$25*(1-O$2))+(X25*P$25*(1-O$2))+(X25*Q$25*(1-Q$2))+(X25*R$25*(1-R$2))+(X25*S$25*(1-S$2))+(X25*T$25*(1-T$2))+(X25*U$25*(1-U$2))+(X25*V$25*(1-V$2))+(X25*W$25*(1-W$2))</f>
        <v>29645652.9893253</v>
      </c>
      <c r="AA25" s="18">
        <f t="shared" si="2"/>
        <v>0.114873</v>
      </c>
      <c r="AB25" s="7">
        <f t="shared" ref="AB25" si="88">(X25*O25*(1-O$2))+(X25*P25*(1-AA25-O$2))+(X25*Q25*(1-Q$2))+(X25*R25*(1-R$2))+(X25*S25*(1-S$2))+(X25*T25*(1-T$2))+(X25*U25*(1-U$2))+(X25*V25*(1-V$2))+(X25*W25*(1-W$2))</f>
        <v>29495427.793765731</v>
      </c>
      <c r="AC25" s="4">
        <f t="shared" si="3"/>
        <v>31693627.033690847</v>
      </c>
      <c r="AD25" s="4">
        <f t="shared" si="4"/>
        <v>29645914.567882791</v>
      </c>
      <c r="AE25" s="18">
        <f t="shared" si="5"/>
        <v>8.6354E-2</v>
      </c>
      <c r="AF25" s="4">
        <f t="shared" si="6"/>
        <v>29625554.891024217</v>
      </c>
      <c r="AG25" s="4">
        <f t="shared" si="7"/>
        <v>31715446.409980789</v>
      </c>
      <c r="AH25" s="4">
        <f t="shared" si="8"/>
        <v>29645950.509653747</v>
      </c>
      <c r="AI25" s="4">
        <f t="shared" si="9"/>
        <v>74315.239935038611</v>
      </c>
      <c r="AJ25" s="4">
        <f t="shared" si="50"/>
        <v>131567.33494114302</v>
      </c>
      <c r="AK25" s="4">
        <f t="shared" si="10"/>
        <v>31856446.545124717</v>
      </c>
      <c r="AL25" s="4">
        <f t="shared" si="11"/>
        <v>29777750.105796777</v>
      </c>
      <c r="AM25" s="7">
        <f t="shared" si="12"/>
        <v>131668.40440798737</v>
      </c>
      <c r="AN25" s="12">
        <f t="shared" si="13"/>
        <v>1.0033524984479757E-2</v>
      </c>
      <c r="AO25" s="4">
        <f t="shared" si="14"/>
        <v>29646081.701388791</v>
      </c>
      <c r="AP25" s="4">
        <f t="shared" si="15"/>
        <v>0</v>
      </c>
      <c r="AQ25" s="4"/>
      <c r="AR25" s="18">
        <f t="shared" si="16"/>
        <v>0.18357713752559257</v>
      </c>
      <c r="AS25" s="18">
        <f t="shared" si="71"/>
        <v>0.10657713752559257</v>
      </c>
      <c r="AT25" s="18">
        <f t="shared" si="17"/>
        <v>7.6974927692934014E-2</v>
      </c>
      <c r="AU25" s="18">
        <f t="shared" si="72"/>
        <v>-2.5072307065984734E-5</v>
      </c>
      <c r="AV25" s="18">
        <f t="shared" si="18"/>
        <v>0.93474801289015508</v>
      </c>
      <c r="AW25" s="18">
        <f t="shared" si="19"/>
        <v>0.52798837103303975</v>
      </c>
      <c r="AY25" s="7">
        <f t="shared" si="20"/>
        <v>1070012.0536303369</v>
      </c>
      <c r="AZ25" s="7">
        <f t="shared" si="21"/>
        <v>100696.76998151351</v>
      </c>
      <c r="BA25" s="7">
        <f t="shared" si="22"/>
        <v>166745.48645043309</v>
      </c>
      <c r="BB25" s="7">
        <f t="shared" si="23"/>
        <v>403590.0722697624</v>
      </c>
      <c r="BC25" s="7">
        <f t="shared" si="24"/>
        <v>146048.41543042674</v>
      </c>
      <c r="BD25" s="5">
        <f t="shared" si="25"/>
        <v>4.1909515857696533E-9</v>
      </c>
      <c r="BF25" s="7">
        <f t="shared" si="26"/>
        <v>1080996.3083859328</v>
      </c>
      <c r="BG25" s="7">
        <f t="shared" si="27"/>
        <v>253497.81576998523</v>
      </c>
      <c r="BH25" s="7">
        <f t="shared" si="28"/>
        <v>188921.48993750822</v>
      </c>
      <c r="BI25" s="7">
        <f t="shared" si="29"/>
        <v>407733.1435142401</v>
      </c>
      <c r="BJ25" s="7">
        <f t="shared" si="30"/>
        <v>147547.68172027465</v>
      </c>
      <c r="BK25" s="5">
        <f t="shared" si="51"/>
        <v>0</v>
      </c>
      <c r="BM25" s="4">
        <f t="shared" si="31"/>
        <v>31532745.787087768</v>
      </c>
      <c r="BN25" s="4">
        <f t="shared" si="52"/>
        <v>1070012.0536303369</v>
      </c>
      <c r="BO25" s="4">
        <f t="shared" si="53"/>
        <v>100696.76998151351</v>
      </c>
      <c r="BP25" s="4">
        <f t="shared" si="54"/>
        <v>166745.48645043309</v>
      </c>
      <c r="BQ25" s="4">
        <f t="shared" si="55"/>
        <v>403590.0722697624</v>
      </c>
      <c r="BR25" s="4">
        <f t="shared" si="56"/>
        <v>146048.41543042674</v>
      </c>
      <c r="BS25" s="4">
        <f t="shared" si="57"/>
        <v>29645652.989325296</v>
      </c>
      <c r="BU25" s="4">
        <f t="shared" si="58"/>
        <v>31856446.545124717</v>
      </c>
      <c r="BV25" s="4">
        <f t="shared" si="59"/>
        <v>1080996.3083859328</v>
      </c>
      <c r="BW25" s="4">
        <f t="shared" si="60"/>
        <v>131668.40440798737</v>
      </c>
      <c r="BX25" s="4">
        <f t="shared" si="61"/>
        <v>253497.81576998523</v>
      </c>
      <c r="BY25" s="4">
        <f t="shared" si="62"/>
        <v>188921.48993750822</v>
      </c>
      <c r="BZ25" s="4">
        <f t="shared" si="63"/>
        <v>407733.1435142401</v>
      </c>
      <c r="CA25" s="4">
        <f t="shared" si="64"/>
        <v>147547.68172027465</v>
      </c>
      <c r="CB25" s="4">
        <f t="shared" si="65"/>
        <v>29646081.701388787</v>
      </c>
      <c r="CD25" s="4">
        <f t="shared" si="66"/>
        <v>428.71206349134445</v>
      </c>
      <c r="CE25" s="18">
        <f t="shared" si="67"/>
        <v>1.4461211687450893E-5</v>
      </c>
      <c r="CF25" s="5">
        <f t="shared" si="34"/>
        <v>13896260.436757622</v>
      </c>
      <c r="CG25" s="5">
        <f t="shared" si="35"/>
        <v>12826248.383127285</v>
      </c>
      <c r="CH25" s="5">
        <f t="shared" si="36"/>
        <v>12826248.383127285</v>
      </c>
      <c r="CI25" s="5">
        <f t="shared" si="68"/>
        <v>0</v>
      </c>
      <c r="CK25" s="6">
        <f t="shared" si="69"/>
        <v>7.7000000000000068E-2</v>
      </c>
      <c r="CL25" s="6">
        <f t="shared" si="70"/>
        <v>7.7000000000000068E-2</v>
      </c>
    </row>
    <row r="26" spans="1:90" x14ac:dyDescent="0.25">
      <c r="A26" s="1">
        <v>32</v>
      </c>
      <c r="B26" s="1">
        <v>210032</v>
      </c>
      <c r="D26" s="4">
        <v>210231969.60000002</v>
      </c>
      <c r="E26" s="4">
        <v>68795602.899999991</v>
      </c>
      <c r="F26" s="4">
        <v>7818271.6810259987</v>
      </c>
      <c r="G26" s="4">
        <v>21046884.718974002</v>
      </c>
      <c r="H26" s="4">
        <v>3940451.9</v>
      </c>
      <c r="I26" s="4">
        <v>35025342.700000003</v>
      </c>
      <c r="J26" s="4">
        <v>5256184.9000000004</v>
      </c>
      <c r="K26" s="4">
        <v>11583044.9</v>
      </c>
      <c r="L26" s="4">
        <v>0</v>
      </c>
      <c r="M26" s="4">
        <v>10422600</v>
      </c>
      <c r="N26" s="4">
        <f t="shared" si="37"/>
        <v>46343585.900000036</v>
      </c>
      <c r="O26" s="12">
        <f t="shared" si="38"/>
        <v>0.32723663784768148</v>
      </c>
      <c r="P26" s="12">
        <f t="shared" si="39"/>
        <v>3.7188785777451029E-2</v>
      </c>
      <c r="Q26" s="12">
        <f t="shared" si="40"/>
        <v>0.10011267439019417</v>
      </c>
      <c r="R26" s="12">
        <f t="shared" si="41"/>
        <v>0.18534666575278091</v>
      </c>
      <c r="S26" s="12">
        <f t="shared" si="42"/>
        <v>2.500183444982575E-2</v>
      </c>
      <c r="T26" s="12">
        <f t="shared" si="43"/>
        <v>5.509649613252731E-2</v>
      </c>
      <c r="U26" s="12">
        <f t="shared" si="44"/>
        <v>0</v>
      </c>
      <c r="V26" s="12">
        <f t="shared" si="45"/>
        <v>4.9576665337011612E-2</v>
      </c>
      <c r="W26" s="12">
        <f t="shared" si="46"/>
        <v>0.22044024031252776</v>
      </c>
      <c r="X26" s="4">
        <f t="shared" si="47"/>
        <v>120962523.11157995</v>
      </c>
      <c r="Y26" s="4">
        <v>240625667.61802262</v>
      </c>
      <c r="Z26" s="4">
        <f>(X26*O$26*(1-O$2))+(X26*P$26*(1-O$2))+(X26*Q$26*(1-Q$2))+(X26*R$26*(1-R$2))+(X26*S$26*(1-S$2))+(X26*T$26*(1-T$2))+(X26*U$26*(1-U$2))+(X26*V$26*(1-V$2))+(X26*W$26*(1-W$2))</f>
        <v>114174783.36427885</v>
      </c>
      <c r="AA26" s="18">
        <f t="shared" si="2"/>
        <v>0.114873</v>
      </c>
      <c r="AB26" s="7">
        <f t="shared" ref="AB26" si="89">(X26*O26*(1-O$2))+(X26*P26*(1-AA26-O$2))+(X26*Q26*(1-Q$2))+(X26*R26*(1-R$2))+(X26*S26*(1-S$2))+(X26*T26*(1-T$2))+(X26*U26*(1-U$2))+(X26*V26*(1-V$2))+(X26*W26*(1-W$2))</f>
        <v>113658032.99105138</v>
      </c>
      <c r="AC26" s="4">
        <f t="shared" si="3"/>
        <v>121513452.23823692</v>
      </c>
      <c r="AD26" s="4">
        <f t="shared" si="4"/>
        <v>114175693.49649192</v>
      </c>
      <c r="AE26" s="18">
        <f t="shared" si="5"/>
        <v>8.6354E-2</v>
      </c>
      <c r="AF26" s="4">
        <f t="shared" si="6"/>
        <v>114061901.74340633</v>
      </c>
      <c r="AG26" s="4">
        <f t="shared" si="7"/>
        <v>121634896.7347884</v>
      </c>
      <c r="AH26" s="4">
        <f t="shared" si="8"/>
        <v>114175898.91802181</v>
      </c>
      <c r="AI26" s="4">
        <f t="shared" si="9"/>
        <v>203083.33698081225</v>
      </c>
      <c r="AJ26" s="4">
        <f t="shared" si="50"/>
        <v>299431.96490843722</v>
      </c>
      <c r="AK26" s="4">
        <f t="shared" si="10"/>
        <v>121954466.1521114</v>
      </c>
      <c r="AL26" s="4">
        <f t="shared" si="11"/>
        <v>114475871.42976832</v>
      </c>
      <c r="AM26" s="7">
        <f t="shared" si="12"/>
        <v>299605.89739488065</v>
      </c>
      <c r="AN26" s="12">
        <f t="shared" si="13"/>
        <v>7.9978725208676039E-3</v>
      </c>
      <c r="AO26" s="4">
        <f t="shared" si="14"/>
        <v>114176265.53237344</v>
      </c>
      <c r="AP26" s="4">
        <f t="shared" si="15"/>
        <v>0</v>
      </c>
      <c r="AQ26" s="4"/>
      <c r="AR26" s="18">
        <f t="shared" si="16"/>
        <v>0.18524602221468944</v>
      </c>
      <c r="AS26" s="18">
        <f t="shared" si="71"/>
        <v>0.10824602221468944</v>
      </c>
      <c r="AT26" s="18">
        <f t="shared" si="17"/>
        <v>7.8861722492086339E-2</v>
      </c>
      <c r="AU26" s="18">
        <f t="shared" si="72"/>
        <v>1.8617224920863401E-3</v>
      </c>
      <c r="AV26" s="18">
        <f t="shared" si="18"/>
        <v>0.93867715584097466</v>
      </c>
      <c r="AW26" s="18">
        <f t="shared" si="19"/>
        <v>0.63663773910756449</v>
      </c>
      <c r="AY26" s="7">
        <f t="shared" si="20"/>
        <v>3047919.4413826535</v>
      </c>
      <c r="AZ26" s="7">
        <f t="shared" si="21"/>
        <v>346380.6006504317</v>
      </c>
      <c r="BA26" s="7">
        <f t="shared" si="22"/>
        <v>932460.89010581747</v>
      </c>
      <c r="BB26" s="7">
        <f t="shared" si="23"/>
        <v>1726340.0261626784</v>
      </c>
      <c r="BC26" s="7">
        <f t="shared" si="24"/>
        <v>734638.78899953701</v>
      </c>
      <c r="BD26" s="5">
        <f t="shared" si="25"/>
        <v>1.6763806343078613E-8</v>
      </c>
      <c r="BF26" s="7">
        <f t="shared" si="26"/>
        <v>3072913.649507687</v>
      </c>
      <c r="BG26" s="7">
        <f t="shared" si="27"/>
        <v>870209.00714460597</v>
      </c>
      <c r="BH26" s="7">
        <f t="shared" si="28"/>
        <v>1054312.1998543525</v>
      </c>
      <c r="BI26" s="7">
        <f t="shared" si="29"/>
        <v>1740496.7329714752</v>
      </c>
      <c r="BJ26" s="7">
        <f t="shared" si="30"/>
        <v>740663.13286495348</v>
      </c>
      <c r="BK26" s="5">
        <f t="shared" si="51"/>
        <v>0</v>
      </c>
      <c r="BM26" s="4">
        <f t="shared" si="31"/>
        <v>120962523.11157995</v>
      </c>
      <c r="BN26" s="4">
        <f t="shared" si="52"/>
        <v>3047919.4413826535</v>
      </c>
      <c r="BO26" s="4">
        <f t="shared" si="53"/>
        <v>346380.6006504317</v>
      </c>
      <c r="BP26" s="4">
        <f t="shared" si="54"/>
        <v>932460.89010581747</v>
      </c>
      <c r="BQ26" s="4">
        <f t="shared" si="55"/>
        <v>1726340.0261626784</v>
      </c>
      <c r="BR26" s="4">
        <f t="shared" si="56"/>
        <v>734638.78899953701</v>
      </c>
      <c r="BS26" s="4">
        <f t="shared" si="57"/>
        <v>114174783.36427884</v>
      </c>
      <c r="BU26" s="4">
        <f t="shared" si="58"/>
        <v>121954466.1521114</v>
      </c>
      <c r="BV26" s="4">
        <f t="shared" si="59"/>
        <v>3072913.649507687</v>
      </c>
      <c r="BW26" s="4">
        <f t="shared" si="60"/>
        <v>299605.89739488065</v>
      </c>
      <c r="BX26" s="4">
        <f t="shared" si="61"/>
        <v>870209.00714460597</v>
      </c>
      <c r="BY26" s="4">
        <f t="shared" si="62"/>
        <v>1054312.1998543525</v>
      </c>
      <c r="BZ26" s="4">
        <f t="shared" si="63"/>
        <v>1740496.7329714752</v>
      </c>
      <c r="CA26" s="4">
        <f t="shared" si="64"/>
        <v>740663.13286495348</v>
      </c>
      <c r="CB26" s="4">
        <f t="shared" si="65"/>
        <v>114176265.53237344</v>
      </c>
      <c r="CD26" s="4">
        <f t="shared" si="66"/>
        <v>1482.1680946052074</v>
      </c>
      <c r="CE26" s="18">
        <f t="shared" si="67"/>
        <v>1.2981571332404421E-5</v>
      </c>
      <c r="CF26" s="5">
        <f t="shared" si="34"/>
        <v>39583369.368605889</v>
      </c>
      <c r="CG26" s="5">
        <f t="shared" si="35"/>
        <v>36535449.927223235</v>
      </c>
      <c r="CH26" s="5">
        <f t="shared" si="36"/>
        <v>36535449.927223235</v>
      </c>
      <c r="CI26" s="5">
        <f t="shared" si="68"/>
        <v>0</v>
      </c>
      <c r="CK26" s="6">
        <f t="shared" si="69"/>
        <v>7.7000000000000068E-2</v>
      </c>
      <c r="CL26" s="6">
        <f t="shared" si="70"/>
        <v>7.7000000000000068E-2</v>
      </c>
    </row>
    <row r="27" spans="1:90" x14ac:dyDescent="0.25">
      <c r="A27" s="1">
        <v>33</v>
      </c>
      <c r="B27" s="1">
        <v>210033</v>
      </c>
      <c r="D27" s="4">
        <v>290567423</v>
      </c>
      <c r="E27" s="4">
        <v>121633864.8</v>
      </c>
      <c r="F27" s="4">
        <v>10224785.644049631</v>
      </c>
      <c r="G27" s="4">
        <v>22534610.85595037</v>
      </c>
      <c r="H27" s="4">
        <v>3967476.9</v>
      </c>
      <c r="I27" s="4">
        <v>38578485.600000001</v>
      </c>
      <c r="J27" s="4">
        <v>11622343.199999999</v>
      </c>
      <c r="K27" s="4">
        <v>13522623.9</v>
      </c>
      <c r="L27" s="4">
        <v>0</v>
      </c>
      <c r="M27" s="4">
        <v>9762159.5</v>
      </c>
      <c r="N27" s="4">
        <f t="shared" si="37"/>
        <v>58721072.599999994</v>
      </c>
      <c r="O27" s="12">
        <f t="shared" si="38"/>
        <v>0.41860805848149052</v>
      </c>
      <c r="P27" s="12">
        <f t="shared" si="39"/>
        <v>3.5189029583848536E-2</v>
      </c>
      <c r="Q27" s="12">
        <f t="shared" si="40"/>
        <v>7.7553810483256991E-2</v>
      </c>
      <c r="R27" s="12">
        <f t="shared" si="41"/>
        <v>0.1464237183257808</v>
      </c>
      <c r="S27" s="12">
        <f t="shared" si="42"/>
        <v>3.999878265775169E-2</v>
      </c>
      <c r="T27" s="12">
        <f t="shared" si="43"/>
        <v>4.6538678563425882E-2</v>
      </c>
      <c r="U27" s="12">
        <f t="shared" si="44"/>
        <v>0</v>
      </c>
      <c r="V27" s="12">
        <f t="shared" si="45"/>
        <v>3.3596882263019552E-2</v>
      </c>
      <c r="W27" s="12">
        <f t="shared" si="46"/>
        <v>0.202091039641426</v>
      </c>
      <c r="X27" s="4">
        <f t="shared" si="47"/>
        <v>162447134.33512449</v>
      </c>
      <c r="Y27" s="4">
        <v>323149262.6519286</v>
      </c>
      <c r="Z27" s="4">
        <f>(X27*O$27*(1-O$2))+(X27*P$27*(1-O$2))+(X27*Q$27*(1-Q$2))+(X27*R$27*(1-R$2))+(X27*S$27*(1-S$2))+(X27*T$27*(1-T$2))+(X27*U$27*(1-U$2))+(X27*V$27*(1-V$2))+(X27*W$27*(1-W$2))</f>
        <v>153015256.75282654</v>
      </c>
      <c r="AA27" s="18">
        <f t="shared" si="2"/>
        <v>0.114873</v>
      </c>
      <c r="AB27" s="7">
        <f t="shared" ref="AB27" si="90">(X27*O27*(1-O$2))+(X27*P27*(1-AA27-O$2))+(X27*Q27*(1-Q$2))+(X27*R27*(1-R$2))+(X27*S27*(1-S$2))+(X27*T27*(1-T$2))+(X27*U27*(1-U$2))+(X27*V27*(1-V$2))+(X27*W27*(1-W$2))</f>
        <v>152358601.67333561</v>
      </c>
      <c r="AC27" s="4">
        <f t="shared" si="3"/>
        <v>163148413.38527706</v>
      </c>
      <c r="AD27" s="4">
        <f t="shared" si="4"/>
        <v>153016328.85271218</v>
      </c>
      <c r="AE27" s="18">
        <f t="shared" si="5"/>
        <v>8.6354E-2</v>
      </c>
      <c r="AF27" s="4">
        <f t="shared" si="6"/>
        <v>152897974.73800042</v>
      </c>
      <c r="AG27" s="4">
        <f t="shared" si="7"/>
        <v>163274912.24276683</v>
      </c>
      <c r="AH27" s="4">
        <f t="shared" si="8"/>
        <v>153016525.80886605</v>
      </c>
      <c r="AI27" s="4">
        <f t="shared" si="9"/>
        <v>319832.88605858386</v>
      </c>
      <c r="AJ27" s="4">
        <f t="shared" si="50"/>
        <v>544190.98407578154</v>
      </c>
      <c r="AK27" s="4">
        <f t="shared" si="10"/>
        <v>163856552.6691218</v>
      </c>
      <c r="AL27" s="4">
        <f t="shared" si="11"/>
        <v>153561622.39528158</v>
      </c>
      <c r="AM27" s="7">
        <f t="shared" si="12"/>
        <v>544564.34420935065</v>
      </c>
      <c r="AN27" s="12">
        <f t="shared" si="13"/>
        <v>8.4714728979021492E-3</v>
      </c>
      <c r="AO27" s="4">
        <f t="shared" si="14"/>
        <v>153017058.05107224</v>
      </c>
      <c r="AP27" s="4">
        <f t="shared" si="15"/>
        <v>0</v>
      </c>
      <c r="AQ27" s="4"/>
      <c r="AR27" s="18">
        <f t="shared" si="16"/>
        <v>0.18486155584827657</v>
      </c>
      <c r="AS27" s="18">
        <f t="shared" si="71"/>
        <v>0.10786155584827657</v>
      </c>
      <c r="AT27" s="18">
        <f t="shared" si="17"/>
        <v>7.8427055468452966E-2</v>
      </c>
      <c r="AU27" s="18">
        <f t="shared" si="72"/>
        <v>1.4270554684529674E-3</v>
      </c>
      <c r="AV27" s="18">
        <f t="shared" si="18"/>
        <v>0.93717107978813075</v>
      </c>
      <c r="AW27" s="18">
        <f t="shared" si="19"/>
        <v>0.55079584180971486</v>
      </c>
      <c r="AY27" s="7">
        <f t="shared" si="20"/>
        <v>5236129.3222629419</v>
      </c>
      <c r="AZ27" s="7">
        <f t="shared" si="21"/>
        <v>440159.49022661871</v>
      </c>
      <c r="BA27" s="7">
        <f t="shared" si="22"/>
        <v>970076.3587726315</v>
      </c>
      <c r="BB27" s="7">
        <f t="shared" si="23"/>
        <v>1831530.7349351738</v>
      </c>
      <c r="BC27" s="7">
        <f t="shared" si="24"/>
        <v>953981.67610057222</v>
      </c>
      <c r="BD27" s="5">
        <f t="shared" si="25"/>
        <v>0</v>
      </c>
      <c r="BF27" s="7">
        <f t="shared" si="26"/>
        <v>5281558.8504364202</v>
      </c>
      <c r="BG27" s="7">
        <f t="shared" si="27"/>
        <v>1106330.715200102</v>
      </c>
      <c r="BH27" s="7">
        <f t="shared" si="28"/>
        <v>1097360.7285754944</v>
      </c>
      <c r="BI27" s="7">
        <f t="shared" si="29"/>
        <v>1847421.3999669857</v>
      </c>
      <c r="BJ27" s="7">
        <f t="shared" si="30"/>
        <v>962258.57966120902</v>
      </c>
      <c r="BK27" s="5">
        <f t="shared" si="51"/>
        <v>0</v>
      </c>
      <c r="BM27" s="4">
        <f t="shared" si="31"/>
        <v>162447134.33512449</v>
      </c>
      <c r="BN27" s="4">
        <f t="shared" si="52"/>
        <v>5236129.3222629419</v>
      </c>
      <c r="BO27" s="4">
        <f t="shared" si="53"/>
        <v>440159.49022661871</v>
      </c>
      <c r="BP27" s="4">
        <f t="shared" si="54"/>
        <v>970076.3587726315</v>
      </c>
      <c r="BQ27" s="4">
        <f t="shared" si="55"/>
        <v>1831530.7349351738</v>
      </c>
      <c r="BR27" s="4">
        <f t="shared" si="56"/>
        <v>953981.67610057222</v>
      </c>
      <c r="BS27" s="4">
        <f t="shared" si="57"/>
        <v>153015256.75282654</v>
      </c>
      <c r="BU27" s="4">
        <f t="shared" si="58"/>
        <v>163856552.6691218</v>
      </c>
      <c r="BV27" s="4">
        <f t="shared" si="59"/>
        <v>5281558.8504364202</v>
      </c>
      <c r="BW27" s="4">
        <f t="shared" si="60"/>
        <v>544564.34420935065</v>
      </c>
      <c r="BX27" s="4">
        <f t="shared" si="61"/>
        <v>1106330.715200102</v>
      </c>
      <c r="BY27" s="4">
        <f t="shared" si="62"/>
        <v>1097360.7285754944</v>
      </c>
      <c r="BZ27" s="4">
        <f t="shared" si="63"/>
        <v>1847421.3999669857</v>
      </c>
      <c r="CA27" s="4">
        <f t="shared" si="64"/>
        <v>962258.57966120902</v>
      </c>
      <c r="CB27" s="4">
        <f t="shared" si="65"/>
        <v>153017058.05107224</v>
      </c>
      <c r="CD27" s="4">
        <f t="shared" si="66"/>
        <v>1801.2982456982136</v>
      </c>
      <c r="CE27" s="18">
        <f t="shared" si="67"/>
        <v>1.1772017274120212E-5</v>
      </c>
      <c r="CF27" s="5">
        <f t="shared" si="34"/>
        <v>68001679.509908333</v>
      </c>
      <c r="CG27" s="5">
        <f t="shared" si="35"/>
        <v>62765550.187645391</v>
      </c>
      <c r="CH27" s="5">
        <f t="shared" si="36"/>
        <v>62765550.187645398</v>
      </c>
      <c r="CI27" s="5">
        <f t="shared" si="68"/>
        <v>0</v>
      </c>
      <c r="CK27" s="6">
        <f t="shared" si="69"/>
        <v>7.6999999999999957E-2</v>
      </c>
      <c r="CL27" s="6">
        <f t="shared" si="70"/>
        <v>7.7000000000000068E-2</v>
      </c>
    </row>
    <row r="28" spans="1:90" x14ac:dyDescent="0.25">
      <c r="A28" s="1">
        <v>34</v>
      </c>
      <c r="B28" s="1">
        <v>210034</v>
      </c>
      <c r="D28" s="4">
        <v>241447813.20000002</v>
      </c>
      <c r="E28" s="4">
        <v>53805085.600000001</v>
      </c>
      <c r="F28" s="4">
        <v>13692694.597309999</v>
      </c>
      <c r="G28" s="4">
        <v>18158515.702689998</v>
      </c>
      <c r="H28" s="4">
        <v>14230518.5</v>
      </c>
      <c r="I28" s="4">
        <v>79184722.799999997</v>
      </c>
      <c r="J28" s="4">
        <v>7412959.6000000006</v>
      </c>
      <c r="K28" s="4">
        <v>8701415.6999999993</v>
      </c>
      <c r="L28" s="4">
        <v>1273645.7</v>
      </c>
      <c r="M28" s="4">
        <v>17661094.700000003</v>
      </c>
      <c r="N28" s="4">
        <f t="shared" si="37"/>
        <v>27327160.300000042</v>
      </c>
      <c r="O28" s="12">
        <f t="shared" si="38"/>
        <v>0.22284354075069335</v>
      </c>
      <c r="P28" s="12">
        <f t="shared" si="39"/>
        <v>5.6710783236491112E-2</v>
      </c>
      <c r="Q28" s="12">
        <f t="shared" si="40"/>
        <v>7.5206792979519085E-2</v>
      </c>
      <c r="R28" s="12">
        <f t="shared" si="41"/>
        <v>0.38689619948067516</v>
      </c>
      <c r="S28" s="12">
        <f t="shared" si="42"/>
        <v>3.0702119442513137E-2</v>
      </c>
      <c r="T28" s="12">
        <f t="shared" si="43"/>
        <v>3.6038494549512856E-2</v>
      </c>
      <c r="U28" s="12">
        <f t="shared" si="44"/>
        <v>5.2750351437020173E-3</v>
      </c>
      <c r="V28" s="12">
        <f t="shared" si="45"/>
        <v>7.3146633493717653E-2</v>
      </c>
      <c r="W28" s="12">
        <f t="shared" si="46"/>
        <v>0.11318040092317572</v>
      </c>
      <c r="X28" s="4">
        <f t="shared" si="47"/>
        <v>127757831.91719976</v>
      </c>
      <c r="Y28" s="4">
        <v>254143290.06803218</v>
      </c>
      <c r="Z28" s="4">
        <f>(X28*O$28*(1-O$2))+(X28*P$28*(1-O$2))+(X28*Q$28*(1-Q$2))+(X28*R$28*(1-R$2))+(X28*S$28*(1-S$2))+(X28*T$28*(1-T$2))+(X28*U$28*(1-U$2))+(X28*V$28*(1-V$2))+(X28*W$28*(1-W$2))</f>
        <v>119978876.04029548</v>
      </c>
      <c r="AA28" s="18">
        <f t="shared" si="2"/>
        <v>0.114873</v>
      </c>
      <c r="AB28" s="7">
        <f t="shared" ref="AB28" si="91">(X28*O28*(1-O$2))+(X28*P28*(1-AA28-O$2))+(X28*Q28*(1-Q$2))+(X28*R28*(1-R$2))+(X28*S28*(1-S$2))+(X28*T28*(1-T$2))+(X28*U28*(1-U$2))+(X28*V28*(1-V$2))+(X28*W28*(1-W$2))</f>
        <v>119146592.81467664</v>
      </c>
      <c r="AC28" s="4">
        <f t="shared" si="3"/>
        <v>128652091.24116936</v>
      </c>
      <c r="AD28" s="4">
        <f t="shared" si="4"/>
        <v>119980576.53172019</v>
      </c>
      <c r="AE28" s="18">
        <f t="shared" si="5"/>
        <v>8.6354E-2</v>
      </c>
      <c r="AF28" s="4">
        <f t="shared" si="6"/>
        <v>119890071.80002688</v>
      </c>
      <c r="AG28" s="4">
        <f t="shared" si="7"/>
        <v>128749410.92146777</v>
      </c>
      <c r="AH28" s="4">
        <f t="shared" si="8"/>
        <v>119980763.39583361</v>
      </c>
      <c r="AI28" s="4">
        <f t="shared" si="9"/>
        <v>203952.51907425374</v>
      </c>
      <c r="AJ28" s="4">
        <f t="shared" si="50"/>
        <v>261718.09909238917</v>
      </c>
      <c r="AK28" s="4">
        <f t="shared" si="10"/>
        <v>129030836.226592</v>
      </c>
      <c r="AL28" s="4">
        <f t="shared" si="11"/>
        <v>120243021.86137569</v>
      </c>
      <c r="AM28" s="7">
        <f t="shared" si="12"/>
        <v>261837.36704327539</v>
      </c>
      <c r="AN28" s="12">
        <f t="shared" si="13"/>
        <v>9.771735268959152E-3</v>
      </c>
      <c r="AO28" s="4">
        <f t="shared" si="14"/>
        <v>119981184.49433242</v>
      </c>
      <c r="AP28" s="4">
        <f t="shared" si="15"/>
        <v>0</v>
      </c>
      <c r="AQ28" s="4"/>
      <c r="AR28" s="18">
        <f t="shared" si="16"/>
        <v>0.18382066271391517</v>
      </c>
      <c r="AS28" s="18">
        <f t="shared" si="71"/>
        <v>0.10682066271391517</v>
      </c>
      <c r="AT28" s="18">
        <f t="shared" si="17"/>
        <v>7.7250250524877551E-2</v>
      </c>
      <c r="AU28" s="18">
        <f t="shared" si="72"/>
        <v>2.5025052487755162E-4</v>
      </c>
      <c r="AV28" s="18">
        <f t="shared" si="18"/>
        <v>0.93189368818951179</v>
      </c>
      <c r="AW28" s="18">
        <f t="shared" si="19"/>
        <v>0.72620910007662176</v>
      </c>
      <c r="AY28" s="7">
        <f t="shared" si="20"/>
        <v>2192190.5869756765</v>
      </c>
      <c r="AZ28" s="7">
        <f t="shared" si="21"/>
        <v>557883.99687176931</v>
      </c>
      <c r="BA28" s="7">
        <f t="shared" si="22"/>
        <v>739835.7748711959</v>
      </c>
      <c r="BB28" s="7">
        <f t="shared" si="23"/>
        <v>3806034.5109444726</v>
      </c>
      <c r="BC28" s="7">
        <f t="shared" si="24"/>
        <v>483011.00724119064</v>
      </c>
      <c r="BD28" s="5">
        <f t="shared" si="25"/>
        <v>2.6077032089233398E-8</v>
      </c>
      <c r="BF28" s="7">
        <f t="shared" si="26"/>
        <v>2214034.0076282579</v>
      </c>
      <c r="BG28" s="7">
        <f t="shared" si="27"/>
        <v>1404019.1236887565</v>
      </c>
      <c r="BH28" s="7">
        <f t="shared" si="28"/>
        <v>837978.81774118403</v>
      </c>
      <c r="BI28" s="7">
        <f t="shared" si="29"/>
        <v>3843958.5916949036</v>
      </c>
      <c r="BJ28" s="7">
        <f t="shared" si="30"/>
        <v>487823.82446323324</v>
      </c>
      <c r="BK28" s="5">
        <f t="shared" si="51"/>
        <v>2.0489096641540527E-8</v>
      </c>
      <c r="BM28" s="4">
        <f t="shared" si="31"/>
        <v>127757831.91719976</v>
      </c>
      <c r="BN28" s="4">
        <f t="shared" si="52"/>
        <v>2192190.5869756765</v>
      </c>
      <c r="BO28" s="4">
        <f t="shared" si="53"/>
        <v>557883.99687176931</v>
      </c>
      <c r="BP28" s="4">
        <f t="shared" si="54"/>
        <v>739835.7748711959</v>
      </c>
      <c r="BQ28" s="4">
        <f t="shared" si="55"/>
        <v>3806034.5109444726</v>
      </c>
      <c r="BR28" s="4">
        <f t="shared" si="56"/>
        <v>483011.00724119064</v>
      </c>
      <c r="BS28" s="4">
        <f t="shared" si="57"/>
        <v>119978876.04029545</v>
      </c>
      <c r="BU28" s="4">
        <f t="shared" si="58"/>
        <v>129030836.226592</v>
      </c>
      <c r="BV28" s="4">
        <f t="shared" si="59"/>
        <v>2214034.0076282579</v>
      </c>
      <c r="BW28" s="4">
        <f t="shared" si="60"/>
        <v>261837.36704327539</v>
      </c>
      <c r="BX28" s="4">
        <f t="shared" si="61"/>
        <v>1404019.1236887565</v>
      </c>
      <c r="BY28" s="4">
        <f t="shared" si="62"/>
        <v>837978.81774118403</v>
      </c>
      <c r="BZ28" s="4">
        <f t="shared" si="63"/>
        <v>3843958.5916949036</v>
      </c>
      <c r="CA28" s="4">
        <f t="shared" si="64"/>
        <v>487823.82446323324</v>
      </c>
      <c r="CB28" s="4">
        <f t="shared" si="65"/>
        <v>119981184.49433239</v>
      </c>
      <c r="CD28" s="4">
        <f t="shared" si="66"/>
        <v>2308.4540369361639</v>
      </c>
      <c r="CE28" s="18">
        <f t="shared" si="67"/>
        <v>1.9240503938050386E-5</v>
      </c>
      <c r="CF28" s="5">
        <f t="shared" si="34"/>
        <v>28470007.623060737</v>
      </c>
      <c r="CG28" s="5">
        <f t="shared" si="35"/>
        <v>26277817.036085062</v>
      </c>
      <c r="CH28" s="5">
        <f t="shared" si="36"/>
        <v>26277817.036085062</v>
      </c>
      <c r="CI28" s="5">
        <f t="shared" si="68"/>
        <v>0</v>
      </c>
      <c r="CK28" s="6">
        <f t="shared" si="69"/>
        <v>7.6999999999999957E-2</v>
      </c>
      <c r="CL28" s="6">
        <f t="shared" si="70"/>
        <v>7.6999999999999957E-2</v>
      </c>
    </row>
    <row r="29" spans="1:90" x14ac:dyDescent="0.25">
      <c r="A29" s="1">
        <v>35</v>
      </c>
      <c r="B29" s="1">
        <v>210035</v>
      </c>
      <c r="D29" s="4">
        <v>196648597.90000001</v>
      </c>
      <c r="E29" s="4">
        <v>72458241.599999994</v>
      </c>
      <c r="F29" s="4">
        <v>10720672.469650287</v>
      </c>
      <c r="G29" s="4">
        <v>13743897.230349712</v>
      </c>
      <c r="H29" s="4">
        <v>3006970.6999999997</v>
      </c>
      <c r="I29" s="4">
        <v>28195313.099999998</v>
      </c>
      <c r="J29" s="4">
        <v>9068738.0999999996</v>
      </c>
      <c r="K29" s="4">
        <v>17077362.300000001</v>
      </c>
      <c r="L29" s="4">
        <v>683678.1</v>
      </c>
      <c r="M29" s="4">
        <v>14059248.4</v>
      </c>
      <c r="N29" s="4">
        <f t="shared" si="37"/>
        <v>27634475.900000006</v>
      </c>
      <c r="O29" s="12">
        <f t="shared" si="38"/>
        <v>0.36846558975643728</v>
      </c>
      <c r="P29" s="12">
        <f t="shared" si="39"/>
        <v>5.4516902658527863E-2</v>
      </c>
      <c r="Q29" s="12">
        <f t="shared" si="40"/>
        <v>6.9890644414046507E-2</v>
      </c>
      <c r="R29" s="12">
        <f t="shared" si="41"/>
        <v>0.15867025818240016</v>
      </c>
      <c r="S29" s="12">
        <f t="shared" si="42"/>
        <v>4.6116464581210215E-2</v>
      </c>
      <c r="T29" s="12">
        <f t="shared" si="43"/>
        <v>8.6842024211554264E-2</v>
      </c>
      <c r="U29" s="12">
        <f t="shared" si="44"/>
        <v>3.4766487394314646E-3</v>
      </c>
      <c r="V29" s="12">
        <f t="shared" si="45"/>
        <v>7.1494272271137305E-2</v>
      </c>
      <c r="W29" s="12">
        <f t="shared" si="46"/>
        <v>0.14052719518525489</v>
      </c>
      <c r="X29" s="4">
        <f t="shared" si="47"/>
        <v>113642219.13476263</v>
      </c>
      <c r="Y29" s="4">
        <v>226063694.32019624</v>
      </c>
      <c r="Z29" s="4">
        <f>(X29*O$29*(1-O$2))+(X29*P$29*(1-O$2))+(X29*Q$29*(1-Q$2))+(X29*R$29*(1-R$2))+(X29*S$29*(1-S$2))+(X29*T$29*(1-T$2))+(X29*U$29*(1-U$2))+(X29*V$29*(1-V$2))+(X29*W$29*(1-W$2))</f>
        <v>107298326.43927301</v>
      </c>
      <c r="AA29" s="18">
        <f t="shared" si="2"/>
        <v>0.114873</v>
      </c>
      <c r="AB29" s="7">
        <f t="shared" ref="AB29" si="92">(X29*O29*(1-O$2))+(X29*P29*(1-AA29-O$2))+(X29*Q29*(1-Q$2))+(X29*R29*(1-R$2))+(X29*S29*(1-S$2))+(X29*T29*(1-T$2))+(X29*U29*(1-U$2))+(X29*V29*(1-V$2))+(X29*W29*(1-W$2))</f>
        <v>106586639.7510175</v>
      </c>
      <c r="AC29" s="4">
        <f t="shared" si="3"/>
        <v>114402672.49014159</v>
      </c>
      <c r="AD29" s="4">
        <f t="shared" si="4"/>
        <v>107299879.67588301</v>
      </c>
      <c r="AE29" s="18">
        <f t="shared" si="5"/>
        <v>8.6354E-2</v>
      </c>
      <c r="AF29" s="4">
        <f t="shared" si="6"/>
        <v>107225088.11787371</v>
      </c>
      <c r="AG29" s="4">
        <f t="shared" si="7"/>
        <v>114482646.94636273</v>
      </c>
      <c r="AH29" s="4">
        <f t="shared" si="8"/>
        <v>107300045.00418448</v>
      </c>
      <c r="AI29" s="4">
        <f t="shared" si="9"/>
        <v>285824.2370967716</v>
      </c>
      <c r="AJ29" s="4">
        <f t="shared" si="50"/>
        <v>448604.66204003937</v>
      </c>
      <c r="AK29" s="4">
        <f t="shared" si="10"/>
        <v>114962338.97123627</v>
      </c>
      <c r="AL29" s="4">
        <f t="shared" si="11"/>
        <v>107749641.31620191</v>
      </c>
      <c r="AM29" s="7">
        <f t="shared" si="12"/>
        <v>448964.49157008529</v>
      </c>
      <c r="AN29" s="12">
        <f t="shared" si="13"/>
        <v>1.1308349560899733E-2</v>
      </c>
      <c r="AO29" s="4">
        <f t="shared" si="14"/>
        <v>107300676.82463183</v>
      </c>
      <c r="AP29" s="4">
        <f t="shared" si="15"/>
        <v>0</v>
      </c>
      <c r="AQ29" s="4"/>
      <c r="AR29" s="18">
        <f t="shared" si="16"/>
        <v>0.18248542827522707</v>
      </c>
      <c r="AS29" s="18">
        <f t="shared" si="71"/>
        <v>0.10548542827522707</v>
      </c>
      <c r="AT29" s="18">
        <f t="shared" si="17"/>
        <v>7.5740671456278941E-2</v>
      </c>
      <c r="AU29" s="18">
        <f t="shared" si="72"/>
        <v>-1.2593285437210583E-3</v>
      </c>
      <c r="AV29" s="18">
        <f t="shared" si="18"/>
        <v>0.9372603435213771</v>
      </c>
      <c r="AW29" s="18">
        <f t="shared" si="19"/>
        <v>0.5971666041761855</v>
      </c>
      <c r="AY29" s="7">
        <f t="shared" si="20"/>
        <v>3224240.0416934858</v>
      </c>
      <c r="AZ29" s="7">
        <f t="shared" si="21"/>
        <v>477047.47848210885</v>
      </c>
      <c r="BA29" s="7">
        <f t="shared" si="22"/>
        <v>611574.65045375517</v>
      </c>
      <c r="BB29" s="7">
        <f t="shared" si="23"/>
        <v>1388436.2992910934</v>
      </c>
      <c r="BC29" s="7">
        <f t="shared" si="24"/>
        <v>642594.22556917777</v>
      </c>
      <c r="BD29" s="5">
        <f t="shared" si="25"/>
        <v>0</v>
      </c>
      <c r="BF29" s="7">
        <f t="shared" si="26"/>
        <v>3261694.2842188342</v>
      </c>
      <c r="BG29" s="7">
        <f t="shared" si="27"/>
        <v>1202543.0448619095</v>
      </c>
      <c r="BH29" s="7">
        <f t="shared" si="28"/>
        <v>693836.42439966719</v>
      </c>
      <c r="BI29" s="7">
        <f t="shared" si="29"/>
        <v>1404565.0084480369</v>
      </c>
      <c r="BJ29" s="7">
        <f t="shared" si="30"/>
        <v>650058.8931059083</v>
      </c>
      <c r="BK29" s="5">
        <f t="shared" si="51"/>
        <v>0</v>
      </c>
      <c r="BM29" s="4">
        <f t="shared" si="31"/>
        <v>113642219.13476263</v>
      </c>
      <c r="BN29" s="4">
        <f t="shared" si="52"/>
        <v>3224240.0416934858</v>
      </c>
      <c r="BO29" s="4">
        <f t="shared" si="53"/>
        <v>477047.47848210885</v>
      </c>
      <c r="BP29" s="4">
        <f t="shared" si="54"/>
        <v>611574.65045375517</v>
      </c>
      <c r="BQ29" s="4">
        <f t="shared" si="55"/>
        <v>1388436.2992910934</v>
      </c>
      <c r="BR29" s="4">
        <f t="shared" si="56"/>
        <v>642594.22556917777</v>
      </c>
      <c r="BS29" s="4">
        <f t="shared" si="57"/>
        <v>107298326.43927301</v>
      </c>
      <c r="BU29" s="4">
        <f t="shared" si="58"/>
        <v>114962338.97123627</v>
      </c>
      <c r="BV29" s="4">
        <f t="shared" si="59"/>
        <v>3261694.2842188342</v>
      </c>
      <c r="BW29" s="4">
        <f t="shared" si="60"/>
        <v>448964.49157008529</v>
      </c>
      <c r="BX29" s="4">
        <f t="shared" si="61"/>
        <v>1202543.0448619095</v>
      </c>
      <c r="BY29" s="4">
        <f t="shared" si="62"/>
        <v>693836.42439966719</v>
      </c>
      <c r="BZ29" s="4">
        <f t="shared" si="63"/>
        <v>1404565.0084480369</v>
      </c>
      <c r="CA29" s="4">
        <f t="shared" si="64"/>
        <v>650058.8931059083</v>
      </c>
      <c r="CB29" s="4">
        <f t="shared" si="65"/>
        <v>107300676.82463183</v>
      </c>
      <c r="CD29" s="4">
        <f t="shared" si="66"/>
        <v>2350.3853588104248</v>
      </c>
      <c r="CE29" s="18">
        <f t="shared" si="67"/>
        <v>2.1905144626283227E-5</v>
      </c>
      <c r="CF29" s="5">
        <f t="shared" si="34"/>
        <v>41873247.294720598</v>
      </c>
      <c r="CG29" s="5">
        <f t="shared" si="35"/>
        <v>38649007.253027111</v>
      </c>
      <c r="CH29" s="5">
        <f t="shared" si="36"/>
        <v>38649007.253027111</v>
      </c>
      <c r="CI29" s="5">
        <f t="shared" si="68"/>
        <v>0</v>
      </c>
      <c r="CK29" s="6">
        <f t="shared" si="69"/>
        <v>7.6999999999999957E-2</v>
      </c>
      <c r="CL29" s="6">
        <f t="shared" si="70"/>
        <v>7.6999999999999957E-2</v>
      </c>
    </row>
    <row r="30" spans="1:90" x14ac:dyDescent="0.25">
      <c r="A30" s="1">
        <v>37</v>
      </c>
      <c r="B30" s="1">
        <v>210037</v>
      </c>
      <c r="D30" s="4">
        <v>320559043.5</v>
      </c>
      <c r="E30" s="4">
        <v>143734873.30000001</v>
      </c>
      <c r="F30" s="4">
        <v>13811144.948527664</v>
      </c>
      <c r="G30" s="4">
        <v>24330842.351472333</v>
      </c>
      <c r="H30" s="4">
        <v>4498246.3</v>
      </c>
      <c r="I30" s="4">
        <v>52359150.399999999</v>
      </c>
      <c r="J30" s="4">
        <v>12205881.1</v>
      </c>
      <c r="K30" s="4">
        <v>21575524.600000001</v>
      </c>
      <c r="L30" s="4">
        <v>1574144</v>
      </c>
      <c r="M30" s="4">
        <v>12623000</v>
      </c>
      <c r="N30" s="4">
        <f t="shared" si="37"/>
        <v>33846236.49999994</v>
      </c>
      <c r="O30" s="12">
        <f t="shared" si="38"/>
        <v>0.4483881400775393</v>
      </c>
      <c r="P30" s="12">
        <f t="shared" si="39"/>
        <v>4.3084558768742592E-2</v>
      </c>
      <c r="Q30" s="12">
        <f t="shared" si="40"/>
        <v>7.5901281978564217E-2</v>
      </c>
      <c r="R30" s="12">
        <f t="shared" si="41"/>
        <v>0.17736949823410611</v>
      </c>
      <c r="S30" s="12">
        <f t="shared" si="42"/>
        <v>3.8076857750544167E-2</v>
      </c>
      <c r="T30" s="12">
        <f t="shared" si="43"/>
        <v>6.7305930178819001E-2</v>
      </c>
      <c r="U30" s="12">
        <f t="shared" si="44"/>
        <v>4.9106210912436788E-3</v>
      </c>
      <c r="V30" s="12">
        <f t="shared" si="45"/>
        <v>3.937808106168747E-2</v>
      </c>
      <c r="W30" s="12">
        <f t="shared" si="46"/>
        <v>0.1055850308587533</v>
      </c>
      <c r="X30" s="4">
        <f t="shared" si="47"/>
        <v>169504280.12738612</v>
      </c>
      <c r="Y30" s="4">
        <v>337187746.42408228</v>
      </c>
      <c r="Z30" s="4">
        <f t="shared" si="48"/>
        <v>159036033.29864049</v>
      </c>
      <c r="AA30" s="18">
        <f t="shared" si="2"/>
        <v>0.114873</v>
      </c>
      <c r="AB30" s="7">
        <f t="shared" ref="AB30" si="93">(X30*O30*(1-O$2))+(X30*P30*(1-AA30-O$2))+(X30*Q30*(1-Q$2))+(X30*R30*(1-R$2))+(X30*S30*(1-S$2))+(X30*T30*(1-T$2))+(X30*U30*(1-U$2))+(X30*V30*(1-V$2))+(X30*W30*(1-W$2))</f>
        <v>158197113.81316385</v>
      </c>
      <c r="AC30" s="4">
        <f t="shared" si="3"/>
        <v>170404666.8362236</v>
      </c>
      <c r="AD30" s="4">
        <f t="shared" si="4"/>
        <v>159037438.19049978</v>
      </c>
      <c r="AE30" s="18">
        <f t="shared" si="5"/>
        <v>8.6354E-2</v>
      </c>
      <c r="AF30" s="4">
        <f t="shared" si="6"/>
        <v>158916454.18432331</v>
      </c>
      <c r="AG30" s="4">
        <f t="shared" si="7"/>
        <v>170534617.13970295</v>
      </c>
      <c r="AH30" s="4">
        <f t="shared" si="8"/>
        <v>159037643.59675276</v>
      </c>
      <c r="AI30" s="4">
        <f t="shared" si="9"/>
        <v>426417.59756714106</v>
      </c>
      <c r="AJ30" s="4">
        <f t="shared" si="50"/>
        <v>766635.78086662921</v>
      </c>
      <c r="AK30" s="4">
        <f t="shared" si="10"/>
        <v>171358069.39203146</v>
      </c>
      <c r="AL30" s="4">
        <f t="shared" si="11"/>
        <v>159805580.96935952</v>
      </c>
      <c r="AM30" s="7">
        <f t="shared" si="12"/>
        <v>767213.40219382942</v>
      </c>
      <c r="AN30" s="12">
        <f t="shared" si="13"/>
        <v>1.070705716839572E-2</v>
      </c>
      <c r="AO30" s="4">
        <f t="shared" si="14"/>
        <v>159038367.56716567</v>
      </c>
      <c r="AP30" s="4">
        <f t="shared" si="15"/>
        <v>0</v>
      </c>
      <c r="AQ30" s="4"/>
      <c r="AR30" s="18">
        <f t="shared" si="16"/>
        <v>0.18303489186524269</v>
      </c>
      <c r="AS30" s="18">
        <f t="shared" si="71"/>
        <v>0.10603489186524269</v>
      </c>
      <c r="AT30" s="18">
        <f t="shared" si="17"/>
        <v>7.6361879770273089E-2</v>
      </c>
      <c r="AU30" s="18">
        <f t="shared" si="72"/>
        <v>-6.3812022972691007E-4</v>
      </c>
      <c r="AV30" s="18">
        <f t="shared" si="18"/>
        <v>0.93258275805942781</v>
      </c>
      <c r="AW30" s="18">
        <f t="shared" si="19"/>
        <v>0.51872050476785891</v>
      </c>
      <c r="AY30" s="7">
        <f t="shared" si="20"/>
        <v>5852285.5854155663</v>
      </c>
      <c r="AZ30" s="7">
        <f t="shared" si="21"/>
        <v>562332.31814003666</v>
      </c>
      <c r="BA30" s="7">
        <f t="shared" si="22"/>
        <v>990650.59651421499</v>
      </c>
      <c r="BB30" s="7">
        <f t="shared" si="23"/>
        <v>2314996.4618340437</v>
      </c>
      <c r="BC30" s="7">
        <f t="shared" si="24"/>
        <v>747981.86684178014</v>
      </c>
      <c r="BD30" s="5">
        <f t="shared" si="25"/>
        <v>0</v>
      </c>
      <c r="BF30" s="7">
        <f t="shared" si="26"/>
        <v>5916289.3036917588</v>
      </c>
      <c r="BG30" s="7">
        <f t="shared" si="27"/>
        <v>1416576.6411290714</v>
      </c>
      <c r="BH30" s="7">
        <f t="shared" si="28"/>
        <v>1123145.7835925743</v>
      </c>
      <c r="BI30" s="7">
        <f t="shared" si="29"/>
        <v>2340314.4985550912</v>
      </c>
      <c r="BJ30" s="7">
        <f t="shared" si="30"/>
        <v>756162.19570343837</v>
      </c>
      <c r="BK30" s="5">
        <f t="shared" si="51"/>
        <v>0</v>
      </c>
      <c r="BM30" s="4">
        <f t="shared" si="31"/>
        <v>169504280.12738612</v>
      </c>
      <c r="BN30" s="4">
        <f t="shared" si="52"/>
        <v>5852285.5854155663</v>
      </c>
      <c r="BO30" s="4">
        <f t="shared" si="53"/>
        <v>562332.31814003666</v>
      </c>
      <c r="BP30" s="4">
        <f t="shared" si="54"/>
        <v>990650.59651421499</v>
      </c>
      <c r="BQ30" s="4">
        <f t="shared" si="55"/>
        <v>2314996.4618340437</v>
      </c>
      <c r="BR30" s="4">
        <f t="shared" si="56"/>
        <v>747981.86684178014</v>
      </c>
      <c r="BS30" s="4">
        <f t="shared" si="57"/>
        <v>159036033.29864049</v>
      </c>
      <c r="BU30" s="4">
        <f t="shared" si="58"/>
        <v>171358069.39203146</v>
      </c>
      <c r="BV30" s="4">
        <f t="shared" si="59"/>
        <v>5916289.3036917588</v>
      </c>
      <c r="BW30" s="4">
        <f t="shared" si="60"/>
        <v>767213.40219382942</v>
      </c>
      <c r="BX30" s="4">
        <f t="shared" si="61"/>
        <v>1416576.6411290714</v>
      </c>
      <c r="BY30" s="4">
        <f t="shared" si="62"/>
        <v>1123145.7835925743</v>
      </c>
      <c r="BZ30" s="4">
        <f t="shared" si="63"/>
        <v>2340314.4985550912</v>
      </c>
      <c r="CA30" s="4">
        <f t="shared" si="64"/>
        <v>756162.19570343837</v>
      </c>
      <c r="CB30" s="4">
        <f t="shared" si="65"/>
        <v>159038367.5671657</v>
      </c>
      <c r="CD30" s="4">
        <f t="shared" si="66"/>
        <v>2334.2685252130032</v>
      </c>
      <c r="CE30" s="18">
        <f t="shared" si="67"/>
        <v>1.467760781501432E-5</v>
      </c>
      <c r="CF30" s="5">
        <f t="shared" si="34"/>
        <v>76003708.901500866</v>
      </c>
      <c r="CG30" s="5">
        <f t="shared" si="35"/>
        <v>70151423.316085294</v>
      </c>
      <c r="CH30" s="5">
        <f t="shared" si="36"/>
        <v>70151423.316085309</v>
      </c>
      <c r="CI30" s="5">
        <f t="shared" si="68"/>
        <v>0</v>
      </c>
      <c r="CK30" s="6">
        <f t="shared" si="69"/>
        <v>7.6999999999999846E-2</v>
      </c>
      <c r="CL30" s="6">
        <f t="shared" si="70"/>
        <v>7.7000000000000068E-2</v>
      </c>
    </row>
    <row r="31" spans="1:90" x14ac:dyDescent="0.25">
      <c r="A31" s="1">
        <v>38</v>
      </c>
      <c r="B31" s="1">
        <v>210038</v>
      </c>
      <c r="D31" s="4">
        <v>285799427.39999998</v>
      </c>
      <c r="E31" s="4">
        <v>68278745.599999994</v>
      </c>
      <c r="F31" s="4">
        <v>20339145.89248725</v>
      </c>
      <c r="G31" s="4">
        <v>22774515.807512745</v>
      </c>
      <c r="H31" s="4">
        <v>13843662.1</v>
      </c>
      <c r="I31" s="4">
        <v>88311633.799999997</v>
      </c>
      <c r="J31" s="4">
        <v>7985594.1000000006</v>
      </c>
      <c r="K31" s="4">
        <v>19156676.800000001</v>
      </c>
      <c r="L31" s="4">
        <v>2123218.9</v>
      </c>
      <c r="M31" s="4">
        <v>11763000</v>
      </c>
      <c r="N31" s="4">
        <f t="shared" si="37"/>
        <v>31223234.399999976</v>
      </c>
      <c r="O31" s="12">
        <f t="shared" si="38"/>
        <v>0.23890441706322327</v>
      </c>
      <c r="P31" s="12">
        <f t="shared" si="39"/>
        <v>7.1165803506040376E-2</v>
      </c>
      <c r="Q31" s="12">
        <f t="shared" si="40"/>
        <v>7.9687058909456543E-2</v>
      </c>
      <c r="R31" s="12">
        <f t="shared" si="41"/>
        <v>0.35743702088326856</v>
      </c>
      <c r="S31" s="12">
        <f t="shared" si="42"/>
        <v>2.7941252971173731E-2</v>
      </c>
      <c r="T31" s="12">
        <f t="shared" si="43"/>
        <v>6.7028394613221687E-2</v>
      </c>
      <c r="U31" s="12">
        <f t="shared" si="44"/>
        <v>7.4290523228669001E-3</v>
      </c>
      <c r="V31" s="12">
        <f t="shared" si="45"/>
        <v>4.1158235014714384E-2</v>
      </c>
      <c r="W31" s="12">
        <f t="shared" si="46"/>
        <v>0.10924876471603448</v>
      </c>
      <c r="X31" s="4">
        <f t="shared" si="47"/>
        <v>154955700.92259717</v>
      </c>
      <c r="Y31" s="4">
        <v>308246868.75392318</v>
      </c>
      <c r="Z31" s="4">
        <f t="shared" si="48"/>
        <v>145373741.88349321</v>
      </c>
      <c r="AA31" s="18">
        <f t="shared" si="2"/>
        <v>0.114873</v>
      </c>
      <c r="AB31" s="7">
        <f t="shared" ref="AB31" si="94">(X31*O31*(1-O$2))+(X31*P31*(1-AA31-O$2))+(X31*Q31*(1-Q$2))+(X31*R31*(1-R$2))+(X31*S31*(1-S$2))+(X31*T31*(1-T$2))+(X31*U31*(1-U$2))+(X31*V31*(1-V$2))+(X31*W31*(1-W$2))</f>
        <v>144106974.48109785</v>
      </c>
      <c r="AC31" s="4">
        <f t="shared" si="3"/>
        <v>156320878.21899518</v>
      </c>
      <c r="AD31" s="4">
        <f t="shared" si="4"/>
        <v>145376573.26735017</v>
      </c>
      <c r="AE31" s="18">
        <f t="shared" si="5"/>
        <v>8.6354E-2</v>
      </c>
      <c r="AF31" s="4">
        <f t="shared" si="6"/>
        <v>145260052.81820232</v>
      </c>
      <c r="AG31" s="4">
        <f t="shared" si="7"/>
        <v>156446553.6504918</v>
      </c>
      <c r="AH31" s="4">
        <f t="shared" si="8"/>
        <v>145376835.80986112</v>
      </c>
      <c r="AI31" s="4">
        <f t="shared" si="9"/>
        <v>328746.11163965613</v>
      </c>
      <c r="AJ31" s="4">
        <f t="shared" si="50"/>
        <v>431029.05443463934</v>
      </c>
      <c r="AK31" s="4">
        <f t="shared" si="10"/>
        <v>156911448.54919684</v>
      </c>
      <c r="AL31" s="4">
        <f t="shared" si="11"/>
        <v>145808836.05391172</v>
      </c>
      <c r="AM31" s="7">
        <f t="shared" si="12"/>
        <v>431259.51716309786</v>
      </c>
      <c r="AN31" s="12">
        <f t="shared" si="13"/>
        <v>1.2380285778319056E-2</v>
      </c>
      <c r="AO31" s="4">
        <f t="shared" si="14"/>
        <v>145377576.53674862</v>
      </c>
      <c r="AP31" s="4">
        <f t="shared" si="15"/>
        <v>0</v>
      </c>
      <c r="AQ31" s="4"/>
      <c r="AR31" s="18">
        <f t="shared" si="16"/>
        <v>0.18167335937477003</v>
      </c>
      <c r="AS31" s="18">
        <f t="shared" si="71"/>
        <v>0.10467335937477003</v>
      </c>
      <c r="AT31" s="18">
        <f t="shared" si="17"/>
        <v>7.4822568852817906E-2</v>
      </c>
      <c r="AU31" s="18">
        <f t="shared" si="72"/>
        <v>-2.1774311471820934E-3</v>
      </c>
      <c r="AV31" s="18">
        <f t="shared" si="18"/>
        <v>0.92924281435204459</v>
      </c>
      <c r="AW31" s="18">
        <f t="shared" si="19"/>
        <v>0.70873403740268937</v>
      </c>
      <c r="AY31" s="7">
        <f t="shared" si="20"/>
        <v>2850509.3077642908</v>
      </c>
      <c r="AZ31" s="7">
        <f t="shared" si="21"/>
        <v>849121.11622786988</v>
      </c>
      <c r="BA31" s="7">
        <f t="shared" si="22"/>
        <v>950793.23321868503</v>
      </c>
      <c r="BB31" s="7">
        <f t="shared" si="23"/>
        <v>4264791.6162121948</v>
      </c>
      <c r="BC31" s="7">
        <f t="shared" si="24"/>
        <v>666743.7656808804</v>
      </c>
      <c r="BD31" s="5">
        <f t="shared" si="25"/>
        <v>-3.3527612686157227E-8</v>
      </c>
      <c r="BF31" s="7">
        <f t="shared" si="26"/>
        <v>2886486.5372567703</v>
      </c>
      <c r="BG31" s="7">
        <f t="shared" si="27"/>
        <v>2142593.8539146157</v>
      </c>
      <c r="BH31" s="7">
        <f t="shared" si="28"/>
        <v>1079754.1679861029</v>
      </c>
      <c r="BI31" s="7">
        <f t="shared" si="29"/>
        <v>4318618.9748165458</v>
      </c>
      <c r="BJ31" s="7">
        <f t="shared" si="30"/>
        <v>675158.961311094</v>
      </c>
      <c r="BK31" s="5">
        <f t="shared" si="51"/>
        <v>0</v>
      </c>
      <c r="BM31" s="4">
        <f t="shared" si="31"/>
        <v>154955700.92259717</v>
      </c>
      <c r="BN31" s="4">
        <f t="shared" si="52"/>
        <v>2850509.3077642908</v>
      </c>
      <c r="BO31" s="4">
        <f t="shared" si="53"/>
        <v>849121.11622786988</v>
      </c>
      <c r="BP31" s="4">
        <f t="shared" si="54"/>
        <v>950793.23321868503</v>
      </c>
      <c r="BQ31" s="4">
        <f t="shared" si="55"/>
        <v>4264791.6162121948</v>
      </c>
      <c r="BR31" s="4">
        <f t="shared" si="56"/>
        <v>666743.7656808804</v>
      </c>
      <c r="BS31" s="4">
        <f t="shared" si="57"/>
        <v>145373741.88349324</v>
      </c>
      <c r="BU31" s="4">
        <f t="shared" si="58"/>
        <v>156911448.54919684</v>
      </c>
      <c r="BV31" s="4">
        <f t="shared" si="59"/>
        <v>2886486.5372567703</v>
      </c>
      <c r="BW31" s="4">
        <f t="shared" si="60"/>
        <v>431259.51716309786</v>
      </c>
      <c r="BX31" s="4">
        <f t="shared" si="61"/>
        <v>2142593.8539146157</v>
      </c>
      <c r="BY31" s="4">
        <f t="shared" si="62"/>
        <v>1079754.1679861029</v>
      </c>
      <c r="BZ31" s="4">
        <f t="shared" si="63"/>
        <v>4318618.9748165458</v>
      </c>
      <c r="CA31" s="4">
        <f t="shared" si="64"/>
        <v>675158.961311094</v>
      </c>
      <c r="CB31" s="4">
        <f t="shared" si="65"/>
        <v>145377576.53674862</v>
      </c>
      <c r="CD31" s="4">
        <f t="shared" si="66"/>
        <v>3834.6532553732395</v>
      </c>
      <c r="CE31" s="18">
        <f t="shared" si="67"/>
        <v>2.6377894698799475E-5</v>
      </c>
      <c r="CF31" s="5">
        <f t="shared" si="34"/>
        <v>37019601.399536245</v>
      </c>
      <c r="CG31" s="5">
        <f t="shared" si="35"/>
        <v>34169092.091771953</v>
      </c>
      <c r="CH31" s="5">
        <f t="shared" si="36"/>
        <v>34169092.091771953</v>
      </c>
      <c r="CI31" s="5">
        <f t="shared" si="68"/>
        <v>0</v>
      </c>
      <c r="CK31" s="6">
        <f t="shared" si="69"/>
        <v>7.7000000000000068E-2</v>
      </c>
      <c r="CL31" s="6">
        <f t="shared" si="70"/>
        <v>7.7000000000000068E-2</v>
      </c>
    </row>
    <row r="32" spans="1:90" x14ac:dyDescent="0.25">
      <c r="A32" s="1">
        <v>39</v>
      </c>
      <c r="B32" s="1">
        <v>210039</v>
      </c>
      <c r="D32" s="4">
        <v>197883196</v>
      </c>
      <c r="E32" s="4">
        <v>77504823.5</v>
      </c>
      <c r="F32" s="4">
        <v>6187227.8849491989</v>
      </c>
      <c r="G32" s="4">
        <v>11717726.815050799</v>
      </c>
      <c r="H32" s="4">
        <v>4620170.6000000006</v>
      </c>
      <c r="I32" s="4">
        <v>21027433.5</v>
      </c>
      <c r="J32" s="4">
        <v>10527193</v>
      </c>
      <c r="K32" s="4">
        <v>21988651</v>
      </c>
      <c r="L32" s="4">
        <v>802847.8</v>
      </c>
      <c r="M32" s="4">
        <v>4752502.9000000004</v>
      </c>
      <c r="N32" s="4">
        <f t="shared" si="37"/>
        <v>38754619</v>
      </c>
      <c r="O32" s="12">
        <f t="shared" si="38"/>
        <v>0.39166955591317615</v>
      </c>
      <c r="P32" s="12">
        <f t="shared" si="39"/>
        <v>3.1267070726658359E-2</v>
      </c>
      <c r="Q32" s="12">
        <f t="shared" si="40"/>
        <v>5.9215370743510728E-2</v>
      </c>
      <c r="R32" s="12">
        <f t="shared" si="41"/>
        <v>0.12960981335676428</v>
      </c>
      <c r="S32" s="12">
        <f t="shared" si="42"/>
        <v>5.3199024539708768E-2</v>
      </c>
      <c r="T32" s="12">
        <f t="shared" si="43"/>
        <v>0.11111934436312622</v>
      </c>
      <c r="U32" s="12">
        <f t="shared" si="44"/>
        <v>4.0571802771974634E-3</v>
      </c>
      <c r="V32" s="12">
        <f t="shared" si="45"/>
        <v>2.4016707815857189E-2</v>
      </c>
      <c r="W32" s="12">
        <f t="shared" si="46"/>
        <v>0.19584593226400082</v>
      </c>
      <c r="X32" s="4">
        <f t="shared" si="47"/>
        <v>104792875.01870723</v>
      </c>
      <c r="Y32" s="4">
        <v>208460065.68272775</v>
      </c>
      <c r="Z32" s="4">
        <f t="shared" si="48"/>
        <v>99079244.017194927</v>
      </c>
      <c r="AA32" s="18">
        <f t="shared" si="2"/>
        <v>0.114873</v>
      </c>
      <c r="AB32" s="7">
        <f t="shared" ref="AB32" si="95">(X32*O32*(1-O$2))+(X32*P32*(1-AA32-O$2))+(X32*Q32*(1-Q$2))+(X32*R32*(1-R$2))+(X32*S32*(1-S$2))+(X32*T32*(1-T$2))+(X32*U32*(1-U$2))+(X32*V32*(1-V$2))+(X32*W32*(1-W$2))</f>
        <v>98702855.02409786</v>
      </c>
      <c r="AC32" s="4">
        <f t="shared" si="3"/>
        <v>105193135.58656912</v>
      </c>
      <c r="AD32" s="4">
        <f t="shared" si="4"/>
        <v>99079854.517569929</v>
      </c>
      <c r="AE32" s="18">
        <f t="shared" si="5"/>
        <v>8.6354E-2</v>
      </c>
      <c r="AF32" s="4">
        <f t="shared" si="6"/>
        <v>99021587.978973761</v>
      </c>
      <c r="AG32" s="4">
        <f t="shared" si="7"/>
        <v>105255135.81263582</v>
      </c>
      <c r="AH32" s="4">
        <f t="shared" si="8"/>
        <v>99079950.730553955</v>
      </c>
      <c r="AI32" s="4">
        <f t="shared" si="9"/>
        <v>167112.36192378402</v>
      </c>
      <c r="AJ32" s="4">
        <f t="shared" si="50"/>
        <v>271304.91979916772</v>
      </c>
      <c r="AK32" s="4">
        <f t="shared" si="10"/>
        <v>105543825.80119239</v>
      </c>
      <c r="AL32" s="4">
        <f t="shared" si="11"/>
        <v>99351703.644288316</v>
      </c>
      <c r="AM32" s="7">
        <f t="shared" si="12"/>
        <v>271476.968407996</v>
      </c>
      <c r="AN32" s="12">
        <f t="shared" si="13"/>
        <v>6.9765041444627704E-3</v>
      </c>
      <c r="AO32" s="4">
        <f t="shared" si="14"/>
        <v>99080226.675880313</v>
      </c>
      <c r="AP32" s="4">
        <f t="shared" si="15"/>
        <v>0</v>
      </c>
      <c r="AQ32" s="4"/>
      <c r="AR32" s="18">
        <f t="shared" si="16"/>
        <v>0.18608192305045501</v>
      </c>
      <c r="AS32" s="18">
        <f t="shared" si="71"/>
        <v>0.10908192305045501</v>
      </c>
      <c r="AT32" s="18">
        <f t="shared" si="17"/>
        <v>7.9806768821430341E-2</v>
      </c>
      <c r="AU32" s="18">
        <f t="shared" si="72"/>
        <v>2.8067688214303416E-3</v>
      </c>
      <c r="AV32" s="18">
        <f t="shared" si="18"/>
        <v>0.94133127058926347</v>
      </c>
      <c r="AW32" s="18">
        <f t="shared" si="19"/>
        <v>0.57982027048140183</v>
      </c>
      <c r="AY32" s="7">
        <f t="shared" si="20"/>
        <v>3160401.7692510365</v>
      </c>
      <c r="AZ32" s="7">
        <f t="shared" si="21"/>
        <v>252295.60008420373</v>
      </c>
      <c r="BA32" s="7">
        <f t="shared" si="22"/>
        <v>477811.86880435719</v>
      </c>
      <c r="BB32" s="7">
        <f t="shared" si="23"/>
        <v>1045828.2428665895</v>
      </c>
      <c r="BC32" s="7">
        <f t="shared" si="24"/>
        <v>777293.52050612657</v>
      </c>
      <c r="BD32" s="5">
        <f t="shared" si="25"/>
        <v>9.3132257461547852E-9</v>
      </c>
      <c r="BF32" s="7">
        <f t="shared" si="26"/>
        <v>3183049.3603316597</v>
      </c>
      <c r="BG32" s="7">
        <f t="shared" si="27"/>
        <v>633189.77721310128</v>
      </c>
      <c r="BH32" s="7">
        <f t="shared" si="28"/>
        <v>539696.67774570151</v>
      </c>
      <c r="BI32" s="7">
        <f t="shared" si="29"/>
        <v>1053322.6983549569</v>
      </c>
      <c r="BJ32" s="7">
        <f t="shared" si="30"/>
        <v>782863.64325865638</v>
      </c>
      <c r="BK32" s="5">
        <f t="shared" si="51"/>
        <v>0</v>
      </c>
      <c r="BM32" s="4">
        <f t="shared" si="31"/>
        <v>104792875.01870723</v>
      </c>
      <c r="BN32" s="4">
        <f t="shared" si="52"/>
        <v>3160401.7692510365</v>
      </c>
      <c r="BO32" s="4">
        <f t="shared" si="53"/>
        <v>252295.60008420373</v>
      </c>
      <c r="BP32" s="4">
        <f t="shared" si="54"/>
        <v>477811.86880435719</v>
      </c>
      <c r="BQ32" s="4">
        <f t="shared" si="55"/>
        <v>1045828.2428665895</v>
      </c>
      <c r="BR32" s="4">
        <f t="shared" si="56"/>
        <v>777293.52050612657</v>
      </c>
      <c r="BS32" s="4">
        <f t="shared" si="57"/>
        <v>99079244.017194912</v>
      </c>
      <c r="BU32" s="4">
        <f t="shared" si="58"/>
        <v>105543825.80119239</v>
      </c>
      <c r="BV32" s="4">
        <f t="shared" si="59"/>
        <v>3183049.3603316597</v>
      </c>
      <c r="BW32" s="4">
        <f t="shared" si="60"/>
        <v>271476.968407996</v>
      </c>
      <c r="BX32" s="4">
        <f t="shared" si="61"/>
        <v>633189.77721310128</v>
      </c>
      <c r="BY32" s="4">
        <f t="shared" si="62"/>
        <v>539696.67774570151</v>
      </c>
      <c r="BZ32" s="4">
        <f t="shared" si="63"/>
        <v>1053322.6983549569</v>
      </c>
      <c r="CA32" s="4">
        <f t="shared" si="64"/>
        <v>782863.64325865638</v>
      </c>
      <c r="CB32" s="4">
        <f t="shared" si="65"/>
        <v>99080226.675880313</v>
      </c>
      <c r="CD32" s="4">
        <f t="shared" si="66"/>
        <v>982.65868540108204</v>
      </c>
      <c r="CE32" s="18">
        <f t="shared" si="67"/>
        <v>9.9179065721428446E-6</v>
      </c>
      <c r="CF32" s="5">
        <f t="shared" si="34"/>
        <v>41044178.82144203</v>
      </c>
      <c r="CG32" s="5">
        <f t="shared" si="35"/>
        <v>37883777.052190997</v>
      </c>
      <c r="CH32" s="5">
        <f t="shared" si="36"/>
        <v>37883777.052190989</v>
      </c>
      <c r="CI32" s="5">
        <f t="shared" si="68"/>
        <v>0</v>
      </c>
      <c r="CK32" s="6">
        <f t="shared" si="69"/>
        <v>7.7000000000000068E-2</v>
      </c>
      <c r="CL32" s="6">
        <f t="shared" si="70"/>
        <v>7.6999999999999957E-2</v>
      </c>
    </row>
    <row r="33" spans="1:90" x14ac:dyDescent="0.25">
      <c r="A33" s="1">
        <v>40</v>
      </c>
      <c r="B33" s="1">
        <v>210040</v>
      </c>
      <c r="D33" s="4">
        <v>322316790.09999996</v>
      </c>
      <c r="E33" s="4">
        <v>118630768.5</v>
      </c>
      <c r="F33" s="4">
        <v>23569616.788711965</v>
      </c>
      <c r="G33" s="4">
        <v>29823273.311288029</v>
      </c>
      <c r="H33" s="4">
        <v>12438049.6</v>
      </c>
      <c r="I33" s="4">
        <v>52220886.200000003</v>
      </c>
      <c r="J33" s="4">
        <v>7924276</v>
      </c>
      <c r="K33" s="4">
        <v>18569972.099999998</v>
      </c>
      <c r="L33" s="4">
        <v>0</v>
      </c>
      <c r="M33" s="4">
        <v>14047800</v>
      </c>
      <c r="N33" s="4">
        <f t="shared" si="37"/>
        <v>45092147.599999964</v>
      </c>
      <c r="O33" s="12">
        <f t="shared" si="38"/>
        <v>0.3680564343644474</v>
      </c>
      <c r="P33" s="12">
        <f t="shared" si="39"/>
        <v>7.3125625200596608E-2</v>
      </c>
      <c r="Q33" s="12">
        <f t="shared" si="40"/>
        <v>9.2527830467768218E-2</v>
      </c>
      <c r="R33" s="12">
        <f t="shared" si="41"/>
        <v>0.20060678744020544</v>
      </c>
      <c r="S33" s="12">
        <f t="shared" si="42"/>
        <v>2.4585365216442695E-2</v>
      </c>
      <c r="T33" s="12">
        <f t="shared" si="43"/>
        <v>5.7614038952915225E-2</v>
      </c>
      <c r="U33" s="12">
        <f t="shared" si="44"/>
        <v>0</v>
      </c>
      <c r="V33" s="12">
        <f t="shared" si="45"/>
        <v>4.3583829423349679E-2</v>
      </c>
      <c r="W33" s="12">
        <f t="shared" si="46"/>
        <v>0.13990008893427475</v>
      </c>
      <c r="X33" s="4">
        <f t="shared" si="47"/>
        <v>174959104.83503228</v>
      </c>
      <c r="Y33" s="4">
        <v>348038800.14925861</v>
      </c>
      <c r="Z33" s="4">
        <f t="shared" si="48"/>
        <v>164278579.76253119</v>
      </c>
      <c r="AA33" s="18">
        <f t="shared" si="2"/>
        <v>0.114873</v>
      </c>
      <c r="AB33" s="7">
        <f t="shared" ref="AB33" si="96">(X33*O33*(1-O$2))+(X33*P33*(1-AA33-O$2))+(X33*Q33*(1-Q$2))+(X33*R33*(1-R$2))+(X33*S33*(1-S$2))+(X33*T33*(1-T$2))+(X33*U33*(1-U$2))+(X33*V33*(1-V$2))+(X33*W33*(1-W$2))</f>
        <v>162808895.29831594</v>
      </c>
      <c r="AC33" s="4">
        <f t="shared" si="3"/>
        <v>176542128.30492556</v>
      </c>
      <c r="AD33" s="4">
        <f t="shared" si="4"/>
        <v>164281984.12445986</v>
      </c>
      <c r="AE33" s="18">
        <f t="shared" si="5"/>
        <v>8.6354E-2</v>
      </c>
      <c r="AF33" s="4">
        <f t="shared" si="6"/>
        <v>164129185.97211406</v>
      </c>
      <c r="AG33" s="4">
        <f t="shared" si="7"/>
        <v>176706866.75505504</v>
      </c>
      <c r="AH33" s="4">
        <f t="shared" si="8"/>
        <v>164282341.41426075</v>
      </c>
      <c r="AI33" s="4">
        <f t="shared" si="9"/>
        <v>593742.84383062273</v>
      </c>
      <c r="AJ33" s="4">
        <f t="shared" si="50"/>
        <v>935630.01324296731</v>
      </c>
      <c r="AK33" s="4">
        <f t="shared" si="10"/>
        <v>177715610.87865826</v>
      </c>
      <c r="AL33" s="4">
        <f t="shared" si="11"/>
        <v>165220159.22268313</v>
      </c>
      <c r="AM33" s="7">
        <f t="shared" si="12"/>
        <v>936429.45222051442</v>
      </c>
      <c r="AN33" s="12">
        <f t="shared" si="13"/>
        <v>1.5399180646216764E-2</v>
      </c>
      <c r="AO33" s="4">
        <f t="shared" si="14"/>
        <v>164283729.77046263</v>
      </c>
      <c r="AP33" s="4">
        <f t="shared" si="15"/>
        <v>0</v>
      </c>
      <c r="AQ33" s="4"/>
      <c r="AR33" s="18">
        <f t="shared" si="16"/>
        <v>0.1791408420387568</v>
      </c>
      <c r="AS33" s="18">
        <f t="shared" si="71"/>
        <v>0.1021408420387568</v>
      </c>
      <c r="AT33" s="18">
        <f t="shared" si="17"/>
        <v>7.1959374906842788E-2</v>
      </c>
      <c r="AU33" s="18">
        <f t="shared" si="72"/>
        <v>-5.0406250931572111E-3</v>
      </c>
      <c r="AV33" s="18">
        <f t="shared" si="18"/>
        <v>0.92968849728960024</v>
      </c>
      <c r="AW33" s="18">
        <f t="shared" si="19"/>
        <v>0.58997240837121523</v>
      </c>
      <c r="AY33" s="7">
        <f t="shared" si="20"/>
        <v>4958401.4699586695</v>
      </c>
      <c r="AZ33" s="7">
        <f t="shared" si="21"/>
        <v>985137.53227108147</v>
      </c>
      <c r="BA33" s="7">
        <f t="shared" si="22"/>
        <v>1246521.1521045633</v>
      </c>
      <c r="BB33" s="7">
        <f t="shared" si="23"/>
        <v>2702544.7644864852</v>
      </c>
      <c r="BC33" s="7">
        <f t="shared" si="24"/>
        <v>787920.15368029778</v>
      </c>
      <c r="BD33" s="5">
        <f t="shared" si="25"/>
        <v>0</v>
      </c>
      <c r="BF33" s="7">
        <f t="shared" si="26"/>
        <v>5036521.8034591889</v>
      </c>
      <c r="BG33" s="7">
        <f t="shared" si="27"/>
        <v>2493498.0726798214</v>
      </c>
      <c r="BH33" s="7">
        <f t="shared" si="28"/>
        <v>1419974.0812075059</v>
      </c>
      <c r="BI33" s="7">
        <f t="shared" si="29"/>
        <v>2745123.7487782771</v>
      </c>
      <c r="BJ33" s="7">
        <f t="shared" si="30"/>
        <v>800333.94985033618</v>
      </c>
      <c r="BK33" s="5">
        <f t="shared" si="51"/>
        <v>0</v>
      </c>
      <c r="BM33" s="4">
        <f t="shared" si="31"/>
        <v>174959104.83503228</v>
      </c>
      <c r="BN33" s="4">
        <f t="shared" si="52"/>
        <v>4958401.4699586695</v>
      </c>
      <c r="BO33" s="4">
        <f t="shared" si="53"/>
        <v>985137.53227108147</v>
      </c>
      <c r="BP33" s="4">
        <f t="shared" si="54"/>
        <v>1246521.1521045633</v>
      </c>
      <c r="BQ33" s="4">
        <f t="shared" si="55"/>
        <v>2702544.7644864852</v>
      </c>
      <c r="BR33" s="4">
        <f t="shared" si="56"/>
        <v>787920.15368029778</v>
      </c>
      <c r="BS33" s="4">
        <f t="shared" si="57"/>
        <v>164278579.76253119</v>
      </c>
      <c r="BU33" s="4">
        <f t="shared" si="58"/>
        <v>177715610.87865826</v>
      </c>
      <c r="BV33" s="4">
        <f t="shared" si="59"/>
        <v>5036521.8034591889</v>
      </c>
      <c r="BW33" s="4">
        <f t="shared" si="60"/>
        <v>936429.45222051442</v>
      </c>
      <c r="BX33" s="4">
        <f t="shared" si="61"/>
        <v>2493498.0726798214</v>
      </c>
      <c r="BY33" s="4">
        <f t="shared" si="62"/>
        <v>1419974.0812075059</v>
      </c>
      <c r="BZ33" s="4">
        <f t="shared" si="63"/>
        <v>2745123.7487782771</v>
      </c>
      <c r="CA33" s="4">
        <f t="shared" si="64"/>
        <v>800333.94985033618</v>
      </c>
      <c r="CB33" s="4">
        <f t="shared" si="65"/>
        <v>164283729.77046263</v>
      </c>
      <c r="CD33" s="4">
        <f t="shared" si="66"/>
        <v>5150.0079314410686</v>
      </c>
      <c r="CE33" s="18">
        <f t="shared" si="67"/>
        <v>3.1349235785246831E-5</v>
      </c>
      <c r="CF33" s="5">
        <f t="shared" si="34"/>
        <v>64394824.285177529</v>
      </c>
      <c r="CG33" s="5">
        <f t="shared" si="35"/>
        <v>59436422.815218858</v>
      </c>
      <c r="CH33" s="5">
        <f t="shared" si="36"/>
        <v>59436422.815218858</v>
      </c>
      <c r="CI33" s="5">
        <f t="shared" si="68"/>
        <v>0</v>
      </c>
      <c r="CK33" s="6">
        <f t="shared" si="69"/>
        <v>7.6999999999999957E-2</v>
      </c>
      <c r="CL33" s="6">
        <f t="shared" si="70"/>
        <v>7.6999999999999957E-2</v>
      </c>
    </row>
    <row r="34" spans="1:90" x14ac:dyDescent="0.25">
      <c r="A34" s="1">
        <v>43</v>
      </c>
      <c r="B34" s="1">
        <v>210043</v>
      </c>
      <c r="D34" s="4">
        <v>554612092.60000002</v>
      </c>
      <c r="E34" s="4">
        <v>182257626.69999999</v>
      </c>
      <c r="F34" s="4">
        <v>42939073.111627147</v>
      </c>
      <c r="G34" s="4">
        <v>40784591.488372862</v>
      </c>
      <c r="H34" s="4">
        <v>18505678.899999999</v>
      </c>
      <c r="I34" s="4">
        <v>85056373.900000006</v>
      </c>
      <c r="J34" s="4">
        <v>30316916.300000001</v>
      </c>
      <c r="K34" s="4">
        <v>35822698.199999996</v>
      </c>
      <c r="L34" s="4">
        <v>2113631.4000000004</v>
      </c>
      <c r="M34" s="4">
        <v>23635000</v>
      </c>
      <c r="N34" s="4">
        <f t="shared" si="37"/>
        <v>93180502.600000024</v>
      </c>
      <c r="O34" s="12">
        <f t="shared" si="38"/>
        <v>0.32862180455817919</v>
      </c>
      <c r="P34" s="12">
        <f t="shared" si="39"/>
        <v>7.7421811901594917E-2</v>
      </c>
      <c r="Q34" s="12">
        <f t="shared" si="40"/>
        <v>7.3537147913916329E-2</v>
      </c>
      <c r="R34" s="12">
        <f t="shared" si="41"/>
        <v>0.18672880411695519</v>
      </c>
      <c r="S34" s="12">
        <f t="shared" si="42"/>
        <v>5.4663280344060781E-2</v>
      </c>
      <c r="T34" s="12">
        <f t="shared" si="43"/>
        <v>6.4590546578356361E-2</v>
      </c>
      <c r="U34" s="12">
        <f t="shared" si="44"/>
        <v>3.8110085016202552E-3</v>
      </c>
      <c r="V34" s="12">
        <f t="shared" si="45"/>
        <v>4.2615370842709242E-2</v>
      </c>
      <c r="W34" s="12">
        <f t="shared" si="46"/>
        <v>0.16801022524260772</v>
      </c>
      <c r="X34" s="4">
        <f t="shared" si="47"/>
        <v>318482048.96850967</v>
      </c>
      <c r="Y34" s="4">
        <v>633542965.92104578</v>
      </c>
      <c r="Z34" s="4">
        <f t="shared" si="48"/>
        <v>300244494.13043922</v>
      </c>
      <c r="AA34" s="18">
        <f t="shared" si="2"/>
        <v>0.114873</v>
      </c>
      <c r="AB34" s="7">
        <f t="shared" ref="AB34" si="97">(X34*O34*(1-O$2))+(X34*P34*(1-AA34-O$2))+(X34*Q34*(1-Q$2))+(X34*R34*(1-R$2))+(X34*S34*(1-S$2))+(X34*T34*(1-T$2))+(X34*U34*(1-U$2))+(X34*V34*(1-V$2))+(X34*W34*(1-W$2))</f>
        <v>297412018.03924841</v>
      </c>
      <c r="AC34" s="4">
        <f t="shared" si="3"/>
        <v>321522973.53481007</v>
      </c>
      <c r="AD34" s="4">
        <f t="shared" si="4"/>
        <v>300251762.11555558</v>
      </c>
      <c r="AE34" s="18">
        <f t="shared" si="5"/>
        <v>8.6354E-2</v>
      </c>
      <c r="AF34" s="4">
        <f t="shared" si="6"/>
        <v>300030597.23900086</v>
      </c>
      <c r="AG34" s="4">
        <f t="shared" si="7"/>
        <v>321760594.84852141</v>
      </c>
      <c r="AH34" s="4">
        <f t="shared" si="8"/>
        <v>300252334.62804574</v>
      </c>
      <c r="AI34" s="4">
        <f t="shared" si="9"/>
        <v>994441.73533317447</v>
      </c>
      <c r="AJ34" s="4">
        <f t="shared" si="50"/>
        <v>1473346.954535254</v>
      </c>
      <c r="AK34" s="4">
        <f t="shared" si="10"/>
        <v>323343570.61005765</v>
      </c>
      <c r="AL34" s="4">
        <f t="shared" si="11"/>
        <v>301729495.52242005</v>
      </c>
      <c r="AM34" s="7">
        <f t="shared" si="12"/>
        <v>1474586.659608826</v>
      </c>
      <c r="AN34" s="12">
        <f t="shared" si="13"/>
        <v>1.4871547335402358E-2</v>
      </c>
      <c r="AO34" s="4">
        <f t="shared" si="14"/>
        <v>300254908.86281121</v>
      </c>
      <c r="AP34" s="4">
        <f t="shared" si="15"/>
        <v>0</v>
      </c>
      <c r="AQ34" s="4"/>
      <c r="AR34" s="18">
        <f t="shared" si="16"/>
        <v>0.17953721243412779</v>
      </c>
      <c r="AS34" s="18">
        <f t="shared" si="71"/>
        <v>0.10253721243412779</v>
      </c>
      <c r="AT34" s="18">
        <f t="shared" si="17"/>
        <v>7.2407500295858296E-2</v>
      </c>
      <c r="AU34" s="18">
        <f t="shared" si="72"/>
        <v>-4.5924997041417032E-3</v>
      </c>
      <c r="AV34" s="18">
        <f t="shared" si="18"/>
        <v>0.93315446153186854</v>
      </c>
      <c r="AW34" s="18">
        <f t="shared" si="19"/>
        <v>0.62983653592466915</v>
      </c>
      <c r="AY34" s="7">
        <f t="shared" si="20"/>
        <v>8058831.215159189</v>
      </c>
      <c r="AZ34" s="7">
        <f t="shared" si="21"/>
        <v>1898624.2112741363</v>
      </c>
      <c r="BA34" s="7">
        <f t="shared" si="22"/>
        <v>1803360.1388051817</v>
      </c>
      <c r="BB34" s="7">
        <f t="shared" si="23"/>
        <v>4579172.4545187671</v>
      </c>
      <c r="BC34" s="7">
        <f t="shared" si="24"/>
        <v>1897566.8183132194</v>
      </c>
      <c r="BD34" s="5">
        <f t="shared" si="25"/>
        <v>4.0978193283081055E-8</v>
      </c>
      <c r="BF34" s="7">
        <f t="shared" si="26"/>
        <v>8181846.5702944873</v>
      </c>
      <c r="BG34" s="7">
        <f t="shared" si="27"/>
        <v>4803318.9615173694</v>
      </c>
      <c r="BH34" s="7">
        <f t="shared" si="28"/>
        <v>2053305.0306396005</v>
      </c>
      <c r="BI34" s="7">
        <f t="shared" si="29"/>
        <v>4649071.9859370189</v>
      </c>
      <c r="BJ34" s="7">
        <f t="shared" si="30"/>
        <v>1926532.5392491117</v>
      </c>
      <c r="BK34" s="5">
        <f t="shared" si="51"/>
        <v>0</v>
      </c>
      <c r="BM34" s="4">
        <f t="shared" si="31"/>
        <v>318482048.96850967</v>
      </c>
      <c r="BN34" s="4">
        <f t="shared" si="52"/>
        <v>8058831.215159189</v>
      </c>
      <c r="BO34" s="4">
        <f t="shared" si="53"/>
        <v>1898624.2112741363</v>
      </c>
      <c r="BP34" s="4">
        <f t="shared" si="54"/>
        <v>1803360.1388051817</v>
      </c>
      <c r="BQ34" s="4">
        <f t="shared" si="55"/>
        <v>4579172.4545187671</v>
      </c>
      <c r="BR34" s="4">
        <f t="shared" si="56"/>
        <v>1897566.8183132194</v>
      </c>
      <c r="BS34" s="4">
        <f t="shared" si="57"/>
        <v>300244494.13043916</v>
      </c>
      <c r="BU34" s="4">
        <f t="shared" si="58"/>
        <v>323343570.61005765</v>
      </c>
      <c r="BV34" s="4">
        <f t="shared" si="59"/>
        <v>8181846.5702944873</v>
      </c>
      <c r="BW34" s="4">
        <f t="shared" si="60"/>
        <v>1474586.659608826</v>
      </c>
      <c r="BX34" s="4">
        <f t="shared" si="61"/>
        <v>4803318.9615173694</v>
      </c>
      <c r="BY34" s="4">
        <f t="shared" si="62"/>
        <v>2053305.0306396005</v>
      </c>
      <c r="BZ34" s="4">
        <f t="shared" si="63"/>
        <v>4649071.9859370189</v>
      </c>
      <c r="CA34" s="4">
        <f t="shared" si="64"/>
        <v>1926532.5392491117</v>
      </c>
      <c r="CB34" s="4">
        <f t="shared" si="65"/>
        <v>300254908.86281121</v>
      </c>
      <c r="CD34" s="4">
        <f t="shared" si="66"/>
        <v>10414.732372045517</v>
      </c>
      <c r="CE34" s="18">
        <f t="shared" si="67"/>
        <v>3.4687504935630588E-5</v>
      </c>
      <c r="CF34" s="5">
        <f t="shared" si="34"/>
        <v>104660145.65141805</v>
      </c>
      <c r="CG34" s="5">
        <f t="shared" si="35"/>
        <v>96601314.436258852</v>
      </c>
      <c r="CH34" s="5">
        <f t="shared" si="36"/>
        <v>96601314.436258867</v>
      </c>
      <c r="CI34" s="5">
        <f t="shared" si="68"/>
        <v>0</v>
      </c>
      <c r="CK34" s="6">
        <f t="shared" si="69"/>
        <v>7.6999999999999846E-2</v>
      </c>
      <c r="CL34" s="6">
        <f t="shared" si="70"/>
        <v>7.7000000000000068E-2</v>
      </c>
    </row>
    <row r="35" spans="1:90" x14ac:dyDescent="0.25">
      <c r="A35" s="1">
        <v>44</v>
      </c>
      <c r="B35" s="1">
        <v>210044</v>
      </c>
      <c r="D35" s="4">
        <v>534931449</v>
      </c>
      <c r="E35" s="4">
        <v>164292248</v>
      </c>
      <c r="F35" s="4">
        <v>45222433.407401569</v>
      </c>
      <c r="G35" s="4">
        <v>14383854.692598432</v>
      </c>
      <c r="H35" s="4">
        <v>8366954.4000000004</v>
      </c>
      <c r="I35" s="4">
        <v>64426934</v>
      </c>
      <c r="J35" s="4">
        <v>15686420.6</v>
      </c>
      <c r="K35" s="4">
        <v>21793004.899999999</v>
      </c>
      <c r="L35" s="4">
        <v>110224.8</v>
      </c>
      <c r="M35" s="4">
        <v>15175889.300000001</v>
      </c>
      <c r="N35" s="4">
        <f t="shared" si="37"/>
        <v>185473484.89999998</v>
      </c>
      <c r="O35" s="12">
        <f t="shared" si="38"/>
        <v>0.30712766711908163</v>
      </c>
      <c r="P35" s="12">
        <f t="shared" si="39"/>
        <v>8.4538745089562994E-2</v>
      </c>
      <c r="Q35" s="12">
        <f t="shared" si="40"/>
        <v>2.6889155086109794E-2</v>
      </c>
      <c r="R35" s="12">
        <f t="shared" si="41"/>
        <v>0.13608077920279466</v>
      </c>
      <c r="S35" s="12">
        <f t="shared" si="42"/>
        <v>2.9324169721791773E-2</v>
      </c>
      <c r="T35" s="12">
        <f t="shared" si="43"/>
        <v>4.0739808700235906E-2</v>
      </c>
      <c r="U35" s="12">
        <f t="shared" si="44"/>
        <v>2.0605406581731934E-4</v>
      </c>
      <c r="V35" s="12">
        <f t="shared" si="45"/>
        <v>2.8369783321526121E-2</v>
      </c>
      <c r="W35" s="12">
        <f t="shared" si="46"/>
        <v>0.34672383769307974</v>
      </c>
      <c r="X35" s="4">
        <f t="shared" si="47"/>
        <v>300878888.67951423</v>
      </c>
      <c r="Y35" s="4">
        <v>598525738.37182069</v>
      </c>
      <c r="Z35" s="4">
        <f t="shared" si="48"/>
        <v>285497903.7738272</v>
      </c>
      <c r="AA35" s="18">
        <f t="shared" si="2"/>
        <v>0.114873</v>
      </c>
      <c r="AB35" s="7">
        <f t="shared" ref="AB35" si="98">(X35*O35*(1-O$2))+(X35*P35*(1-AA35-O$2))+(X35*Q35*(1-Q$2))+(X35*R35*(1-R$2))+(X35*S35*(1-S$2))+(X35*T35*(1-T$2))+(X35*U35*(1-U$2))+(X35*V35*(1-V$2))+(X35*W35*(1-W$2))</f>
        <v>282576002.91374916</v>
      </c>
      <c r="AC35" s="4">
        <f t="shared" si="3"/>
        <v>303999115.96402103</v>
      </c>
      <c r="AD35" s="4">
        <f t="shared" si="4"/>
        <v>285506422.38620842</v>
      </c>
      <c r="AE35" s="18">
        <f t="shared" si="5"/>
        <v>8.6354E-2</v>
      </c>
      <c r="AF35" s="4">
        <f t="shared" si="6"/>
        <v>285429960.17693281</v>
      </c>
      <c r="AG35" s="4">
        <f t="shared" si="7"/>
        <v>304080790.91425955</v>
      </c>
      <c r="AH35" s="4">
        <f t="shared" si="8"/>
        <v>285506646.18215394</v>
      </c>
      <c r="AI35" s="4">
        <f t="shared" si="9"/>
        <v>907671.52089573443</v>
      </c>
      <c r="AJ35" s="4">
        <f t="shared" si="50"/>
        <v>1300241.9457466064</v>
      </c>
      <c r="AK35" s="4">
        <f t="shared" si="10"/>
        <v>305469675.66167933</v>
      </c>
      <c r="AL35" s="4">
        <f t="shared" si="11"/>
        <v>286810693.78403354</v>
      </c>
      <c r="AM35" s="7">
        <f t="shared" si="12"/>
        <v>1301390.9534753859</v>
      </c>
      <c r="AN35" s="12">
        <f t="shared" si="13"/>
        <v>1.4773843780486845E-2</v>
      </c>
      <c r="AO35" s="4">
        <f t="shared" si="14"/>
        <v>285509302.83055818</v>
      </c>
      <c r="AP35" s="4">
        <f t="shared" si="15"/>
        <v>0</v>
      </c>
      <c r="AQ35" s="4"/>
      <c r="AR35" s="18">
        <f t="shared" si="16"/>
        <v>0.17954266028152321</v>
      </c>
      <c r="AS35" s="18">
        <f t="shared" si="71"/>
        <v>0.10254266028152322</v>
      </c>
      <c r="AT35" s="18">
        <f t="shared" si="17"/>
        <v>7.2413659481211146E-2</v>
      </c>
      <c r="AU35" s="18">
        <f t="shared" si="72"/>
        <v>-4.5863405187888534E-3</v>
      </c>
      <c r="AV35" s="18">
        <f t="shared" si="18"/>
        <v>0.93891707307041683</v>
      </c>
      <c r="AW35" s="18">
        <f t="shared" si="19"/>
        <v>0.6554382363195046</v>
      </c>
      <c r="AY35" s="7">
        <f t="shared" si="20"/>
        <v>7115433.799745122</v>
      </c>
      <c r="AZ35" s="7">
        <f t="shared" si="21"/>
        <v>1958566.122813951</v>
      </c>
      <c r="BA35" s="7">
        <f t="shared" si="22"/>
        <v>622959.1906876663</v>
      </c>
      <c r="BB35" s="7">
        <f t="shared" si="23"/>
        <v>3152675.1885227989</v>
      </c>
      <c r="BC35" s="7">
        <f t="shared" si="24"/>
        <v>2531350.6039174809</v>
      </c>
      <c r="BD35" s="5">
        <f t="shared" si="25"/>
        <v>-1.4901161193847656E-8</v>
      </c>
      <c r="BF35" s="7">
        <f t="shared" si="26"/>
        <v>7224000.5423427438</v>
      </c>
      <c r="BG35" s="7">
        <f t="shared" si="27"/>
        <v>4954932.7733974997</v>
      </c>
      <c r="BH35" s="7">
        <f t="shared" si="28"/>
        <v>709296.34034043923</v>
      </c>
      <c r="BI35" s="7">
        <f t="shared" si="29"/>
        <v>3200778.4644887038</v>
      </c>
      <c r="BJ35" s="7">
        <f t="shared" si="30"/>
        <v>2569973.7570764194</v>
      </c>
      <c r="BK35" s="5">
        <f t="shared" si="51"/>
        <v>0</v>
      </c>
      <c r="BM35" s="4">
        <f t="shared" si="31"/>
        <v>300878888.67951423</v>
      </c>
      <c r="BN35" s="4">
        <f t="shared" si="52"/>
        <v>7115433.799745122</v>
      </c>
      <c r="BO35" s="4">
        <f t="shared" si="53"/>
        <v>1958566.122813951</v>
      </c>
      <c r="BP35" s="4">
        <f t="shared" si="54"/>
        <v>622959.1906876663</v>
      </c>
      <c r="BQ35" s="4">
        <f t="shared" si="55"/>
        <v>3152675.1885227989</v>
      </c>
      <c r="BR35" s="4">
        <f t="shared" si="56"/>
        <v>2531350.6039174809</v>
      </c>
      <c r="BS35" s="4">
        <f t="shared" si="57"/>
        <v>285497903.7738272</v>
      </c>
      <c r="BU35" s="4">
        <f t="shared" si="58"/>
        <v>305469675.66167933</v>
      </c>
      <c r="BV35" s="4">
        <f t="shared" si="59"/>
        <v>7224000.5423427438</v>
      </c>
      <c r="BW35" s="4">
        <f t="shared" si="60"/>
        <v>1301390.9534753859</v>
      </c>
      <c r="BX35" s="4">
        <f t="shared" si="61"/>
        <v>4954932.7733974997</v>
      </c>
      <c r="BY35" s="4">
        <f t="shared" si="62"/>
        <v>709296.34034043923</v>
      </c>
      <c r="BZ35" s="4">
        <f t="shared" si="63"/>
        <v>3200778.4644887038</v>
      </c>
      <c r="CA35" s="4">
        <f t="shared" si="64"/>
        <v>2569973.7570764194</v>
      </c>
      <c r="CB35" s="4">
        <f t="shared" si="65"/>
        <v>285509302.83055812</v>
      </c>
      <c r="CD35" s="4">
        <f t="shared" si="66"/>
        <v>11399.056730926037</v>
      </c>
      <c r="CE35" s="18">
        <f t="shared" si="67"/>
        <v>3.9926936696377374E-5</v>
      </c>
      <c r="CF35" s="5">
        <f t="shared" si="34"/>
        <v>92408231.16552107</v>
      </c>
      <c r="CG35" s="5">
        <f t="shared" si="35"/>
        <v>85292797.365775943</v>
      </c>
      <c r="CH35" s="5">
        <f t="shared" si="36"/>
        <v>85292797.365775958</v>
      </c>
      <c r="CI35" s="5">
        <f t="shared" si="68"/>
        <v>0</v>
      </c>
      <c r="CK35" s="6">
        <f t="shared" si="69"/>
        <v>7.6999999999999846E-2</v>
      </c>
      <c r="CL35" s="6">
        <f t="shared" si="70"/>
        <v>7.7000000000000068E-2</v>
      </c>
    </row>
    <row r="36" spans="1:90" x14ac:dyDescent="0.25">
      <c r="A36" s="1">
        <v>48</v>
      </c>
      <c r="B36" s="1">
        <v>210048</v>
      </c>
      <c r="D36" s="4">
        <v>401343341.20000005</v>
      </c>
      <c r="E36" s="4">
        <v>121407962.7</v>
      </c>
      <c r="F36" s="4">
        <v>15794341.384114981</v>
      </c>
      <c r="G36" s="4">
        <v>16266881.115885019</v>
      </c>
      <c r="H36" s="4">
        <v>19432638.5</v>
      </c>
      <c r="I36" s="4">
        <v>40638411.200000003</v>
      </c>
      <c r="J36" s="4">
        <v>26725304.5</v>
      </c>
      <c r="K36" s="4">
        <v>22983880.800000001</v>
      </c>
      <c r="L36" s="4">
        <v>2006012</v>
      </c>
      <c r="M36" s="4">
        <v>17983000</v>
      </c>
      <c r="N36" s="4">
        <f t="shared" si="37"/>
        <v>118104909.00000006</v>
      </c>
      <c r="O36" s="12">
        <f t="shared" si="38"/>
        <v>0.3025039915624243</v>
      </c>
      <c r="P36" s="12">
        <f t="shared" si="39"/>
        <v>3.9353689877825185E-2</v>
      </c>
      <c r="Q36" s="12">
        <f t="shared" si="40"/>
        <v>4.053108509847881E-2</v>
      </c>
      <c r="R36" s="12">
        <f t="shared" si="41"/>
        <v>0.14967496288935564</v>
      </c>
      <c r="S36" s="12">
        <f t="shared" si="42"/>
        <v>6.6589629767102754E-2</v>
      </c>
      <c r="T36" s="12">
        <f t="shared" si="43"/>
        <v>5.7267377929528233E-2</v>
      </c>
      <c r="U36" s="12">
        <f t="shared" si="44"/>
        <v>4.9982441318251521E-3</v>
      </c>
      <c r="V36" s="12">
        <f t="shared" si="45"/>
        <v>4.4807022202564946E-2</v>
      </c>
      <c r="W36" s="12">
        <f t="shared" si="46"/>
        <v>0.29427399654089503</v>
      </c>
      <c r="X36" s="4">
        <f t="shared" si="47"/>
        <v>223880599.99927512</v>
      </c>
      <c r="Y36" s="4">
        <v>445356276.10756946</v>
      </c>
      <c r="Z36" s="4">
        <f t="shared" si="48"/>
        <v>212776577.56593645</v>
      </c>
      <c r="AA36" s="18">
        <f t="shared" si="2"/>
        <v>0.114873</v>
      </c>
      <c r="AB36" s="7">
        <f t="shared" ref="AB36" si="99">(X36*O36*(1-O$2))+(X36*P36*(1-AA36-O$2))+(X36*Q36*(1-Q$2))+(X36*R36*(1-R$2))+(X36*S36*(1-S$2))+(X36*T36*(1-T$2))+(X36*U36*(1-U$2))+(X36*V36*(1-V$2))+(X36*W36*(1-W$2))</f>
        <v>211764485.81722081</v>
      </c>
      <c r="AC36" s="4">
        <f t="shared" si="3"/>
        <v>224952664.70651811</v>
      </c>
      <c r="AD36" s="4">
        <f t="shared" si="4"/>
        <v>212778531.83770156</v>
      </c>
      <c r="AE36" s="18">
        <f t="shared" si="5"/>
        <v>8.6354E-2</v>
      </c>
      <c r="AF36" s="4">
        <f t="shared" si="6"/>
        <v>212693246.0355733</v>
      </c>
      <c r="AG36" s="4">
        <f t="shared" si="7"/>
        <v>225043042.58474472</v>
      </c>
      <c r="AH36" s="4">
        <f t="shared" si="8"/>
        <v>212778698.52094349</v>
      </c>
      <c r="AI36" s="4">
        <f t="shared" si="9"/>
        <v>324566.97086755931</v>
      </c>
      <c r="AJ36" s="4">
        <f t="shared" si="50"/>
        <v>460577.69608847296</v>
      </c>
      <c r="AK36" s="4">
        <f t="shared" si="10"/>
        <v>225531119.54353765</v>
      </c>
      <c r="AL36" s="4">
        <f t="shared" si="11"/>
        <v>213240176.37370098</v>
      </c>
      <c r="AM36" s="7">
        <f t="shared" si="12"/>
        <v>460843.51651877165</v>
      </c>
      <c r="AN36" s="12">
        <f t="shared" si="13"/>
        <v>7.1441956448416921E-3</v>
      </c>
      <c r="AO36" s="4">
        <f t="shared" si="14"/>
        <v>212779332.8571822</v>
      </c>
      <c r="AP36" s="4">
        <f t="shared" si="15"/>
        <v>0</v>
      </c>
      <c r="AQ36" s="4"/>
      <c r="AR36" s="18">
        <f t="shared" si="16"/>
        <v>0.1859152287248178</v>
      </c>
      <c r="AS36" s="18">
        <f t="shared" si="71"/>
        <v>0.10891522872481781</v>
      </c>
      <c r="AT36" s="18">
        <f t="shared" si="17"/>
        <v>7.9618308834520923E-2</v>
      </c>
      <c r="AU36" s="18">
        <f t="shared" si="72"/>
        <v>2.6183088345209243E-3</v>
      </c>
      <c r="AV36" s="18">
        <f t="shared" si="18"/>
        <v>0.94550222960488628</v>
      </c>
      <c r="AW36" s="18">
        <f t="shared" si="19"/>
        <v>0.66629104539276862</v>
      </c>
      <c r="AY36" s="7">
        <f t="shared" si="20"/>
        <v>5214807.6852541836</v>
      </c>
      <c r="AZ36" s="7">
        <f t="shared" si="21"/>
        <v>678410.63305653352</v>
      </c>
      <c r="BA36" s="7">
        <f t="shared" si="22"/>
        <v>698707.52108612179</v>
      </c>
      <c r="BB36" s="7">
        <f t="shared" si="23"/>
        <v>2580217.6782334396</v>
      </c>
      <c r="BC36" s="7">
        <f t="shared" si="24"/>
        <v>1931878.9157084243</v>
      </c>
      <c r="BD36" s="5">
        <f t="shared" si="25"/>
        <v>3.166496753692627E-8</v>
      </c>
      <c r="BF36" s="7">
        <f t="shared" si="26"/>
        <v>5253252.9190266058</v>
      </c>
      <c r="BG36" s="7">
        <f t="shared" si="27"/>
        <v>1702965.3071919873</v>
      </c>
      <c r="BH36" s="7">
        <f t="shared" si="28"/>
        <v>789363.72731088696</v>
      </c>
      <c r="BI36" s="7">
        <f t="shared" si="29"/>
        <v>2599239.8700016844</v>
      </c>
      <c r="BJ36" s="7">
        <f t="shared" si="30"/>
        <v>1946121.3463055184</v>
      </c>
      <c r="BK36" s="5">
        <f t="shared" si="51"/>
        <v>0</v>
      </c>
      <c r="BM36" s="4">
        <f t="shared" si="31"/>
        <v>223880599.99927512</v>
      </c>
      <c r="BN36" s="4">
        <f t="shared" si="52"/>
        <v>5214807.6852541836</v>
      </c>
      <c r="BO36" s="4">
        <f t="shared" si="53"/>
        <v>678410.63305653352</v>
      </c>
      <c r="BP36" s="4">
        <f t="shared" si="54"/>
        <v>698707.52108612179</v>
      </c>
      <c r="BQ36" s="4">
        <f t="shared" si="55"/>
        <v>2580217.6782334396</v>
      </c>
      <c r="BR36" s="4">
        <f t="shared" si="56"/>
        <v>1931878.9157084243</v>
      </c>
      <c r="BS36" s="4">
        <f t="shared" si="57"/>
        <v>212776577.56593642</v>
      </c>
      <c r="BU36" s="4">
        <f t="shared" si="58"/>
        <v>225531119.54353765</v>
      </c>
      <c r="BV36" s="4">
        <f t="shared" si="59"/>
        <v>5253252.9190266058</v>
      </c>
      <c r="BW36" s="4">
        <f t="shared" si="60"/>
        <v>460843.51651877165</v>
      </c>
      <c r="BX36" s="4">
        <f t="shared" si="61"/>
        <v>1702965.3071919873</v>
      </c>
      <c r="BY36" s="4">
        <f t="shared" si="62"/>
        <v>789363.72731088696</v>
      </c>
      <c r="BZ36" s="4">
        <f t="shared" si="63"/>
        <v>2599239.8700016844</v>
      </c>
      <c r="CA36" s="4">
        <f t="shared" si="64"/>
        <v>1946121.3463055184</v>
      </c>
      <c r="CB36" s="4">
        <f t="shared" si="65"/>
        <v>212779332.8571822</v>
      </c>
      <c r="CD36" s="4">
        <f>CB36-BS36</f>
        <v>2755.2912457883358</v>
      </c>
      <c r="CE36" s="18">
        <f t="shared" si="67"/>
        <v>1.2949222500463005E-5</v>
      </c>
      <c r="CF36" s="5">
        <f t="shared" si="34"/>
        <v>67724775.133171216</v>
      </c>
      <c r="CG36" s="5">
        <f t="shared" si="35"/>
        <v>62509967.447917029</v>
      </c>
      <c r="CH36" s="5">
        <f t="shared" si="36"/>
        <v>62509967.447917037</v>
      </c>
      <c r="CI36" s="5">
        <f t="shared" si="68"/>
        <v>0</v>
      </c>
      <c r="CK36" s="6">
        <f t="shared" si="69"/>
        <v>7.6999999999999957E-2</v>
      </c>
      <c r="CL36" s="6">
        <f t="shared" si="70"/>
        <v>7.7000000000000068E-2</v>
      </c>
    </row>
    <row r="37" spans="1:90" x14ac:dyDescent="0.25">
      <c r="A37" s="1">
        <v>49</v>
      </c>
      <c r="B37" s="1">
        <v>210049</v>
      </c>
      <c r="D37" s="4">
        <v>459407671.19999999</v>
      </c>
      <c r="E37" s="4">
        <v>181124820.59999999</v>
      </c>
      <c r="F37" s="4">
        <v>25037129.501919348</v>
      </c>
      <c r="G37" s="4">
        <v>40867598.298080653</v>
      </c>
      <c r="H37" s="4">
        <v>6358302</v>
      </c>
      <c r="I37" s="4">
        <v>52144893.399999999</v>
      </c>
      <c r="J37" s="4">
        <v>28312462.800000001</v>
      </c>
      <c r="K37" s="4">
        <v>39426214.299999997</v>
      </c>
      <c r="L37" s="4">
        <v>1299337.2999999998</v>
      </c>
      <c r="M37" s="4">
        <v>17703000</v>
      </c>
      <c r="N37" s="4">
        <f t="shared" si="37"/>
        <v>67133912.99999994</v>
      </c>
      <c r="O37" s="12">
        <f t="shared" si="38"/>
        <v>0.39425728379086761</v>
      </c>
      <c r="P37" s="12">
        <f t="shared" si="39"/>
        <v>5.4498718831840327E-2</v>
      </c>
      <c r="Q37" s="12">
        <f t="shared" si="40"/>
        <v>8.8957152568506462E-2</v>
      </c>
      <c r="R37" s="12">
        <f t="shared" si="41"/>
        <v>0.12734483785868483</v>
      </c>
      <c r="S37" s="12">
        <f t="shared" si="42"/>
        <v>6.1628189024458768E-2</v>
      </c>
      <c r="T37" s="12">
        <f t="shared" si="43"/>
        <v>8.581966904691947E-2</v>
      </c>
      <c r="U37" s="12">
        <f t="shared" si="44"/>
        <v>2.82828820991616E-3</v>
      </c>
      <c r="V37" s="12">
        <f t="shared" si="45"/>
        <v>3.8534402252706657E-2</v>
      </c>
      <c r="W37" s="12">
        <f t="shared" si="46"/>
        <v>0.14613145841609956</v>
      </c>
      <c r="X37" s="4">
        <f t="shared" si="47"/>
        <v>263855582.43639317</v>
      </c>
      <c r="Y37" s="4">
        <v>524876829.99083591</v>
      </c>
      <c r="Z37" s="4">
        <f t="shared" si="48"/>
        <v>248738850.7221168</v>
      </c>
      <c r="AA37" s="18">
        <f t="shared" si="2"/>
        <v>0.114873</v>
      </c>
      <c r="AB37" s="7">
        <f t="shared" ref="AB37" si="100">(X37*O37*(1-O$2))+(X37*P37*(1-AA37-O$2))+(X37*Q37*(1-Q$2))+(X37*R37*(1-R$2))+(X37*S37*(1-S$2))+(X37*T37*(1-T$2))+(X37*U37*(1-U$2))+(X37*V37*(1-V$2))+(X37*W37*(1-W$2))</f>
        <v>247087000.96766669</v>
      </c>
      <c r="AC37" s="4">
        <f t="shared" si="3"/>
        <v>265623201.45836529</v>
      </c>
      <c r="AD37" s="4">
        <f t="shared" si="4"/>
        <v>248742284.05457193</v>
      </c>
      <c r="AE37" s="18">
        <f t="shared" si="5"/>
        <v>8.6354E-2</v>
      </c>
      <c r="AF37" s="4">
        <f t="shared" si="6"/>
        <v>248521257.60603625</v>
      </c>
      <c r="AG37" s="4">
        <f t="shared" si="7"/>
        <v>265859936.55580235</v>
      </c>
      <c r="AH37" s="4">
        <f t="shared" si="8"/>
        <v>248742750.69779754</v>
      </c>
      <c r="AI37" s="4">
        <f t="shared" si="9"/>
        <v>729383.40763606131</v>
      </c>
      <c r="AJ37" s="4">
        <f t="shared" si="50"/>
        <v>1193638.5573498756</v>
      </c>
      <c r="AK37" s="4">
        <f t="shared" si="10"/>
        <v>267138408.62125391</v>
      </c>
      <c r="AL37" s="4">
        <f t="shared" si="11"/>
        <v>249938909.33068722</v>
      </c>
      <c r="AM37" s="7">
        <f t="shared" si="12"/>
        <v>1194618.7184210867</v>
      </c>
      <c r="AN37" s="12">
        <f t="shared" si="13"/>
        <v>1.2123156721539173E-2</v>
      </c>
      <c r="AO37" s="4">
        <f t="shared" si="14"/>
        <v>248744290.61226612</v>
      </c>
      <c r="AP37" s="4">
        <f t="shared" si="15"/>
        <v>0</v>
      </c>
      <c r="AQ37" s="4"/>
      <c r="AR37" s="18">
        <f t="shared" si="16"/>
        <v>0.18181848285923596</v>
      </c>
      <c r="AS37" s="18">
        <f t="shared" si="71"/>
        <v>0.10481848285923596</v>
      </c>
      <c r="AT37" s="18">
        <f t="shared" si="17"/>
        <v>7.4986641444240387E-2</v>
      </c>
      <c r="AU37" s="18">
        <f t="shared" si="72"/>
        <v>-2.0133585557596118E-3</v>
      </c>
      <c r="AV37" s="18">
        <f t="shared" si="18"/>
        <v>0.93561577543515284</v>
      </c>
      <c r="AW37" s="18">
        <f t="shared" si="19"/>
        <v>0.57171630249618199</v>
      </c>
      <c r="AY37" s="7">
        <f t="shared" si="20"/>
        <v>8010077.8638210883</v>
      </c>
      <c r="AZ37" s="7">
        <f t="shared" si="21"/>
        <v>1107243.9223547592</v>
      </c>
      <c r="BA37" s="7">
        <f t="shared" si="22"/>
        <v>1807331.7803191699</v>
      </c>
      <c r="BB37" s="7">
        <f t="shared" si="23"/>
        <v>2587249.7699872931</v>
      </c>
      <c r="BC37" s="7">
        <f t="shared" si="24"/>
        <v>1604828.3777940134</v>
      </c>
      <c r="BD37" s="5">
        <f t="shared" si="25"/>
        <v>-5.2154064178466797E-8</v>
      </c>
      <c r="BF37" s="7">
        <f t="shared" si="26"/>
        <v>8109737.280200745</v>
      </c>
      <c r="BG37" s="7">
        <f t="shared" si="27"/>
        <v>2793421.6409322969</v>
      </c>
      <c r="BH37" s="7">
        <f t="shared" si="28"/>
        <v>2052105.4175951965</v>
      </c>
      <c r="BI37" s="7">
        <f t="shared" si="29"/>
        <v>2619439.6945409519</v>
      </c>
      <c r="BJ37" s="7">
        <f t="shared" si="30"/>
        <v>1624795.2572975</v>
      </c>
      <c r="BK37" s="5">
        <f t="shared" si="51"/>
        <v>0</v>
      </c>
      <c r="BM37" s="4">
        <f t="shared" si="31"/>
        <v>263855582.43639317</v>
      </c>
      <c r="BN37" s="4">
        <f t="shared" si="52"/>
        <v>8010077.8638210883</v>
      </c>
      <c r="BO37" s="4">
        <f t="shared" si="53"/>
        <v>1107243.9223547592</v>
      </c>
      <c r="BP37" s="4">
        <f t="shared" si="54"/>
        <v>1807331.7803191699</v>
      </c>
      <c r="BQ37" s="4">
        <f t="shared" si="55"/>
        <v>2587249.7699872931</v>
      </c>
      <c r="BR37" s="4">
        <f t="shared" si="56"/>
        <v>1604828.3777940134</v>
      </c>
      <c r="BS37" s="4">
        <f t="shared" si="57"/>
        <v>248738850.72211686</v>
      </c>
      <c r="BU37" s="4">
        <f t="shared" si="58"/>
        <v>267138408.62125391</v>
      </c>
      <c r="BV37" s="4">
        <f t="shared" si="59"/>
        <v>8109737.280200745</v>
      </c>
      <c r="BW37" s="4">
        <f t="shared" si="60"/>
        <v>1194618.7184210867</v>
      </c>
      <c r="BX37" s="4">
        <f t="shared" si="61"/>
        <v>2793421.6409322969</v>
      </c>
      <c r="BY37" s="4">
        <f t="shared" si="62"/>
        <v>2052105.4175951965</v>
      </c>
      <c r="BZ37" s="4">
        <f t="shared" si="63"/>
        <v>2619439.6945409519</v>
      </c>
      <c r="CA37" s="4">
        <f t="shared" si="64"/>
        <v>1624795.2572975</v>
      </c>
      <c r="CB37" s="4">
        <f t="shared" si="65"/>
        <v>248744290.61226612</v>
      </c>
      <c r="CD37" s="4">
        <f t="shared" si="66"/>
        <v>5439.8901492655277</v>
      </c>
      <c r="CE37" s="18">
        <f t="shared" si="67"/>
        <v>2.1869885357566439E-5</v>
      </c>
      <c r="CF37" s="5">
        <f t="shared" si="34"/>
        <v>104026985.24442972</v>
      </c>
      <c r="CG37" s="5">
        <f t="shared" si="35"/>
        <v>96016907.380608633</v>
      </c>
      <c r="CH37" s="5">
        <f t="shared" si="36"/>
        <v>96016907.380608618</v>
      </c>
      <c r="CI37" s="5">
        <f t="shared" si="68"/>
        <v>0</v>
      </c>
      <c r="CK37" s="6">
        <f t="shared" si="69"/>
        <v>7.7000000000000179E-2</v>
      </c>
      <c r="CL37" s="6">
        <f t="shared" si="70"/>
        <v>7.6999999999999957E-2</v>
      </c>
    </row>
    <row r="38" spans="1:90" x14ac:dyDescent="0.25">
      <c r="A38" s="1">
        <v>51</v>
      </c>
      <c r="B38" s="1">
        <v>210051</v>
      </c>
      <c r="D38" s="4">
        <v>326288289.5</v>
      </c>
      <c r="E38" s="4">
        <v>93352818.100000009</v>
      </c>
      <c r="F38" s="4">
        <v>35800327.452351242</v>
      </c>
      <c r="G38" s="4">
        <v>9788066.8476487547</v>
      </c>
      <c r="H38" s="4">
        <v>14672785.5</v>
      </c>
      <c r="I38" s="4">
        <v>52534663.399999999</v>
      </c>
      <c r="J38" s="4">
        <v>10446850.700000001</v>
      </c>
      <c r="K38" s="4">
        <v>14459044.700000001</v>
      </c>
      <c r="L38" s="4">
        <v>1010147.2</v>
      </c>
      <c r="M38" s="4">
        <v>17527323</v>
      </c>
      <c r="N38" s="4">
        <f t="shared" si="37"/>
        <v>76696262.600000024</v>
      </c>
      <c r="O38" s="12">
        <f t="shared" si="38"/>
        <v>0.2861053280307812</v>
      </c>
      <c r="P38" s="12">
        <f t="shared" si="39"/>
        <v>0.10971992745192052</v>
      </c>
      <c r="Q38" s="12">
        <f t="shared" si="40"/>
        <v>2.9998216799775018E-2</v>
      </c>
      <c r="R38" s="12">
        <f t="shared" si="41"/>
        <v>0.20597566956199329</v>
      </c>
      <c r="S38" s="12">
        <f t="shared" si="42"/>
        <v>3.2017240692298894E-2</v>
      </c>
      <c r="T38" s="12">
        <f t="shared" si="43"/>
        <v>4.4313710192164284E-2</v>
      </c>
      <c r="U38" s="12">
        <f t="shared" si="44"/>
        <v>3.0958732890718713E-3</v>
      </c>
      <c r="V38" s="12">
        <f t="shared" si="45"/>
        <v>5.3717291009305439E-2</v>
      </c>
      <c r="W38" s="12">
        <f t="shared" si="46"/>
        <v>0.23505674297268955</v>
      </c>
      <c r="X38" s="4">
        <f t="shared" si="47"/>
        <v>174357150.83088201</v>
      </c>
      <c r="Y38" s="4">
        <v>346841358.32679933</v>
      </c>
      <c r="Z38" s="4">
        <f t="shared" si="48"/>
        <v>164764325.80196199</v>
      </c>
      <c r="AA38" s="18">
        <f t="shared" si="2"/>
        <v>0.114873</v>
      </c>
      <c r="AB38" s="7">
        <f t="shared" ref="AB38" si="101">(X38*O38*(1-O$2))+(X38*P38*(1-AA38-O$2))+(X38*Q38*(1-Q$2))+(X38*R38*(1-R$2))+(X38*S38*(1-S$2))+(X38*T38*(1-T$2))+(X38*U38*(1-U$2))+(X38*V38*(1-V$2))+(X38*W38*(1-W$2))</f>
        <v>162566753.16652524</v>
      </c>
      <c r="AC38" s="4">
        <f t="shared" si="3"/>
        <v>176721972.03413686</v>
      </c>
      <c r="AD38" s="4">
        <f t="shared" si="4"/>
        <v>164771660.18066531</v>
      </c>
      <c r="AE38" s="18">
        <f t="shared" si="5"/>
        <v>8.6354E-2</v>
      </c>
      <c r="AF38" s="4">
        <f t="shared" si="6"/>
        <v>164722071.40860534</v>
      </c>
      <c r="AG38" s="4">
        <f t="shared" si="7"/>
        <v>176775351.31212571</v>
      </c>
      <c r="AH38" s="4">
        <f t="shared" si="8"/>
        <v>164771826.08901891</v>
      </c>
      <c r="AI38" s="4">
        <f t="shared" si="9"/>
        <v>638586.81870177388</v>
      </c>
      <c r="AJ38" s="4">
        <f t="shared" si="50"/>
        <v>891026.01188364229</v>
      </c>
      <c r="AK38" s="4">
        <f t="shared" si="10"/>
        <v>177734486.27772069</v>
      </c>
      <c r="AL38" s="4">
        <f t="shared" si="11"/>
        <v>165665833.19223699</v>
      </c>
      <c r="AM38" s="7">
        <f t="shared" si="12"/>
        <v>891870.59361440688</v>
      </c>
      <c r="AN38" s="12">
        <f t="shared" si="13"/>
        <v>1.8816677871138568E-2</v>
      </c>
      <c r="AO38" s="4">
        <f t="shared" si="14"/>
        <v>164773962.59862259</v>
      </c>
      <c r="AP38" s="4">
        <f t="shared" si="15"/>
        <v>0</v>
      </c>
      <c r="AQ38" s="4"/>
      <c r="AR38" s="18">
        <f t="shared" si="16"/>
        <v>0.17621940650159096</v>
      </c>
      <c r="AS38" s="18">
        <f t="shared" si="71"/>
        <v>9.9219406501590959E-2</v>
      </c>
      <c r="AT38" s="18">
        <f t="shared" si="17"/>
        <v>6.865648081619935E-2</v>
      </c>
      <c r="AU38" s="18">
        <f t="shared" si="72"/>
        <v>-8.3435191838006489E-3</v>
      </c>
      <c r="AV38" s="18">
        <f t="shared" si="18"/>
        <v>0.93209729108719097</v>
      </c>
      <c r="AW38" s="18">
        <f t="shared" si="19"/>
        <v>0.66802207331478003</v>
      </c>
      <c r="AY38" s="7">
        <f t="shared" si="20"/>
        <v>3841107.2571396055</v>
      </c>
      <c r="AZ38" s="7">
        <f t="shared" si="21"/>
        <v>1473044.9533713711</v>
      </c>
      <c r="BA38" s="7">
        <f t="shared" si="22"/>
        <v>402741.07806362212</v>
      </c>
      <c r="BB38" s="7">
        <f t="shared" si="23"/>
        <v>2765326.4781690533</v>
      </c>
      <c r="BC38" s="7">
        <f t="shared" si="24"/>
        <v>1110605.2621764014</v>
      </c>
      <c r="BD38" s="5">
        <f t="shared" si="25"/>
        <v>2.9802322387695313E-8</v>
      </c>
      <c r="BF38" s="7">
        <f t="shared" si="26"/>
        <v>3915510.3294129637</v>
      </c>
      <c r="BG38" s="7">
        <f t="shared" si="27"/>
        <v>3741718.239601017</v>
      </c>
      <c r="BH38" s="7">
        <f t="shared" si="28"/>
        <v>460415.14613425359</v>
      </c>
      <c r="BI38" s="7">
        <f t="shared" si="29"/>
        <v>2818891.4457789026</v>
      </c>
      <c r="BJ38" s="7">
        <f t="shared" si="30"/>
        <v>1132117.9245565757</v>
      </c>
      <c r="BK38" s="5">
        <f t="shared" si="51"/>
        <v>0</v>
      </c>
      <c r="BM38" s="4">
        <f t="shared" si="31"/>
        <v>174357150.83088201</v>
      </c>
      <c r="BN38" s="4">
        <f t="shared" si="52"/>
        <v>3841107.2571396055</v>
      </c>
      <c r="BO38" s="4">
        <f t="shared" si="53"/>
        <v>1473044.9533713711</v>
      </c>
      <c r="BP38" s="4">
        <f t="shared" si="54"/>
        <v>402741.07806362212</v>
      </c>
      <c r="BQ38" s="4">
        <f t="shared" si="55"/>
        <v>2765326.4781690533</v>
      </c>
      <c r="BR38" s="4">
        <f t="shared" si="56"/>
        <v>1110605.2621764014</v>
      </c>
      <c r="BS38" s="4">
        <f t="shared" si="57"/>
        <v>164764325.80196196</v>
      </c>
      <c r="BU38" s="4">
        <f t="shared" si="58"/>
        <v>177734486.27772069</v>
      </c>
      <c r="BV38" s="4">
        <f t="shared" si="59"/>
        <v>3915510.3294129637</v>
      </c>
      <c r="BW38" s="4">
        <f t="shared" si="60"/>
        <v>891870.59361440688</v>
      </c>
      <c r="BX38" s="4">
        <f t="shared" si="61"/>
        <v>3741718.239601017</v>
      </c>
      <c r="BY38" s="4">
        <f t="shared" si="62"/>
        <v>460415.14613425359</v>
      </c>
      <c r="BZ38" s="4">
        <f t="shared" si="63"/>
        <v>2818891.4457789026</v>
      </c>
      <c r="CA38" s="4">
        <f t="shared" si="64"/>
        <v>1132117.9245565757</v>
      </c>
      <c r="CB38" s="4">
        <f t="shared" si="65"/>
        <v>164773962.59862256</v>
      </c>
      <c r="CD38" s="4">
        <f t="shared" si="66"/>
        <v>9636.7966606020927</v>
      </c>
      <c r="CE38" s="18">
        <f t="shared" si="67"/>
        <v>5.8488368848636658E-5</v>
      </c>
      <c r="CF38" s="5">
        <f t="shared" si="34"/>
        <v>49884509.832981892</v>
      </c>
      <c r="CG38" s="5">
        <f t="shared" si="35"/>
        <v>46043402.575842284</v>
      </c>
      <c r="CH38" s="5">
        <f t="shared" si="36"/>
        <v>46043402.575842284</v>
      </c>
      <c r="CI38" s="5">
        <f t="shared" si="68"/>
        <v>0</v>
      </c>
      <c r="CK38" s="6">
        <f t="shared" si="69"/>
        <v>7.7000000000000068E-2</v>
      </c>
      <c r="CL38" s="6">
        <f t="shared" si="70"/>
        <v>7.7000000000000068E-2</v>
      </c>
    </row>
    <row r="39" spans="1:90" x14ac:dyDescent="0.25">
      <c r="A39" s="1">
        <v>55</v>
      </c>
      <c r="B39" s="1">
        <v>210055</v>
      </c>
      <c r="D39" s="4">
        <v>44865831.899999999</v>
      </c>
      <c r="E39" s="4">
        <v>5675446.2999999998</v>
      </c>
      <c r="F39" s="4">
        <v>1060243.873114137</v>
      </c>
      <c r="G39" s="4">
        <v>1575949.8268858627</v>
      </c>
      <c r="H39" s="4">
        <v>-659389</v>
      </c>
      <c r="I39" s="4">
        <v>10444154.399999999</v>
      </c>
      <c r="J39" s="4">
        <v>0</v>
      </c>
      <c r="K39" s="4">
        <v>7020203.4000000004</v>
      </c>
      <c r="L39" s="4">
        <v>124797.3</v>
      </c>
      <c r="M39" s="4">
        <v>7309000</v>
      </c>
      <c r="N39" s="4">
        <f t="shared" si="37"/>
        <v>12315425.800000001</v>
      </c>
      <c r="O39" s="12">
        <f t="shared" si="38"/>
        <v>0.12649818491385201</v>
      </c>
      <c r="P39" s="12">
        <f t="shared" si="39"/>
        <v>2.363143238884504E-2</v>
      </c>
      <c r="Q39" s="12">
        <f t="shared" si="40"/>
        <v>3.5125835410751913E-2</v>
      </c>
      <c r="R39" s="12">
        <f t="shared" si="41"/>
        <v>0.21808946776711832</v>
      </c>
      <c r="S39" s="12">
        <f t="shared" si="42"/>
        <v>0</v>
      </c>
      <c r="T39" s="12">
        <f t="shared" si="43"/>
        <v>0.15647104049351196</v>
      </c>
      <c r="U39" s="12">
        <f t="shared" si="44"/>
        <v>2.7815666112723969E-3</v>
      </c>
      <c r="V39" s="12">
        <f t="shared" si="45"/>
        <v>0.16290793440074383</v>
      </c>
      <c r="W39" s="12">
        <f t="shared" si="46"/>
        <v>0.27449453801390455</v>
      </c>
      <c r="X39" s="4">
        <f t="shared" si="47"/>
        <v>24380606.626711786</v>
      </c>
      <c r="Y39" s="4">
        <v>48499316.941937119</v>
      </c>
      <c r="Z39" s="4">
        <f t="shared" si="48"/>
        <v>23411904.130533662</v>
      </c>
      <c r="AA39" s="18">
        <f t="shared" si="2"/>
        <v>0.114873</v>
      </c>
      <c r="AB39" s="7">
        <f t="shared" ref="AB39" si="102">(X39*O39*(1-O$2))+(X39*P39*(1-AA39-O$2))+(X39*Q39*(1-Q$2))+(X39*R39*(1-R$2))+(X39*S39*(1-S$2))+(X39*T39*(1-T$2))+(X39*U39*(1-U$2))+(X39*V39*(1-V$2))+(X39*W39*(1-W$2))</f>
        <v>23345720.205846824</v>
      </c>
      <c r="AC39" s="4">
        <f t="shared" si="3"/>
        <v>24449844.267716914</v>
      </c>
      <c r="AD39" s="4">
        <f t="shared" si="4"/>
        <v>23412018.908720262</v>
      </c>
      <c r="AE39" s="18">
        <f t="shared" si="5"/>
        <v>8.6354E-2</v>
      </c>
      <c r="AF39" s="4">
        <f t="shared" si="6"/>
        <v>23403985.495163396</v>
      </c>
      <c r="AG39" s="4">
        <f t="shared" si="7"/>
        <v>24458251.471766658</v>
      </c>
      <c r="AH39" s="4">
        <f t="shared" si="8"/>
        <v>23412033.07532303</v>
      </c>
      <c r="AI39" s="4">
        <f t="shared" si="9"/>
        <v>9065.6432058722712</v>
      </c>
      <c r="AJ39" s="4">
        <f t="shared" si="50"/>
        <v>10325.044727388198</v>
      </c>
      <c r="AK39" s="4">
        <f t="shared" si="10"/>
        <v>24469056.935375791</v>
      </c>
      <c r="AL39" s="4">
        <f t="shared" si="11"/>
        <v>23422376.327852882</v>
      </c>
      <c r="AM39" s="7">
        <f t="shared" si="12"/>
        <v>10327.265631484799</v>
      </c>
      <c r="AN39" s="12">
        <f t="shared" si="13"/>
        <v>3.4855402267530357E-3</v>
      </c>
      <c r="AO39" s="4">
        <f t="shared" si="14"/>
        <v>23412049.062221397</v>
      </c>
      <c r="AP39" s="4">
        <f t="shared" si="15"/>
        <v>0</v>
      </c>
      <c r="AQ39" s="4"/>
      <c r="AR39" s="18">
        <f t="shared" si="16"/>
        <v>0.18894119917633212</v>
      </c>
      <c r="AS39" s="18">
        <f t="shared" si="71"/>
        <v>0.11194119917633212</v>
      </c>
      <c r="AT39" s="18">
        <f t="shared" si="17"/>
        <v>8.3039387203569737E-2</v>
      </c>
      <c r="AU39" s="18">
        <f t="shared" si="72"/>
        <v>6.0393872035697377E-3</v>
      </c>
      <c r="AV39" s="18">
        <f t="shared" si="18"/>
        <v>0.95722431762338656</v>
      </c>
      <c r="AW39" s="18">
        <f t="shared" si="19"/>
        <v>0.8404664929479011</v>
      </c>
      <c r="AY39" s="7">
        <f t="shared" si="20"/>
        <v>237475.89137408082</v>
      </c>
      <c r="AZ39" s="7">
        <f t="shared" si="21"/>
        <v>44363.446596558846</v>
      </c>
      <c r="BA39" s="7">
        <f t="shared" si="22"/>
        <v>65941.96651998075</v>
      </c>
      <c r="BB39" s="7">
        <f t="shared" si="23"/>
        <v>409420.82127554697</v>
      </c>
      <c r="BC39" s="7">
        <f t="shared" si="24"/>
        <v>211500.37041196052</v>
      </c>
      <c r="BD39" s="5">
        <f t="shared" si="25"/>
        <v>3.8417056202888489E-9</v>
      </c>
      <c r="BF39" s="7">
        <f t="shared" si="26"/>
        <v>238337.42924366298</v>
      </c>
      <c r="BG39" s="7">
        <f t="shared" si="27"/>
        <v>110948.42566492694</v>
      </c>
      <c r="BH39" s="7">
        <f t="shared" si="28"/>
        <v>74220.923332441365</v>
      </c>
      <c r="BI39" s="7">
        <f t="shared" si="29"/>
        <v>410906.15749255545</v>
      </c>
      <c r="BJ39" s="7">
        <f t="shared" si="30"/>
        <v>212267.67178931809</v>
      </c>
      <c r="BK39" s="5">
        <f t="shared" si="51"/>
        <v>-3.7252902984619141E-9</v>
      </c>
      <c r="BM39" s="4">
        <f t="shared" si="31"/>
        <v>24380606.626711786</v>
      </c>
      <c r="BN39" s="4">
        <f t="shared" si="52"/>
        <v>237475.89137408082</v>
      </c>
      <c r="BO39" s="4">
        <f t="shared" si="53"/>
        <v>44363.446596558846</v>
      </c>
      <c r="BP39" s="4">
        <f t="shared" si="54"/>
        <v>65941.96651998075</v>
      </c>
      <c r="BQ39" s="4">
        <f t="shared" si="55"/>
        <v>409420.82127554697</v>
      </c>
      <c r="BR39" s="4">
        <f t="shared" si="56"/>
        <v>211500.37041196052</v>
      </c>
      <c r="BS39" s="4">
        <f t="shared" si="57"/>
        <v>23411904.130533658</v>
      </c>
      <c r="BU39" s="4">
        <f t="shared" si="58"/>
        <v>24469056.935375791</v>
      </c>
      <c r="BV39" s="4">
        <f t="shared" si="59"/>
        <v>238337.42924366298</v>
      </c>
      <c r="BW39" s="4">
        <f t="shared" si="60"/>
        <v>10327.265631484799</v>
      </c>
      <c r="BX39" s="4">
        <f t="shared" si="61"/>
        <v>110948.42566492694</v>
      </c>
      <c r="BY39" s="4">
        <f t="shared" si="62"/>
        <v>74220.923332441365</v>
      </c>
      <c r="BZ39" s="4">
        <f t="shared" si="63"/>
        <v>410906.15749255545</v>
      </c>
      <c r="CA39" s="4">
        <f t="shared" si="64"/>
        <v>212267.67178931809</v>
      </c>
      <c r="CB39" s="4">
        <f t="shared" si="65"/>
        <v>23412049.0622214</v>
      </c>
      <c r="CD39" s="4">
        <f t="shared" si="66"/>
        <v>144.93168774247169</v>
      </c>
      <c r="CE39" s="18">
        <f t="shared" si="67"/>
        <v>6.190512609927046E-6</v>
      </c>
      <c r="CF39" s="5">
        <f t="shared" si="34"/>
        <v>3084102.4853776731</v>
      </c>
      <c r="CG39" s="5">
        <f t="shared" si="35"/>
        <v>2846626.5940035922</v>
      </c>
      <c r="CH39" s="5">
        <f t="shared" si="36"/>
        <v>2846626.5940035922</v>
      </c>
      <c r="CI39" s="5">
        <f t="shared" si="68"/>
        <v>0</v>
      </c>
      <c r="CK39" s="6">
        <f t="shared" si="69"/>
        <v>7.7000000000000068E-2</v>
      </c>
      <c r="CL39" s="6">
        <f t="shared" si="70"/>
        <v>7.7000000000000068E-2</v>
      </c>
    </row>
    <row r="40" spans="1:90" x14ac:dyDescent="0.25">
      <c r="A40" s="1">
        <v>2004</v>
      </c>
      <c r="B40" s="1">
        <v>210056</v>
      </c>
      <c r="D40" s="4">
        <v>328543892.10000002</v>
      </c>
      <c r="E40" s="4">
        <v>122110058.8</v>
      </c>
      <c r="F40" s="4">
        <v>26389752.987831715</v>
      </c>
      <c r="G40" s="4">
        <v>40845710.112168282</v>
      </c>
      <c r="H40" s="4">
        <v>14512319.600000001</v>
      </c>
      <c r="I40" s="4">
        <v>56449240.799999997</v>
      </c>
      <c r="J40" s="4">
        <v>8904352.6999999993</v>
      </c>
      <c r="K40" s="4">
        <v>14951033.699999999</v>
      </c>
      <c r="L40" s="4">
        <v>2970682.3</v>
      </c>
      <c r="M40" s="4">
        <v>17450430.300000001</v>
      </c>
      <c r="N40" s="4">
        <f t="shared" si="37"/>
        <v>23960310.800000012</v>
      </c>
      <c r="O40" s="12">
        <f t="shared" si="38"/>
        <v>0.3716704578480885</v>
      </c>
      <c r="P40" s="12">
        <f t="shared" si="39"/>
        <v>8.0323371161011806E-2</v>
      </c>
      <c r="Q40" s="12">
        <f t="shared" si="40"/>
        <v>0.12432344990828785</v>
      </c>
      <c r="R40" s="12">
        <f t="shared" si="41"/>
        <v>0.21598806767164369</v>
      </c>
      <c r="S40" s="12">
        <f t="shared" si="42"/>
        <v>2.7102475237280477E-2</v>
      </c>
      <c r="T40" s="12">
        <f t="shared" si="43"/>
        <v>4.5506959829432175E-2</v>
      </c>
      <c r="U40" s="12">
        <f t="shared" si="44"/>
        <v>9.0419647767970169E-3</v>
      </c>
      <c r="V40" s="12">
        <f t="shared" si="45"/>
        <v>5.3114456605659721E-2</v>
      </c>
      <c r="W40" s="12">
        <f t="shared" si="46"/>
        <v>7.2928796961798728E-2</v>
      </c>
      <c r="X40" s="4">
        <f t="shared" si="47"/>
        <v>177261787.67680568</v>
      </c>
      <c r="Y40" s="4">
        <v>352619430.42929322</v>
      </c>
      <c r="Z40" s="4">
        <f t="shared" si="48"/>
        <v>165887453.26986104</v>
      </c>
      <c r="AA40" s="18">
        <f t="shared" si="2"/>
        <v>0.114873</v>
      </c>
      <c r="AB40" s="7">
        <f t="shared" ref="AB40" si="103">(X40*O40*(1-O$2))+(X40*P40*(1-AA40-O$2))+(X40*Q40*(1-Q$2))+(X40*R40*(1-R$2))+(X40*S40*(1-S$2))+(X40*T40*(1-T$2))+(X40*U40*(1-U$2))+(X40*V40*(1-V$2))+(X40*W40*(1-W$2))</f>
        <v>164251861.12754902</v>
      </c>
      <c r="AC40" s="4">
        <f t="shared" si="3"/>
        <v>179030995.69206455</v>
      </c>
      <c r="AD40" s="4">
        <f t="shared" si="4"/>
        <v>165891220.14020815</v>
      </c>
      <c r="AE40" s="18">
        <f t="shared" si="5"/>
        <v>8.6354E-2</v>
      </c>
      <c r="AF40" s="4">
        <f t="shared" si="6"/>
        <v>165683021.13712075</v>
      </c>
      <c r="AG40" s="4">
        <f t="shared" si="7"/>
        <v>179256490.13626322</v>
      </c>
      <c r="AH40" s="4">
        <f t="shared" si="8"/>
        <v>165891703.44165719</v>
      </c>
      <c r="AI40" s="4">
        <f t="shared" si="9"/>
        <v>684286.33419624716</v>
      </c>
      <c r="AJ40" s="4">
        <f t="shared" si="50"/>
        <v>1087358.3679384864</v>
      </c>
      <c r="AK40" s="4">
        <f t="shared" si="10"/>
        <v>180434177.19137433</v>
      </c>
      <c r="AL40" s="4">
        <f t="shared" si="11"/>
        <v>166981585.9421182</v>
      </c>
      <c r="AM40" s="7">
        <f t="shared" si="12"/>
        <v>1088294.0366740897</v>
      </c>
      <c r="AN40" s="12">
        <f t="shared" si="13"/>
        <v>1.753555941768253E-2</v>
      </c>
      <c r="AO40" s="4">
        <f t="shared" si="14"/>
        <v>165893291.90544412</v>
      </c>
      <c r="AP40" s="4">
        <f t="shared" si="15"/>
        <v>0</v>
      </c>
      <c r="AQ40" s="4"/>
      <c r="AR40" s="18">
        <f t="shared" si="16"/>
        <v>0.17741024604247979</v>
      </c>
      <c r="AS40" s="18">
        <f t="shared" si="71"/>
        <v>0.10041024604247979</v>
      </c>
      <c r="AT40" s="18">
        <f t="shared" si="17"/>
        <v>7.0002811013278321E-2</v>
      </c>
      <c r="AU40" s="18">
        <f t="shared" si="72"/>
        <v>-6.997188986721678E-3</v>
      </c>
      <c r="AV40" s="18">
        <f t="shared" si="18"/>
        <v>0.92544322002262402</v>
      </c>
      <c r="AW40" s="18">
        <f t="shared" si="19"/>
        <v>0.58239138742883834</v>
      </c>
      <c r="AY40" s="7">
        <f t="shared" si="20"/>
        <v>5072988.6734302938</v>
      </c>
      <c r="AZ40" s="7">
        <f t="shared" si="21"/>
        <v>1096346.356045597</v>
      </c>
      <c r="BA40" s="7">
        <f t="shared" si="22"/>
        <v>1696910.3675285999</v>
      </c>
      <c r="BB40" s="7">
        <f t="shared" si="23"/>
        <v>2948055.1864097519</v>
      </c>
      <c r="BC40" s="7">
        <f t="shared" si="24"/>
        <v>560033.82353039505</v>
      </c>
      <c r="BD40" s="5">
        <f t="shared" si="25"/>
        <v>0</v>
      </c>
      <c r="BF40" s="7">
        <f t="shared" si="26"/>
        <v>5163778.100108414</v>
      </c>
      <c r="BG40" s="7">
        <f t="shared" si="27"/>
        <v>2780831.0045216563</v>
      </c>
      <c r="BH40" s="7">
        <f t="shared" si="28"/>
        <v>1937110.146106354</v>
      </c>
      <c r="BI40" s="7">
        <f t="shared" si="29"/>
        <v>3000815.4540585689</v>
      </c>
      <c r="BJ40" s="7">
        <f t="shared" si="30"/>
        <v>570056.54446115135</v>
      </c>
      <c r="BK40" s="5">
        <f t="shared" si="51"/>
        <v>0</v>
      </c>
      <c r="BM40" s="4">
        <f t="shared" si="31"/>
        <v>177261787.67680568</v>
      </c>
      <c r="BN40" s="4">
        <f t="shared" si="52"/>
        <v>5072988.6734302938</v>
      </c>
      <c r="BO40" s="4">
        <f t="shared" si="53"/>
        <v>1096346.356045597</v>
      </c>
      <c r="BP40" s="4">
        <f t="shared" si="54"/>
        <v>1696910.3675285999</v>
      </c>
      <c r="BQ40" s="4">
        <f t="shared" si="55"/>
        <v>2948055.1864097519</v>
      </c>
      <c r="BR40" s="4">
        <f t="shared" si="56"/>
        <v>560033.82353039505</v>
      </c>
      <c r="BS40" s="4">
        <f t="shared" si="57"/>
        <v>165887453.26986104</v>
      </c>
      <c r="BU40" s="4">
        <f t="shared" si="58"/>
        <v>180434177.19137433</v>
      </c>
      <c r="BV40" s="4">
        <f t="shared" si="59"/>
        <v>5163778.100108414</v>
      </c>
      <c r="BW40" s="4">
        <f t="shared" si="60"/>
        <v>1088294.0366740897</v>
      </c>
      <c r="BX40" s="4">
        <f t="shared" si="61"/>
        <v>2780831.0045216563</v>
      </c>
      <c r="BY40" s="4">
        <f t="shared" si="62"/>
        <v>1937110.146106354</v>
      </c>
      <c r="BZ40" s="4">
        <f t="shared" si="63"/>
        <v>3000815.4540585689</v>
      </c>
      <c r="CA40" s="4">
        <f t="shared" si="64"/>
        <v>570056.54446115135</v>
      </c>
      <c r="CB40" s="4">
        <f t="shared" si="65"/>
        <v>165893291.90544409</v>
      </c>
      <c r="CD40" s="4">
        <f t="shared" si="66"/>
        <v>5838.6355830430984</v>
      </c>
      <c r="CE40" s="18">
        <f t="shared" si="67"/>
        <v>3.5196366379469162E-5</v>
      </c>
      <c r="CF40" s="5">
        <f t="shared" si="34"/>
        <v>65882969.784809016</v>
      </c>
      <c r="CG40" s="5">
        <f t="shared" si="35"/>
        <v>60809981.111378722</v>
      </c>
      <c r="CH40" s="5">
        <f t="shared" si="36"/>
        <v>60809981.111378722</v>
      </c>
      <c r="CI40" s="5">
        <f t="shared" si="68"/>
        <v>0</v>
      </c>
      <c r="CK40" s="6">
        <f t="shared" si="69"/>
        <v>7.6999999999999957E-2</v>
      </c>
      <c r="CL40" s="6">
        <f t="shared" si="70"/>
        <v>7.6999999999999957E-2</v>
      </c>
    </row>
    <row r="41" spans="1:90" x14ac:dyDescent="0.25">
      <c r="A41" s="1">
        <v>2001</v>
      </c>
      <c r="B41" s="1">
        <v>210058</v>
      </c>
      <c r="D41" s="4">
        <v>156242273.30000001</v>
      </c>
      <c r="E41" s="4">
        <v>47893188.600000001</v>
      </c>
      <c r="F41" s="4">
        <v>4952052.9815772912</v>
      </c>
      <c r="G41" s="4">
        <v>7473034.7184227081</v>
      </c>
      <c r="H41" s="4">
        <v>3676701.8</v>
      </c>
      <c r="I41" s="4">
        <v>32997858.800000001</v>
      </c>
      <c r="J41" s="4">
        <v>11239838.799999999</v>
      </c>
      <c r="K41" s="4">
        <v>13550906.300000001</v>
      </c>
      <c r="L41" s="4">
        <v>407449.59999999998</v>
      </c>
      <c r="M41" s="4">
        <v>5372000</v>
      </c>
      <c r="N41" s="4">
        <f t="shared" si="37"/>
        <v>28679241.700000018</v>
      </c>
      <c r="O41" s="12">
        <f t="shared" si="38"/>
        <v>0.30653156529565162</v>
      </c>
      <c r="P41" s="12">
        <f t="shared" si="39"/>
        <v>3.1694706413218136E-2</v>
      </c>
      <c r="Q41" s="12">
        <f t="shared" si="40"/>
        <v>4.7829787422983605E-2</v>
      </c>
      <c r="R41" s="12">
        <f t="shared" si="41"/>
        <v>0.23472879538549316</v>
      </c>
      <c r="S41" s="12">
        <f t="shared" si="42"/>
        <v>7.1938525743403897E-2</v>
      </c>
      <c r="T41" s="12">
        <f t="shared" si="43"/>
        <v>8.6730089199233376E-2</v>
      </c>
      <c r="U41" s="12">
        <f t="shared" si="44"/>
        <v>2.6078063983212664E-3</v>
      </c>
      <c r="V41" s="12">
        <f t="shared" si="45"/>
        <v>3.4382500244893706E-2</v>
      </c>
      <c r="W41" s="12">
        <f t="shared" si="46"/>
        <v>0.18355622389680126</v>
      </c>
      <c r="X41" s="4">
        <f t="shared" si="47"/>
        <v>84748960.67070961</v>
      </c>
      <c r="Y41" s="4">
        <v>168587548.57909214</v>
      </c>
      <c r="Z41" s="4">
        <f t="shared" si="48"/>
        <v>80098197.632726997</v>
      </c>
      <c r="AA41" s="18">
        <f t="shared" si="2"/>
        <v>0.114873</v>
      </c>
      <c r="AB41" s="7">
        <f t="shared" ref="AB41" si="104">(X41*O41*(1-O$2))+(X41*P41*(1-AA41-O$2))+(X41*Q41*(1-Q$2))+(X41*R41*(1-R$2))+(X41*S41*(1-S$2))+(X41*T41*(1-T$2))+(X41*U41*(1-U$2))+(X41*V41*(1-V$2))+(X41*W41*(1-W$2))</f>
        <v>79789638.022454649</v>
      </c>
      <c r="AC41" s="4">
        <f t="shared" si="3"/>
        <v>85077235.519691363</v>
      </c>
      <c r="AD41" s="4">
        <f t="shared" si="4"/>
        <v>80098702.949798167</v>
      </c>
      <c r="AE41" s="18">
        <f t="shared" si="5"/>
        <v>8.6354E-2</v>
      </c>
      <c r="AF41" s="4">
        <f t="shared" si="6"/>
        <v>80060639.408957526</v>
      </c>
      <c r="AG41" s="4">
        <f t="shared" si="7"/>
        <v>85117751.302705973</v>
      </c>
      <c r="AH41" s="4">
        <f t="shared" si="8"/>
        <v>80098766.170769781</v>
      </c>
      <c r="AI41" s="4">
        <f t="shared" si="9"/>
        <v>104341.43002591655</v>
      </c>
      <c r="AJ41" s="4">
        <f t="shared" si="50"/>
        <v>149199.2050405842</v>
      </c>
      <c r="AK41" s="4">
        <f t="shared" si="10"/>
        <v>85276562.660868511</v>
      </c>
      <c r="AL41" s="4">
        <f t="shared" si="11"/>
        <v>80248213.185617298</v>
      </c>
      <c r="AM41" s="7">
        <f t="shared" si="12"/>
        <v>149273.71077647805</v>
      </c>
      <c r="AN41" s="12">
        <f t="shared" si="13"/>
        <v>6.0683798128971476E-3</v>
      </c>
      <c r="AO41" s="4">
        <f t="shared" si="14"/>
        <v>80098939.47484082</v>
      </c>
      <c r="AP41" s="4">
        <f t="shared" si="15"/>
        <v>0</v>
      </c>
      <c r="AQ41" s="4"/>
      <c r="AR41" s="18">
        <f t="shared" si="16"/>
        <v>0.18684203076891048</v>
      </c>
      <c r="AS41" s="18">
        <f t="shared" si="71"/>
        <v>0.10984203076891048</v>
      </c>
      <c r="AT41" s="18">
        <f t="shared" si="17"/>
        <v>8.0666125551914769E-2</v>
      </c>
      <c r="AU41" s="18">
        <f t="shared" si="72"/>
        <v>3.6661255519147701E-3</v>
      </c>
      <c r="AV41" s="18">
        <f t="shared" si="18"/>
        <v>0.94103480114169047</v>
      </c>
      <c r="AW41" s="18">
        <f t="shared" si="19"/>
        <v>0.65810616637380392</v>
      </c>
      <c r="AY41" s="7">
        <f t="shared" si="20"/>
        <v>2000323.831011062</v>
      </c>
      <c r="AZ41" s="7">
        <f t="shared" si="21"/>
        <v>206829.19390083037</v>
      </c>
      <c r="BA41" s="7">
        <f t="shared" si="22"/>
        <v>312121.40753631061</v>
      </c>
      <c r="BB41" s="7">
        <f t="shared" si="23"/>
        <v>1531762.6515274316</v>
      </c>
      <c r="BC41" s="7">
        <f t="shared" si="24"/>
        <v>599725.9540069747</v>
      </c>
      <c r="BD41" s="5">
        <f t="shared" si="25"/>
        <v>0</v>
      </c>
      <c r="BF41" s="7">
        <f t="shared" si="26"/>
        <v>2012776.7841310932</v>
      </c>
      <c r="BG41" s="7">
        <f t="shared" si="27"/>
        <v>518597.34096979053</v>
      </c>
      <c r="BH41" s="7">
        <f t="shared" si="28"/>
        <v>352217.22931589722</v>
      </c>
      <c r="BI41" s="7">
        <f t="shared" si="29"/>
        <v>1541298.5917560917</v>
      </c>
      <c r="BJ41" s="7">
        <f t="shared" si="30"/>
        <v>603459.5290783369</v>
      </c>
      <c r="BK41" s="5">
        <f t="shared" si="51"/>
        <v>0</v>
      </c>
      <c r="BM41" s="4">
        <f t="shared" si="31"/>
        <v>84748960.67070961</v>
      </c>
      <c r="BN41" s="4">
        <f t="shared" si="52"/>
        <v>2000323.831011062</v>
      </c>
      <c r="BO41" s="4">
        <f t="shared" si="53"/>
        <v>206829.19390083037</v>
      </c>
      <c r="BP41" s="4">
        <f t="shared" si="54"/>
        <v>312121.40753631061</v>
      </c>
      <c r="BQ41" s="4">
        <f t="shared" si="55"/>
        <v>1531762.6515274316</v>
      </c>
      <c r="BR41" s="4">
        <f t="shared" si="56"/>
        <v>599725.9540069747</v>
      </c>
      <c r="BS41" s="4">
        <f t="shared" si="57"/>
        <v>80098197.632726997</v>
      </c>
      <c r="BU41" s="4">
        <f t="shared" si="58"/>
        <v>85276562.660868511</v>
      </c>
      <c r="BV41" s="4">
        <f t="shared" si="59"/>
        <v>2012776.7841310932</v>
      </c>
      <c r="BW41" s="4">
        <f t="shared" si="60"/>
        <v>149273.71077647805</v>
      </c>
      <c r="BX41" s="4">
        <f t="shared" si="61"/>
        <v>518597.34096979053</v>
      </c>
      <c r="BY41" s="4">
        <f t="shared" si="62"/>
        <v>352217.22931589722</v>
      </c>
      <c r="BZ41" s="4">
        <f t="shared" si="63"/>
        <v>1541298.5917560917</v>
      </c>
      <c r="CA41" s="4">
        <f t="shared" si="64"/>
        <v>603459.5290783369</v>
      </c>
      <c r="CB41" s="4">
        <f t="shared" si="65"/>
        <v>80098939.47484082</v>
      </c>
      <c r="CD41" s="4">
        <f t="shared" si="66"/>
        <v>741.84211382269859</v>
      </c>
      <c r="CE41" s="18">
        <f t="shared" si="67"/>
        <v>9.2616580116353628E-6</v>
      </c>
      <c r="CF41" s="5">
        <f t="shared" si="34"/>
        <v>25978231.571572233</v>
      </c>
      <c r="CG41" s="5">
        <f t="shared" si="35"/>
        <v>23977907.740561172</v>
      </c>
      <c r="CH41" s="5">
        <f t="shared" si="36"/>
        <v>23977907.740561169</v>
      </c>
      <c r="CI41" s="5">
        <f t="shared" si="68"/>
        <v>0</v>
      </c>
      <c r="CK41" s="6">
        <f t="shared" si="69"/>
        <v>7.7000000000000068E-2</v>
      </c>
      <c r="CL41" s="6">
        <f t="shared" si="70"/>
        <v>7.6999999999999957E-2</v>
      </c>
    </row>
    <row r="42" spans="1:90" x14ac:dyDescent="0.25">
      <c r="A42" s="1">
        <v>61</v>
      </c>
      <c r="B42" s="1">
        <v>210061</v>
      </c>
      <c r="D42" s="4">
        <v>140018931</v>
      </c>
      <c r="E42" s="4">
        <v>56859232</v>
      </c>
      <c r="F42" s="4">
        <v>7068671.8920688136</v>
      </c>
      <c r="G42" s="4">
        <v>12894992.107931186</v>
      </c>
      <c r="H42" s="4">
        <v>2058348</v>
      </c>
      <c r="I42" s="4">
        <v>14009632</v>
      </c>
      <c r="J42" s="4">
        <v>4007551</v>
      </c>
      <c r="K42" s="4">
        <v>18777367</v>
      </c>
      <c r="L42" s="4">
        <v>1705777</v>
      </c>
      <c r="M42" s="4">
        <v>5700964</v>
      </c>
      <c r="N42" s="4">
        <f t="shared" si="37"/>
        <v>16936396</v>
      </c>
      <c r="O42" s="12">
        <f t="shared" si="38"/>
        <v>0.40608246037816131</v>
      </c>
      <c r="P42" s="12">
        <f t="shared" si="39"/>
        <v>5.0483687038496344E-2</v>
      </c>
      <c r="Q42" s="12">
        <f t="shared" si="40"/>
        <v>9.2094633317341815E-2</v>
      </c>
      <c r="R42" s="12">
        <f t="shared" si="41"/>
        <v>0.11475576827536271</v>
      </c>
      <c r="S42" s="12">
        <f t="shared" si="42"/>
        <v>2.8621494046401484E-2</v>
      </c>
      <c r="T42" s="12">
        <f t="shared" si="43"/>
        <v>0.13410591600645771</v>
      </c>
      <c r="U42" s="12">
        <f t="shared" si="44"/>
        <v>1.2182474097020494E-2</v>
      </c>
      <c r="V42" s="12">
        <f t="shared" si="45"/>
        <v>4.0715665798076978E-2</v>
      </c>
      <c r="W42" s="12">
        <f t="shared" si="46"/>
        <v>0.12095790104268116</v>
      </c>
      <c r="X42" s="4">
        <f t="shared" si="47"/>
        <v>77585891.325063199</v>
      </c>
      <c r="Y42" s="4">
        <v>154338355.53026301</v>
      </c>
      <c r="Z42" s="4">
        <f t="shared" si="48"/>
        <v>73157910.599024802</v>
      </c>
      <c r="AA42" s="18">
        <f t="shared" si="2"/>
        <v>0.114873</v>
      </c>
      <c r="AB42" s="7">
        <f t="shared" ref="AB42" si="105">(X42*O42*(1-O$2))+(X42*P42*(1-AA42-O$2))+(X42*Q42*(1-Q$2))+(X42*R42*(1-R$2))+(X42*S42*(1-S$2))+(X42*T42*(1-T$2))+(X42*U42*(1-U$2))+(X42*V42*(1-V$2))+(X42*W42*(1-W$2))</f>
        <v>72707973.521930963</v>
      </c>
      <c r="AC42" s="4">
        <f t="shared" si="3"/>
        <v>78066978.533511147</v>
      </c>
      <c r="AD42" s="4">
        <f t="shared" si="4"/>
        <v>73158814.2020621</v>
      </c>
      <c r="AE42" s="18">
        <f t="shared" si="5"/>
        <v>8.6354E-2</v>
      </c>
      <c r="AF42" s="4">
        <f t="shared" si="6"/>
        <v>73091563.153586149</v>
      </c>
      <c r="AG42" s="4">
        <f t="shared" si="7"/>
        <v>78138954.21878016</v>
      </c>
      <c r="AH42" s="4">
        <f t="shared" si="8"/>
        <v>73158951.637733832</v>
      </c>
      <c r="AI42" s="4">
        <f t="shared" si="9"/>
        <v>207295.77679636702</v>
      </c>
      <c r="AJ42" s="4">
        <f t="shared" si="50"/>
        <v>345681.98031672917</v>
      </c>
      <c r="AK42" s="4">
        <f t="shared" si="10"/>
        <v>78508921.646534726</v>
      </c>
      <c r="AL42" s="4">
        <f t="shared" si="11"/>
        <v>73505340.061091155</v>
      </c>
      <c r="AM42" s="7">
        <f t="shared" si="12"/>
        <v>345964.78930289671</v>
      </c>
      <c r="AN42" s="12">
        <f t="shared" si="13"/>
        <v>1.1590409431616018E-2</v>
      </c>
      <c r="AO42" s="4">
        <f t="shared" si="14"/>
        <v>73159375.271788254</v>
      </c>
      <c r="AP42" s="4">
        <f t="shared" si="15"/>
        <v>0</v>
      </c>
      <c r="AQ42" s="4"/>
      <c r="AR42" s="18">
        <f t="shared" si="16"/>
        <v>0.18225880711182907</v>
      </c>
      <c r="AS42" s="18">
        <f t="shared" si="71"/>
        <v>0.10525880711182907</v>
      </c>
      <c r="AT42" s="18">
        <f t="shared" si="17"/>
        <v>7.5484459846650753E-2</v>
      </c>
      <c r="AU42" s="18">
        <f t="shared" si="72"/>
        <v>-1.5155401533492457E-3</v>
      </c>
      <c r="AV42" s="18">
        <f t="shared" si="18"/>
        <v>0.93626735050608834</v>
      </c>
      <c r="AW42" s="18">
        <f t="shared" si="19"/>
        <v>0.5614532395770454</v>
      </c>
      <c r="AY42" s="7">
        <f t="shared" si="20"/>
        <v>2425982.7622734015</v>
      </c>
      <c r="AZ42" s="7">
        <f t="shared" si="21"/>
        <v>301595.28293181048</v>
      </c>
      <c r="BA42" s="7">
        <f t="shared" si="22"/>
        <v>550183.80433792365</v>
      </c>
      <c r="BB42" s="7">
        <f t="shared" si="23"/>
        <v>685563.99960790481</v>
      </c>
      <c r="BC42" s="7">
        <f t="shared" si="24"/>
        <v>464654.87688735605</v>
      </c>
      <c r="BD42" s="5">
        <f t="shared" si="25"/>
        <v>0</v>
      </c>
      <c r="BF42" s="7">
        <f t="shared" si="26"/>
        <v>2454844.3969173054</v>
      </c>
      <c r="BG42" s="7">
        <f t="shared" si="27"/>
        <v>760473.25306720322</v>
      </c>
      <c r="BH42" s="7">
        <f t="shared" si="28"/>
        <v>624361.03882558481</v>
      </c>
      <c r="BI42" s="7">
        <f t="shared" si="29"/>
        <v>693720.07474141265</v>
      </c>
      <c r="BJ42" s="7">
        <f t="shared" si="30"/>
        <v>470182.82189206977</v>
      </c>
      <c r="BK42" s="5">
        <f t="shared" si="51"/>
        <v>0</v>
      </c>
      <c r="BM42" s="4">
        <f t="shared" si="31"/>
        <v>77585891.325063199</v>
      </c>
      <c r="BN42" s="4">
        <f t="shared" si="52"/>
        <v>2425982.7622734015</v>
      </c>
      <c r="BO42" s="4">
        <f t="shared" si="53"/>
        <v>301595.28293181048</v>
      </c>
      <c r="BP42" s="4">
        <f t="shared" si="54"/>
        <v>550183.80433792365</v>
      </c>
      <c r="BQ42" s="4">
        <f t="shared" si="55"/>
        <v>685563.99960790481</v>
      </c>
      <c r="BR42" s="4">
        <f t="shared" si="56"/>
        <v>464654.87688735605</v>
      </c>
      <c r="BS42" s="4">
        <f t="shared" si="57"/>
        <v>73157910.599024802</v>
      </c>
      <c r="BU42" s="4">
        <f t="shared" si="58"/>
        <v>78508921.646534726</v>
      </c>
      <c r="BV42" s="4">
        <f t="shared" si="59"/>
        <v>2454844.3969173054</v>
      </c>
      <c r="BW42" s="4">
        <f t="shared" si="60"/>
        <v>345964.78930289671</v>
      </c>
      <c r="BX42" s="4">
        <f t="shared" si="61"/>
        <v>760473.25306720322</v>
      </c>
      <c r="BY42" s="4">
        <f t="shared" si="62"/>
        <v>624361.03882558481</v>
      </c>
      <c r="BZ42" s="4">
        <f t="shared" si="63"/>
        <v>693720.07474141265</v>
      </c>
      <c r="CA42" s="4">
        <f t="shared" si="64"/>
        <v>470182.82189206977</v>
      </c>
      <c r="CB42" s="4">
        <f t="shared" si="65"/>
        <v>73159375.271788254</v>
      </c>
      <c r="CD42" s="4">
        <f t="shared" si="66"/>
        <v>1464.6727634519339</v>
      </c>
      <c r="CE42" s="18">
        <f t="shared" si="67"/>
        <v>2.0020702497638828E-5</v>
      </c>
      <c r="CF42" s="5">
        <f t="shared" si="34"/>
        <v>31506269.639914308</v>
      </c>
      <c r="CG42" s="5">
        <f t="shared" si="35"/>
        <v>29080286.877640907</v>
      </c>
      <c r="CH42" s="5">
        <f t="shared" si="36"/>
        <v>29080286.877640907</v>
      </c>
      <c r="CI42" s="5">
        <f t="shared" si="68"/>
        <v>0</v>
      </c>
      <c r="CK42" s="6">
        <f t="shared" si="69"/>
        <v>7.6999999999999957E-2</v>
      </c>
      <c r="CL42" s="6">
        <f t="shared" si="70"/>
        <v>7.6999999999999957E-2</v>
      </c>
    </row>
    <row r="43" spans="1:90" x14ac:dyDescent="0.25">
      <c r="A43" s="1">
        <v>62</v>
      </c>
      <c r="B43" s="1">
        <v>210062</v>
      </c>
      <c r="D43" s="4">
        <v>361328376.89999998</v>
      </c>
      <c r="E43" s="4">
        <v>105388833.3</v>
      </c>
      <c r="F43" s="4">
        <v>25594918.599037923</v>
      </c>
      <c r="G43" s="4">
        <v>27758548.600962073</v>
      </c>
      <c r="H43" s="4">
        <v>14412588.5</v>
      </c>
      <c r="I43" s="4">
        <v>54390583.200000003</v>
      </c>
      <c r="J43" s="4">
        <v>15232751.1</v>
      </c>
      <c r="K43" s="4">
        <v>17701477.599999998</v>
      </c>
      <c r="L43" s="4">
        <v>1726075.9000000001</v>
      </c>
      <c r="M43" s="4">
        <v>19159376.799999997</v>
      </c>
      <c r="N43" s="4">
        <f t="shared" si="37"/>
        <v>79963223.300000012</v>
      </c>
      <c r="O43" s="12">
        <f t="shared" si="38"/>
        <v>0.29167051368668745</v>
      </c>
      <c r="P43" s="12">
        <f t="shared" si="39"/>
        <v>7.0835617226159595E-2</v>
      </c>
      <c r="Q43" s="12">
        <f t="shared" si="40"/>
        <v>7.6823605273173529E-2</v>
      </c>
      <c r="R43" s="12">
        <f t="shared" si="41"/>
        <v>0.19041729379323488</v>
      </c>
      <c r="S43" s="12">
        <f t="shared" si="42"/>
        <v>4.2157638518980106E-2</v>
      </c>
      <c r="T43" s="12">
        <f t="shared" si="43"/>
        <v>4.8990001150391239E-2</v>
      </c>
      <c r="U43" s="12">
        <f t="shared" si="44"/>
        <v>4.7770283496933958E-3</v>
      </c>
      <c r="V43" s="12">
        <f t="shared" si="45"/>
        <v>5.3024832880209906E-2</v>
      </c>
      <c r="W43" s="12">
        <f t="shared" si="46"/>
        <v>0.22130346912146998</v>
      </c>
      <c r="X43" s="4">
        <f t="shared" si="47"/>
        <v>202866397.65795752</v>
      </c>
      <c r="Y43" s="4">
        <v>403553605.84435558</v>
      </c>
      <c r="Z43" s="4">
        <f t="shared" si="48"/>
        <v>191720820.77056628</v>
      </c>
      <c r="AA43" s="18">
        <f t="shared" si="2"/>
        <v>0.114873</v>
      </c>
      <c r="AB43" s="7">
        <f t="shared" ref="AB43" si="106">(X43*O43*(1-O$2))+(X43*P43*(1-AA43-O$2))+(X43*Q43*(1-Q$2))+(X43*R43*(1-R$2))+(X43*S43*(1-S$2))+(X43*T43*(1-T$2))+(X43*U43*(1-U$2))+(X43*V43*(1-V$2))+(X43*W43*(1-W$2))</f>
        <v>190070076.6350677</v>
      </c>
      <c r="AC43" s="4">
        <f t="shared" si="3"/>
        <v>204632741.63102132</v>
      </c>
      <c r="AD43" s="4">
        <f t="shared" si="4"/>
        <v>191725003.90838665</v>
      </c>
      <c r="AE43" s="18">
        <f t="shared" si="5"/>
        <v>8.6354E-2</v>
      </c>
      <c r="AF43" s="4">
        <f t="shared" si="6"/>
        <v>191577953.18242636</v>
      </c>
      <c r="AG43" s="4">
        <f t="shared" si="7"/>
        <v>204790215.46948943</v>
      </c>
      <c r="AH43" s="4">
        <f t="shared" si="8"/>
        <v>191725380.79060405</v>
      </c>
      <c r="AI43" s="4">
        <f t="shared" si="9"/>
        <v>517914.61777077615</v>
      </c>
      <c r="AJ43" s="4">
        <f t="shared" si="50"/>
        <v>726955.78278098954</v>
      </c>
      <c r="AK43" s="4">
        <f t="shared" si="10"/>
        <v>205568698.65455058</v>
      </c>
      <c r="AL43" s="4">
        <f t="shared" si="11"/>
        <v>192454199.71758631</v>
      </c>
      <c r="AM43" s="7">
        <f t="shared" si="12"/>
        <v>727491.54278679937</v>
      </c>
      <c r="AN43" s="12">
        <f t="shared" si="13"/>
        <v>1.2960090367035468E-2</v>
      </c>
      <c r="AO43" s="4">
        <f t="shared" si="14"/>
        <v>191726708.1747995</v>
      </c>
      <c r="AP43" s="4">
        <f t="shared" si="15"/>
        <v>0</v>
      </c>
      <c r="AQ43" s="4"/>
      <c r="AR43" s="18">
        <f t="shared" si="16"/>
        <v>0.18110826802523616</v>
      </c>
      <c r="AS43" s="18">
        <f t="shared" si="71"/>
        <v>0.10410826802523616</v>
      </c>
      <c r="AT43" s="18">
        <f t="shared" si="17"/>
        <v>7.4183692226822195E-2</v>
      </c>
      <c r="AU43" s="18">
        <f t="shared" si="72"/>
        <v>-2.8163077731778036E-3</v>
      </c>
      <c r="AV43" s="18">
        <f t="shared" si="18"/>
        <v>0.93620381399114327</v>
      </c>
      <c r="AW43" s="18">
        <f t="shared" si="19"/>
        <v>0.66699192985833089</v>
      </c>
      <c r="AY43" s="7">
        <f t="shared" si="20"/>
        <v>4556101.2739291489</v>
      </c>
      <c r="AZ43" s="7">
        <f t="shared" si="21"/>
        <v>1106502.8199262698</v>
      </c>
      <c r="BA43" s="7">
        <f t="shared" si="22"/>
        <v>1200039.4603786499</v>
      </c>
      <c r="BB43" s="7">
        <f t="shared" si="23"/>
        <v>2974453.8241580091</v>
      </c>
      <c r="BC43" s="7">
        <f t="shared" si="24"/>
        <v>1308479.5089991756</v>
      </c>
      <c r="BD43" s="5">
        <f t="shared" si="25"/>
        <v>1.4901161193847656E-8</v>
      </c>
      <c r="BF43" s="7">
        <f t="shared" si="26"/>
        <v>4616791.2509546997</v>
      </c>
      <c r="BG43" s="7">
        <f t="shared" si="27"/>
        <v>2793975.1237243614</v>
      </c>
      <c r="BH43" s="7">
        <f t="shared" si="28"/>
        <v>1363748.011439248</v>
      </c>
      <c r="BI43" s="7">
        <f t="shared" si="29"/>
        <v>3014075.3170525325</v>
      </c>
      <c r="BJ43" s="7">
        <f t="shared" si="30"/>
        <v>1325909.2337934799</v>
      </c>
      <c r="BK43" s="5">
        <f t="shared" si="51"/>
        <v>4.6566128730773926E-8</v>
      </c>
      <c r="BM43" s="4">
        <f t="shared" si="31"/>
        <v>202866397.65795752</v>
      </c>
      <c r="BN43" s="4">
        <f t="shared" si="52"/>
        <v>4556101.2739291489</v>
      </c>
      <c r="BO43" s="4">
        <f t="shared" si="53"/>
        <v>1106502.8199262698</v>
      </c>
      <c r="BP43" s="4">
        <f t="shared" si="54"/>
        <v>1200039.4603786499</v>
      </c>
      <c r="BQ43" s="4">
        <f t="shared" si="55"/>
        <v>2974453.8241580091</v>
      </c>
      <c r="BR43" s="4">
        <f t="shared" si="56"/>
        <v>1308479.5089991756</v>
      </c>
      <c r="BS43" s="4">
        <f t="shared" si="57"/>
        <v>191720820.77056628</v>
      </c>
      <c r="BU43" s="4">
        <f t="shared" si="58"/>
        <v>205568698.65455058</v>
      </c>
      <c r="BV43" s="4">
        <f t="shared" si="59"/>
        <v>4616791.2509546997</v>
      </c>
      <c r="BW43" s="4">
        <f t="shared" si="60"/>
        <v>727491.54278679937</v>
      </c>
      <c r="BX43" s="4">
        <f t="shared" si="61"/>
        <v>2793975.1237243614</v>
      </c>
      <c r="BY43" s="4">
        <f t="shared" si="62"/>
        <v>1363748.011439248</v>
      </c>
      <c r="BZ43" s="4">
        <f t="shared" si="63"/>
        <v>3014075.3170525325</v>
      </c>
      <c r="CA43" s="4">
        <f t="shared" si="64"/>
        <v>1325909.2337934799</v>
      </c>
      <c r="CB43" s="4">
        <f t="shared" si="65"/>
        <v>191726708.17479947</v>
      </c>
      <c r="CD43" s="4">
        <f t="shared" si="66"/>
        <v>5887.4042331874371</v>
      </c>
      <c r="CE43" s="18">
        <f t="shared" si="67"/>
        <v>3.070821525551957E-5</v>
      </c>
      <c r="CF43" s="5">
        <f t="shared" si="34"/>
        <v>59170146.414664276</v>
      </c>
      <c r="CG43" s="5">
        <f t="shared" si="35"/>
        <v>54614045.140735127</v>
      </c>
      <c r="CH43" s="5">
        <f t="shared" si="36"/>
        <v>54614045.14073512</v>
      </c>
      <c r="CI43" s="5">
        <f t="shared" si="68"/>
        <v>0</v>
      </c>
      <c r="CK43" s="6">
        <f t="shared" si="69"/>
        <v>7.7000000000000068E-2</v>
      </c>
      <c r="CL43" s="6">
        <f t="shared" si="70"/>
        <v>7.6999999999999957E-2</v>
      </c>
    </row>
    <row r="44" spans="1:90" x14ac:dyDescent="0.25">
      <c r="A44" s="1">
        <v>63</v>
      </c>
      <c r="B44" s="1">
        <v>210063</v>
      </c>
      <c r="D44" s="4">
        <v>506646499.30000001</v>
      </c>
      <c r="E44" s="4">
        <v>198977874.29999998</v>
      </c>
      <c r="F44" s="4">
        <v>44183699.075098991</v>
      </c>
      <c r="G44" s="4">
        <v>38268746.124901012</v>
      </c>
      <c r="H44" s="4">
        <v>5872375.2999999998</v>
      </c>
      <c r="I44" s="4">
        <v>48858997.899999999</v>
      </c>
      <c r="J44" s="4">
        <v>33098644.500000004</v>
      </c>
      <c r="K44" s="4">
        <v>36220367.599999994</v>
      </c>
      <c r="L44" s="4">
        <v>889040.20000000007</v>
      </c>
      <c r="M44" s="4">
        <v>16433809.099999998</v>
      </c>
      <c r="N44" s="4">
        <f t="shared" si="37"/>
        <v>83842945.200000048</v>
      </c>
      <c r="O44" s="12">
        <f t="shared" si="38"/>
        <v>0.39273512118393111</v>
      </c>
      <c r="P44" s="12">
        <f t="shared" si="39"/>
        <v>8.720814046113945E-2</v>
      </c>
      <c r="Q44" s="12">
        <f t="shared" si="40"/>
        <v>7.5533426516860194E-2</v>
      </c>
      <c r="R44" s="12">
        <f t="shared" si="41"/>
        <v>0.10802674700332227</v>
      </c>
      <c r="S44" s="12">
        <f t="shared" si="42"/>
        <v>6.5328872390769926E-2</v>
      </c>
      <c r="T44" s="12">
        <f t="shared" si="43"/>
        <v>7.1490413236928077E-2</v>
      </c>
      <c r="U44" s="12">
        <f t="shared" si="44"/>
        <v>1.7547544515324357E-3</v>
      </c>
      <c r="V44" s="12">
        <f t="shared" si="45"/>
        <v>3.2436440639983709E-2</v>
      </c>
      <c r="W44" s="12">
        <f t="shared" si="46"/>
        <v>0.16548608411553284</v>
      </c>
      <c r="X44" s="4">
        <f t="shared" si="47"/>
        <v>280272503.49381578</v>
      </c>
      <c r="Y44" s="4">
        <v>557534321.65071774</v>
      </c>
      <c r="Z44" s="4">
        <f t="shared" si="48"/>
        <v>264203278.73137373</v>
      </c>
      <c r="AA44" s="18">
        <f t="shared" si="2"/>
        <v>0.114873</v>
      </c>
      <c r="AB44" s="7">
        <f t="shared" ref="AB44" si="107">(X44*O44*(1-O$2))+(X44*P44*(1-AA44-O$2))+(X44*Q44*(1-Q$2))+(X44*R44*(1-R$2))+(X44*S44*(1-S$2))+(X44*T44*(1-T$2))+(X44*U44*(1-U$2))+(X44*V44*(1-V$2))+(X44*W44*(1-W$2))</f>
        <v>261395547.82795331</v>
      </c>
      <c r="AC44" s="4">
        <f t="shared" si="3"/>
        <v>283291258.40817535</v>
      </c>
      <c r="AD44" s="4">
        <f t="shared" si="4"/>
        <v>264210983.10883433</v>
      </c>
      <c r="AE44" s="18">
        <f t="shared" si="5"/>
        <v>8.6354E-2</v>
      </c>
      <c r="AF44" s="4">
        <f t="shared" si="6"/>
        <v>264010826.5961405</v>
      </c>
      <c r="AG44" s="4">
        <f t="shared" si="7"/>
        <v>283506626.02231747</v>
      </c>
      <c r="AH44" s="4">
        <f t="shared" si="8"/>
        <v>264211536.57268974</v>
      </c>
      <c r="AI44" s="4">
        <f t="shared" si="9"/>
        <v>1172351.6834118664</v>
      </c>
      <c r="AJ44" s="4">
        <f t="shared" si="50"/>
        <v>1918639.2415265867</v>
      </c>
      <c r="AK44" s="4">
        <f t="shared" si="10"/>
        <v>285571074.23979384</v>
      </c>
      <c r="AL44" s="4">
        <f t="shared" si="11"/>
        <v>266135481.14981315</v>
      </c>
      <c r="AM44" s="7">
        <f t="shared" si="12"/>
        <v>1920702.8425735235</v>
      </c>
      <c r="AN44" s="12">
        <f t="shared" si="13"/>
        <v>1.8376282551309742E-2</v>
      </c>
      <c r="AO44" s="4">
        <f t="shared" si="14"/>
        <v>264214778.30723962</v>
      </c>
      <c r="AP44" s="4">
        <f t="shared" si="15"/>
        <v>0</v>
      </c>
      <c r="AQ44" s="4"/>
      <c r="AR44" s="18">
        <f t="shared" si="16"/>
        <v>0.17659530408670998</v>
      </c>
      <c r="AS44" s="18">
        <f t="shared" si="71"/>
        <v>9.9595304086709982E-2</v>
      </c>
      <c r="AT44" s="18">
        <f t="shared" si="17"/>
        <v>6.908146021306838E-2</v>
      </c>
      <c r="AU44" s="18">
        <f t="shared" si="72"/>
        <v>-7.9185397869316193E-3</v>
      </c>
      <c r="AV44" s="18">
        <f t="shared" si="18"/>
        <v>0.93194131043657213</v>
      </c>
      <c r="AW44" s="18">
        <f t="shared" si="19"/>
        <v>0.56944679358380379</v>
      </c>
      <c r="AY44" s="7">
        <f t="shared" si="20"/>
        <v>8475609.8830608968</v>
      </c>
      <c r="AZ44" s="7">
        <f t="shared" si="21"/>
        <v>1882037.3766104591</v>
      </c>
      <c r="BA44" s="7">
        <f t="shared" si="22"/>
        <v>1630085.5761456864</v>
      </c>
      <c r="BB44" s="7">
        <f t="shared" si="23"/>
        <v>2331323.3656723928</v>
      </c>
      <c r="BC44" s="7">
        <f t="shared" si="24"/>
        <v>1750168.5609526099</v>
      </c>
      <c r="BD44" s="5">
        <f t="shared" si="25"/>
        <v>0</v>
      </c>
      <c r="BF44" s="7">
        <f t="shared" si="26"/>
        <v>8635841.8645106927</v>
      </c>
      <c r="BG44" s="7">
        <f t="shared" si="27"/>
        <v>4778428.6684179949</v>
      </c>
      <c r="BH44" s="7">
        <f t="shared" si="28"/>
        <v>1862669.7478831846</v>
      </c>
      <c r="BI44" s="7">
        <f t="shared" si="29"/>
        <v>2375397.192504426</v>
      </c>
      <c r="BJ44" s="7">
        <f t="shared" si="30"/>
        <v>1783255.6166644401</v>
      </c>
      <c r="BK44" s="5">
        <f t="shared" si="51"/>
        <v>4.4703483581542969E-8</v>
      </c>
      <c r="BM44" s="4">
        <f t="shared" si="31"/>
        <v>280272503.49381578</v>
      </c>
      <c r="BN44" s="4">
        <f t="shared" si="52"/>
        <v>8475609.8830608968</v>
      </c>
      <c r="BO44" s="4">
        <f t="shared" si="53"/>
        <v>1882037.3766104591</v>
      </c>
      <c r="BP44" s="4">
        <f t="shared" si="54"/>
        <v>1630085.5761456864</v>
      </c>
      <c r="BQ44" s="4">
        <f t="shared" si="55"/>
        <v>2331323.3656723928</v>
      </c>
      <c r="BR44" s="4">
        <f t="shared" si="56"/>
        <v>1750168.5609526099</v>
      </c>
      <c r="BS44" s="4">
        <f t="shared" si="57"/>
        <v>264203278.73137373</v>
      </c>
      <c r="BU44" s="4">
        <f t="shared" si="58"/>
        <v>285571074.23979384</v>
      </c>
      <c r="BV44" s="4">
        <f t="shared" si="59"/>
        <v>8635841.8645106927</v>
      </c>
      <c r="BW44" s="4">
        <f t="shared" si="60"/>
        <v>1920702.8425735235</v>
      </c>
      <c r="BX44" s="4">
        <f t="shared" si="61"/>
        <v>4778428.6684179949</v>
      </c>
      <c r="BY44" s="4">
        <f t="shared" si="62"/>
        <v>1862669.7478831846</v>
      </c>
      <c r="BZ44" s="4">
        <f t="shared" si="63"/>
        <v>2375397.192504426</v>
      </c>
      <c r="CA44" s="4">
        <f t="shared" si="64"/>
        <v>1783255.6166644401</v>
      </c>
      <c r="CB44" s="4">
        <f t="shared" si="65"/>
        <v>264214778.30723959</v>
      </c>
      <c r="CD44" s="4">
        <f t="shared" si="66"/>
        <v>11499.575865864754</v>
      </c>
      <c r="CE44" s="18">
        <f t="shared" si="67"/>
        <v>4.3525485077559704E-5</v>
      </c>
      <c r="CF44" s="5">
        <f t="shared" si="34"/>
        <v>110072855.6241675</v>
      </c>
      <c r="CG44" s="5">
        <f t="shared" si="35"/>
        <v>101597245.7411066</v>
      </c>
      <c r="CH44" s="5">
        <f t="shared" si="36"/>
        <v>101597245.7411066</v>
      </c>
      <c r="CI44" s="5">
        <f t="shared" si="68"/>
        <v>0</v>
      </c>
      <c r="CK44" s="6">
        <f t="shared" si="69"/>
        <v>7.7000000000000068E-2</v>
      </c>
      <c r="CL44" s="6">
        <f t="shared" si="70"/>
        <v>7.7000000000000068E-2</v>
      </c>
    </row>
    <row r="45" spans="1:90" x14ac:dyDescent="0.25">
      <c r="A45" s="1">
        <v>5033</v>
      </c>
      <c r="B45" s="1">
        <v>210064</v>
      </c>
      <c r="D45" s="4">
        <v>70446050.799999997</v>
      </c>
      <c r="E45" s="4">
        <v>45640192.5</v>
      </c>
      <c r="F45" s="4">
        <v>4387915.310926497</v>
      </c>
      <c r="G45" s="4">
        <v>6378647.689073503</v>
      </c>
      <c r="H45" s="4">
        <v>1873970.5</v>
      </c>
      <c r="I45" s="4">
        <v>3518260.3</v>
      </c>
      <c r="J45" s="4">
        <v>2853112.6</v>
      </c>
      <c r="K45" s="4">
        <v>2078.5</v>
      </c>
      <c r="L45" s="4">
        <v>0</v>
      </c>
      <c r="M45" s="4">
        <v>4253279</v>
      </c>
      <c r="N45" s="4">
        <f t="shared" si="37"/>
        <v>1538594.3999999911</v>
      </c>
      <c r="O45" s="12">
        <f t="shared" si="38"/>
        <v>0.64787439440111239</v>
      </c>
      <c r="P45" s="12">
        <f t="shared" si="39"/>
        <v>6.2287598255635603E-2</v>
      </c>
      <c r="Q45" s="12">
        <f t="shared" si="40"/>
        <v>9.054656175379959E-2</v>
      </c>
      <c r="R45" s="12">
        <f t="shared" si="41"/>
        <v>7.6544117644136267E-2</v>
      </c>
      <c r="S45" s="12">
        <f t="shared" si="42"/>
        <v>4.0500674879563305E-2</v>
      </c>
      <c r="T45" s="12">
        <f t="shared" si="43"/>
        <v>2.9504847701129046E-5</v>
      </c>
      <c r="U45" s="12">
        <f t="shared" si="44"/>
        <v>0</v>
      </c>
      <c r="V45" s="12">
        <f t="shared" si="45"/>
        <v>6.0376400830122905E-2</v>
      </c>
      <c r="W45" s="12">
        <f t="shared" si="46"/>
        <v>2.1840747387928679E-2</v>
      </c>
      <c r="X45" s="4">
        <f t="shared" si="47"/>
        <v>42615160.454577073</v>
      </c>
      <c r="Y45" s="4">
        <v>84772549.143777758</v>
      </c>
      <c r="Z45" s="4">
        <f t="shared" si="48"/>
        <v>39679098.376177602</v>
      </c>
      <c r="AA45" s="18">
        <f t="shared" si="2"/>
        <v>0.114873</v>
      </c>
      <c r="AB45" s="7">
        <f t="shared" ref="AB45" si="108">(X45*O45*(1-O$2))+(X45*P45*(1-AA45-O$2))+(X45*Q45*(1-Q$2))+(X45*R45*(1-R$2))+(X45*S45*(1-S$2))+(X45*T45*(1-T$2))+(X45*U45*(1-U$2))+(X45*V45*(1-V$2))+(X45*W45*(1-W$2))</f>
        <v>39374179.94515951</v>
      </c>
      <c r="AC45" s="4">
        <f t="shared" si="3"/>
        <v>42945739.237154052</v>
      </c>
      <c r="AD45" s="4">
        <f t="shared" si="4"/>
        <v>39679617.454543322</v>
      </c>
      <c r="AE45" s="18">
        <f t="shared" si="5"/>
        <v>8.6354E-2</v>
      </c>
      <c r="AF45" s="4">
        <f t="shared" si="6"/>
        <v>39643243.592757642</v>
      </c>
      <c r="AG45" s="4">
        <f t="shared" si="7"/>
        <v>42985210.666713722</v>
      </c>
      <c r="AH45" s="4">
        <f t="shared" si="8"/>
        <v>39679679.698522352</v>
      </c>
      <c r="AI45" s="4">
        <f t="shared" si="9"/>
        <v>221285.61069040745</v>
      </c>
      <c r="AJ45" s="4">
        <f t="shared" si="50"/>
        <v>628301.90289287549</v>
      </c>
      <c r="AK45" s="4">
        <f t="shared" si="10"/>
        <v>43667018.236346222</v>
      </c>
      <c r="AL45" s="4">
        <f t="shared" si="11"/>
        <v>40309056.769366749</v>
      </c>
      <c r="AM45" s="7">
        <f t="shared" si="12"/>
        <v>628998.40066108108</v>
      </c>
      <c r="AN45" s="12">
        <f t="shared" si="13"/>
        <v>2.4085523462576825E-2</v>
      </c>
      <c r="AO45" s="4">
        <f t="shared" si="14"/>
        <v>39680058.368705668</v>
      </c>
      <c r="AP45" s="4">
        <f t="shared" si="15"/>
        <v>0</v>
      </c>
      <c r="AQ45" s="4"/>
      <c r="AR45" s="18">
        <f t="shared" si="16"/>
        <v>0.17192623306212118</v>
      </c>
      <c r="AS45" s="18">
        <f t="shared" si="71"/>
        <v>9.4926233062121182E-2</v>
      </c>
      <c r="AT45" s="18">
        <f t="shared" si="17"/>
        <v>6.3802737852187708E-2</v>
      </c>
      <c r="AU45" s="18">
        <f t="shared" si="72"/>
        <v>-1.3197262147812291E-2</v>
      </c>
      <c r="AV45" s="18">
        <f t="shared" si="18"/>
        <v>0.92310073820922167</v>
      </c>
      <c r="AW45" s="18">
        <f t="shared" si="19"/>
        <v>0.32511267217699497</v>
      </c>
      <c r="AY45" s="7">
        <f t="shared" si="20"/>
        <v>2125913.8879297823</v>
      </c>
      <c r="AZ45" s="7">
        <f t="shared" si="21"/>
        <v>204388.49153754924</v>
      </c>
      <c r="BA45" s="7">
        <f t="shared" si="22"/>
        <v>297116.53184662998</v>
      </c>
      <c r="BB45" s="7">
        <f t="shared" si="23"/>
        <v>251169.36885493458</v>
      </c>
      <c r="BC45" s="7">
        <f t="shared" si="24"/>
        <v>57473.798230571847</v>
      </c>
      <c r="BD45" s="5">
        <f t="shared" si="25"/>
        <v>-4.6566128730773926E-9</v>
      </c>
      <c r="BF45" s="7">
        <f t="shared" si="26"/>
        <v>2178387.2106284858</v>
      </c>
      <c r="BG45" s="7">
        <f t="shared" si="27"/>
        <v>521877.9992354993</v>
      </c>
      <c r="BH45" s="7">
        <f t="shared" si="28"/>
        <v>341434.93926800194</v>
      </c>
      <c r="BI45" s="7">
        <f t="shared" si="29"/>
        <v>257368.91034096773</v>
      </c>
      <c r="BJ45" s="7">
        <f t="shared" si="30"/>
        <v>58892.407506514719</v>
      </c>
      <c r="BK45" s="5">
        <f t="shared" si="51"/>
        <v>-4.6566128730773926E-9</v>
      </c>
      <c r="BM45" s="4">
        <f t="shared" si="31"/>
        <v>42615160.454577073</v>
      </c>
      <c r="BN45" s="4">
        <f t="shared" si="52"/>
        <v>2125913.8879297823</v>
      </c>
      <c r="BO45" s="4">
        <f t="shared" si="53"/>
        <v>204388.49153754924</v>
      </c>
      <c r="BP45" s="4">
        <f t="shared" si="54"/>
        <v>297116.53184662998</v>
      </c>
      <c r="BQ45" s="4">
        <f t="shared" si="55"/>
        <v>251169.36885493458</v>
      </c>
      <c r="BR45" s="4">
        <f t="shared" si="56"/>
        <v>57473.798230571847</v>
      </c>
      <c r="BS45" s="4">
        <f t="shared" si="57"/>
        <v>39679098.376177609</v>
      </c>
      <c r="BU45" s="4">
        <f t="shared" si="58"/>
        <v>43667018.236346222</v>
      </c>
      <c r="BV45" s="4">
        <f t="shared" si="59"/>
        <v>2178387.2106284858</v>
      </c>
      <c r="BW45" s="4">
        <f t="shared" si="60"/>
        <v>628998.40066108108</v>
      </c>
      <c r="BX45" s="4">
        <f t="shared" si="61"/>
        <v>521877.9992354993</v>
      </c>
      <c r="BY45" s="4">
        <f t="shared" si="62"/>
        <v>341434.93926800194</v>
      </c>
      <c r="BZ45" s="4">
        <f t="shared" si="63"/>
        <v>257368.91034096773</v>
      </c>
      <c r="CA45" s="4">
        <f t="shared" si="64"/>
        <v>58892.407506514719</v>
      </c>
      <c r="CB45" s="4">
        <f t="shared" si="65"/>
        <v>39680058.368705675</v>
      </c>
      <c r="CD45" s="4">
        <f t="shared" si="66"/>
        <v>959.99252806603909</v>
      </c>
      <c r="CE45" s="18">
        <f t="shared" si="67"/>
        <v>2.4193909825390483E-5</v>
      </c>
      <c r="CF45" s="5">
        <f t="shared" si="34"/>
        <v>27609271.271815356</v>
      </c>
      <c r="CG45" s="5">
        <f t="shared" si="35"/>
        <v>25483357.383885574</v>
      </c>
      <c r="CH45" s="5">
        <f t="shared" si="36"/>
        <v>25483357.38388557</v>
      </c>
      <c r="CI45" s="5">
        <f t="shared" si="68"/>
        <v>0</v>
      </c>
      <c r="CK45" s="6">
        <f t="shared" si="69"/>
        <v>7.7000000000000179E-2</v>
      </c>
      <c r="CL45" s="6">
        <f t="shared" si="70"/>
        <v>7.6999999999999957E-2</v>
      </c>
    </row>
    <row r="46" spans="1:90" x14ac:dyDescent="0.25">
      <c r="A46" s="1">
        <v>65</v>
      </c>
      <c r="B46" s="1">
        <v>210065</v>
      </c>
      <c r="D46" s="4">
        <v>180505379.09999999</v>
      </c>
      <c r="E46" s="4">
        <v>54128086.799999997</v>
      </c>
      <c r="F46" s="4">
        <v>12788419.227622658</v>
      </c>
      <c r="G46" s="4">
        <v>9646193.272377342</v>
      </c>
      <c r="H46" s="4">
        <v>8587628</v>
      </c>
      <c r="I46" s="4">
        <v>27615563.199999999</v>
      </c>
      <c r="J46" s="4">
        <v>8436535.0999999996</v>
      </c>
      <c r="K46" s="4">
        <v>14101959.800000001</v>
      </c>
      <c r="L46" s="4">
        <v>2123815.0999999996</v>
      </c>
      <c r="M46" s="4">
        <v>10863401.9</v>
      </c>
      <c r="N46" s="4">
        <f t="shared" si="37"/>
        <v>32213776.699999988</v>
      </c>
      <c r="O46" s="12">
        <f t="shared" si="38"/>
        <v>0.29986966078176003</v>
      </c>
      <c r="P46" s="12">
        <f t="shared" si="39"/>
        <v>7.0847856675439427E-2</v>
      </c>
      <c r="Q46" s="12">
        <f t="shared" si="40"/>
        <v>5.3439921405518613E-2</v>
      </c>
      <c r="R46" s="12">
        <f t="shared" si="41"/>
        <v>0.20056571931822281</v>
      </c>
      <c r="S46" s="12">
        <f t="shared" si="42"/>
        <v>4.6738413791680734E-2</v>
      </c>
      <c r="T46" s="12">
        <f t="shared" si="43"/>
        <v>7.8124872900255868E-2</v>
      </c>
      <c r="U46" s="12">
        <f t="shared" si="44"/>
        <v>1.1765938004669688E-2</v>
      </c>
      <c r="V46" s="12">
        <f t="shared" si="45"/>
        <v>6.0183258549772495E-2</v>
      </c>
      <c r="W46" s="12">
        <f t="shared" si="46"/>
        <v>0.17846435857268028</v>
      </c>
      <c r="X46" s="4">
        <f t="shared" si="47"/>
        <v>104325151.72200997</v>
      </c>
      <c r="Y46" s="4">
        <v>207529643.36982292</v>
      </c>
      <c r="Z46" s="4">
        <f t="shared" si="48"/>
        <v>98637093.977976859</v>
      </c>
      <c r="AA46" s="18">
        <f t="shared" si="2"/>
        <v>0.114873</v>
      </c>
      <c r="AB46" s="7">
        <f t="shared" ref="AB46" si="109">(X46*O46*(1-O$2))+(X46*P46*(1-AA46-O$2))+(X46*Q46*(1-Q$2))+(X46*R46*(1-R$2))+(X46*S46*(1-S$2))+(X46*T46*(1-T$2))+(X46*U46*(1-U$2))+(X46*V46*(1-V$2))+(X46*W46*(1-W$2))</f>
        <v>97788043.121441126</v>
      </c>
      <c r="AC46" s="4">
        <f t="shared" si="3"/>
        <v>105233279.61599591</v>
      </c>
      <c r="AD46" s="4">
        <f t="shared" si="4"/>
        <v>98639266.898172498</v>
      </c>
      <c r="AE46" s="18">
        <f t="shared" si="5"/>
        <v>8.6354E-2</v>
      </c>
      <c r="AF46" s="4">
        <f t="shared" si="6"/>
        <v>98586663.199445248</v>
      </c>
      <c r="AG46" s="4">
        <f t="shared" si="7"/>
        <v>105289574.66666678</v>
      </c>
      <c r="AH46" s="4">
        <f t="shared" si="8"/>
        <v>98639402.610594794</v>
      </c>
      <c r="AI46" s="4">
        <f t="shared" si="9"/>
        <v>266932.69030702487</v>
      </c>
      <c r="AJ46" s="4">
        <f t="shared" si="50"/>
        <v>378864.33730245469</v>
      </c>
      <c r="AK46" s="4">
        <f t="shared" si="10"/>
        <v>105695024.99776249</v>
      </c>
      <c r="AL46" s="4">
        <f t="shared" si="11"/>
        <v>99019244.381009042</v>
      </c>
      <c r="AM46" s="7">
        <f t="shared" si="12"/>
        <v>379153.11005633324</v>
      </c>
      <c r="AN46" s="12">
        <f t="shared" si="13"/>
        <v>1.2769164634850175E-2</v>
      </c>
      <c r="AO46" s="4">
        <f t="shared" si="14"/>
        <v>98640091.270952702</v>
      </c>
      <c r="AP46" s="4">
        <f t="shared" si="15"/>
        <v>0</v>
      </c>
      <c r="AQ46" s="4"/>
      <c r="AR46" s="18">
        <f t="shared" si="16"/>
        <v>0.18126164154577118</v>
      </c>
      <c r="AS46" s="18">
        <f t="shared" si="71"/>
        <v>0.10426164154577118</v>
      </c>
      <c r="AT46" s="18">
        <f t="shared" si="17"/>
        <v>7.4357092080486908E-2</v>
      </c>
      <c r="AU46" s="18">
        <f t="shared" si="72"/>
        <v>-2.6429079195130906E-3</v>
      </c>
      <c r="AV46" s="18">
        <f t="shared" si="18"/>
        <v>0.93683921625549771</v>
      </c>
      <c r="AW46" s="18">
        <f t="shared" si="19"/>
        <v>0.66005951935393314</v>
      </c>
      <c r="AY46" s="7">
        <f t="shared" si="20"/>
        <v>2408863.9850571281</v>
      </c>
      <c r="AZ46" s="7">
        <f t="shared" si="21"/>
        <v>569123.43155702157</v>
      </c>
      <c r="BA46" s="7">
        <f t="shared" si="22"/>
        <v>429284.84896551236</v>
      </c>
      <c r="BB46" s="7">
        <f t="shared" si="23"/>
        <v>1611151.7805542899</v>
      </c>
      <c r="BC46" s="7">
        <f t="shared" si="24"/>
        <v>669633.69789915998</v>
      </c>
      <c r="BD46" s="5">
        <f t="shared" si="25"/>
        <v>0</v>
      </c>
      <c r="BF46" s="7">
        <f t="shared" si="26"/>
        <v>2440494.3095146986</v>
      </c>
      <c r="BG46" s="7">
        <f t="shared" si="27"/>
        <v>1436796.0588311469</v>
      </c>
      <c r="BH46" s="7">
        <f t="shared" si="28"/>
        <v>487756.21945519623</v>
      </c>
      <c r="BI46" s="7">
        <f t="shared" si="29"/>
        <v>1632307.5012116006</v>
      </c>
      <c r="BJ46" s="7">
        <f t="shared" si="30"/>
        <v>678426.52774080471</v>
      </c>
      <c r="BK46" s="5">
        <f t="shared" si="51"/>
        <v>0</v>
      </c>
      <c r="BM46" s="4">
        <f t="shared" si="31"/>
        <v>104325151.72200997</v>
      </c>
      <c r="BN46" s="4">
        <f t="shared" si="52"/>
        <v>2408863.9850571281</v>
      </c>
      <c r="BO46" s="4">
        <f t="shared" si="53"/>
        <v>569123.43155702157</v>
      </c>
      <c r="BP46" s="4">
        <f t="shared" si="54"/>
        <v>429284.84896551236</v>
      </c>
      <c r="BQ46" s="4">
        <f t="shared" si="55"/>
        <v>1611151.7805542899</v>
      </c>
      <c r="BR46" s="4">
        <f t="shared" si="56"/>
        <v>669633.69789915998</v>
      </c>
      <c r="BS46" s="4">
        <f t="shared" si="57"/>
        <v>98637093.977976859</v>
      </c>
      <c r="BU46" s="4">
        <f t="shared" si="58"/>
        <v>105695024.99776249</v>
      </c>
      <c r="BV46" s="4">
        <f t="shared" si="59"/>
        <v>2440494.3095146986</v>
      </c>
      <c r="BW46" s="4">
        <f t="shared" si="60"/>
        <v>379153.11005633324</v>
      </c>
      <c r="BX46" s="4">
        <f t="shared" si="61"/>
        <v>1436796.0588311469</v>
      </c>
      <c r="BY46" s="4">
        <f t="shared" si="62"/>
        <v>487756.21945519623</v>
      </c>
      <c r="BZ46" s="4">
        <f t="shared" si="63"/>
        <v>1632307.5012116006</v>
      </c>
      <c r="CA46" s="4">
        <f t="shared" si="64"/>
        <v>678426.52774080471</v>
      </c>
      <c r="CB46" s="4">
        <f t="shared" si="65"/>
        <v>98640091.270952702</v>
      </c>
      <c r="CD46" s="4">
        <f t="shared" si="66"/>
        <v>2997.2929758429527</v>
      </c>
      <c r="CE46" s="18">
        <f t="shared" si="67"/>
        <v>3.0387077061619146E-5</v>
      </c>
      <c r="CF46" s="5">
        <f t="shared" si="34"/>
        <v>31283947.85788478</v>
      </c>
      <c r="CG46" s="5">
        <f t="shared" si="35"/>
        <v>28875083.872827653</v>
      </c>
      <c r="CH46" s="5">
        <f t="shared" si="36"/>
        <v>28875083.872827653</v>
      </c>
      <c r="CI46" s="5">
        <f t="shared" si="68"/>
        <v>0</v>
      </c>
      <c r="CK46" s="6">
        <f t="shared" si="69"/>
        <v>7.6999999999999957E-2</v>
      </c>
      <c r="CL46" s="6">
        <f t="shared" si="70"/>
        <v>7.6999999999999957E-2</v>
      </c>
    </row>
    <row r="47" spans="1:90" x14ac:dyDescent="0.25">
      <c r="A47" s="1">
        <v>88</v>
      </c>
      <c r="B47" s="1">
        <v>210088</v>
      </c>
      <c r="D47" s="4">
        <v>9274920.8999999985</v>
      </c>
      <c r="E47" s="4">
        <v>2080940.4</v>
      </c>
      <c r="F47" s="4">
        <v>177024.38748292392</v>
      </c>
      <c r="G47" s="4">
        <v>365845.61251707608</v>
      </c>
      <c r="H47" s="4">
        <v>51700</v>
      </c>
      <c r="I47" s="4">
        <v>2142456.5</v>
      </c>
      <c r="J47" s="4">
        <v>0</v>
      </c>
      <c r="K47" s="4">
        <v>1656427.4000000001</v>
      </c>
      <c r="L47" s="4">
        <v>27057.1</v>
      </c>
      <c r="M47" s="4">
        <v>945000</v>
      </c>
      <c r="N47" s="4">
        <f t="shared" si="37"/>
        <v>1828469.4999999981</v>
      </c>
      <c r="O47" s="12">
        <f t="shared" si="38"/>
        <v>0.22436206437081316</v>
      </c>
      <c r="P47" s="12">
        <f t="shared" si="39"/>
        <v>1.9086350103850905E-2</v>
      </c>
      <c r="Q47" s="12">
        <f t="shared" si="40"/>
        <v>3.9444607286847712E-2</v>
      </c>
      <c r="R47" s="12">
        <f t="shared" si="41"/>
        <v>0.23656875607424321</v>
      </c>
      <c r="S47" s="12">
        <f t="shared" si="42"/>
        <v>0</v>
      </c>
      <c r="T47" s="12">
        <f t="shared" si="43"/>
        <v>0.17859207834322344</v>
      </c>
      <c r="U47" s="12">
        <f t="shared" si="44"/>
        <v>2.9172324262086162E-3</v>
      </c>
      <c r="V47" s="12">
        <f t="shared" si="45"/>
        <v>0.10188766138156501</v>
      </c>
      <c r="W47" s="12">
        <f t="shared" si="46"/>
        <v>0.19714125001324792</v>
      </c>
      <c r="X47" s="4">
        <f t="shared" si="47"/>
        <v>5041147.0137281418</v>
      </c>
      <c r="Y47" s="4">
        <v>10028142.060330501</v>
      </c>
      <c r="Z47" s="4">
        <f t="shared" si="48"/>
        <v>4801331.7452170579</v>
      </c>
      <c r="AA47" s="18">
        <f t="shared" si="2"/>
        <v>0.114873</v>
      </c>
      <c r="AB47" s="7">
        <f t="shared" ref="AB47" si="110">(X47*O47*(1-O$2))+(X47*P47*(1-AA47-O$2))+(X47*Q47*(1-Q$2))+(X47*R47*(1-R$2))+(X47*S47*(1-S$2))+(X47*T47*(1-T$2))+(X47*U47*(1-U$2))+(X47*V47*(1-V$2))+(X47*W47*(1-W$2))</f>
        <v>4790278.9986530207</v>
      </c>
      <c r="AC47" s="4">
        <f t="shared" si="3"/>
        <v>5052796.6345740436</v>
      </c>
      <c r="AD47" s="4">
        <f t="shared" si="4"/>
        <v>4801348.8869003616</v>
      </c>
      <c r="AE47" s="18">
        <f t="shared" si="5"/>
        <v>8.6354E-2</v>
      </c>
      <c r="AF47" s="4">
        <f t="shared" si="6"/>
        <v>4799484.5825148541</v>
      </c>
      <c r="AG47" s="4">
        <f t="shared" si="7"/>
        <v>5054762.4314607959</v>
      </c>
      <c r="AH47" s="4">
        <f t="shared" si="8"/>
        <v>4801351.8280291036</v>
      </c>
      <c r="AI47" s="4">
        <f t="shared" si="9"/>
        <v>2819.5649210769916</v>
      </c>
      <c r="AJ47" s="4">
        <f t="shared" si="50"/>
        <v>3605.6554654619858</v>
      </c>
      <c r="AK47" s="4">
        <f t="shared" si="10"/>
        <v>5058564.3783659283</v>
      </c>
      <c r="AL47" s="4">
        <f t="shared" si="11"/>
        <v>4804963.1717807725</v>
      </c>
      <c r="AM47" s="7">
        <f t="shared" si="12"/>
        <v>3606.8956028084503</v>
      </c>
      <c r="AN47" s="12">
        <f t="shared" si="13"/>
        <v>3.3457545845703035E-3</v>
      </c>
      <c r="AO47" s="4">
        <f t="shared" si="14"/>
        <v>4801356.2761779642</v>
      </c>
      <c r="AP47" s="4">
        <f t="shared" si="15"/>
        <v>0</v>
      </c>
      <c r="AQ47" s="4"/>
      <c r="AR47" s="18">
        <f t="shared" si="16"/>
        <v>0.18908088888038566</v>
      </c>
      <c r="AS47" s="18">
        <f t="shared" si="71"/>
        <v>0.11208088888038566</v>
      </c>
      <c r="AT47" s="18">
        <f t="shared" si="17"/>
        <v>8.3197316513381026E-2</v>
      </c>
      <c r="AU47" s="18">
        <f t="shared" si="72"/>
        <v>6.1973165133810265E-3</v>
      </c>
      <c r="AV47" s="18">
        <f t="shared" si="18"/>
        <v>0.94986696073895249</v>
      </c>
      <c r="AW47" s="18">
        <f t="shared" si="19"/>
        <v>0.74278077532469178</v>
      </c>
      <c r="AY47" s="7">
        <f t="shared" si="20"/>
        <v>87090.245611354054</v>
      </c>
      <c r="AZ47" s="7">
        <f t="shared" si="21"/>
        <v>7408.7164558328304</v>
      </c>
      <c r="BA47" s="7">
        <f t="shared" si="22"/>
        <v>15311.146945846418</v>
      </c>
      <c r="BB47" s="7">
        <f t="shared" si="23"/>
        <v>91828.496623329018</v>
      </c>
      <c r="BC47" s="7">
        <f t="shared" si="24"/>
        <v>38176.662874721871</v>
      </c>
      <c r="BD47" s="5">
        <f t="shared" si="25"/>
        <v>2.9103830456733704E-10</v>
      </c>
      <c r="BF47" s="7">
        <f t="shared" si="26"/>
        <v>87391.1458945786</v>
      </c>
      <c r="BG47" s="7">
        <f t="shared" si="27"/>
        <v>18525.248113280275</v>
      </c>
      <c r="BH47" s="7">
        <f t="shared" si="28"/>
        <v>17230.480051440081</v>
      </c>
      <c r="BI47" s="7">
        <f t="shared" si="29"/>
        <v>92145.767753385895</v>
      </c>
      <c r="BJ47" s="7">
        <f t="shared" si="30"/>
        <v>38308.564772470956</v>
      </c>
      <c r="BK47" s="5">
        <f t="shared" si="51"/>
        <v>0</v>
      </c>
      <c r="BM47" s="4">
        <f t="shared" si="31"/>
        <v>5041147.0137281418</v>
      </c>
      <c r="BN47" s="4">
        <f t="shared" si="52"/>
        <v>87090.245611354054</v>
      </c>
      <c r="BO47" s="4">
        <f t="shared" si="53"/>
        <v>7408.7164558328304</v>
      </c>
      <c r="BP47" s="4">
        <f t="shared" si="54"/>
        <v>15311.146945846418</v>
      </c>
      <c r="BQ47" s="4">
        <f t="shared" si="55"/>
        <v>91828.496623329018</v>
      </c>
      <c r="BR47" s="4">
        <f t="shared" si="56"/>
        <v>38176.662874721871</v>
      </c>
      <c r="BS47" s="4">
        <f t="shared" si="57"/>
        <v>4801331.7452170579</v>
      </c>
      <c r="BU47" s="4">
        <f t="shared" si="58"/>
        <v>5058564.3783659283</v>
      </c>
      <c r="BV47" s="4">
        <f t="shared" si="59"/>
        <v>87391.1458945786</v>
      </c>
      <c r="BW47" s="4">
        <f t="shared" si="60"/>
        <v>3606.8956028084503</v>
      </c>
      <c r="BX47" s="4">
        <f t="shared" si="61"/>
        <v>18525.248113280275</v>
      </c>
      <c r="BY47" s="4">
        <f t="shared" si="62"/>
        <v>17230.480051440081</v>
      </c>
      <c r="BZ47" s="4">
        <f t="shared" si="63"/>
        <v>92145.767753385895</v>
      </c>
      <c r="CA47" s="4">
        <f t="shared" si="64"/>
        <v>38308.564772470956</v>
      </c>
      <c r="CB47" s="4">
        <f t="shared" si="65"/>
        <v>4801356.2761779642</v>
      </c>
      <c r="CD47" s="4">
        <f t="shared" si="66"/>
        <v>24.530960906296968</v>
      </c>
      <c r="CE47" s="18">
        <f t="shared" si="67"/>
        <v>5.109199323861338E-6</v>
      </c>
      <c r="CF47" s="5">
        <f t="shared" si="34"/>
        <v>1131042.150796806</v>
      </c>
      <c r="CG47" s="5">
        <f t="shared" si="35"/>
        <v>1043951.905185452</v>
      </c>
      <c r="CH47" s="5">
        <f t="shared" si="36"/>
        <v>1043951.9051854518</v>
      </c>
      <c r="CI47" s="5">
        <f t="shared" si="68"/>
        <v>0</v>
      </c>
      <c r="CK47" s="6">
        <f t="shared" si="69"/>
        <v>7.7000000000000068E-2</v>
      </c>
      <c r="CL47" s="6">
        <f t="shared" si="70"/>
        <v>7.6999999999999957E-2</v>
      </c>
    </row>
    <row r="48" spans="1:90" x14ac:dyDescent="0.25">
      <c r="A48" s="1">
        <v>333</v>
      </c>
      <c r="B48" s="1">
        <v>210333</v>
      </c>
      <c r="D48" s="4">
        <v>24873230.300000001</v>
      </c>
      <c r="E48" s="4">
        <v>3272952.8</v>
      </c>
      <c r="F48" s="4">
        <v>585121.67594555579</v>
      </c>
      <c r="G48" s="4">
        <v>769356.02405444416</v>
      </c>
      <c r="H48" s="4">
        <v>-49828.4</v>
      </c>
      <c r="I48" s="4">
        <v>6163363</v>
      </c>
      <c r="J48" s="4">
        <v>0</v>
      </c>
      <c r="K48" s="4">
        <v>4408470.5999999996</v>
      </c>
      <c r="L48" s="4">
        <v>71935.399999999994</v>
      </c>
      <c r="M48" s="4">
        <v>4423000</v>
      </c>
      <c r="N48" s="4">
        <f t="shared" si="37"/>
        <v>5228859.1999999993</v>
      </c>
      <c r="O48" s="12">
        <f t="shared" si="38"/>
        <v>0.13158535343115443</v>
      </c>
      <c r="P48" s="12">
        <f t="shared" si="39"/>
        <v>2.3524153030720571E-2</v>
      </c>
      <c r="Q48" s="12">
        <f t="shared" si="40"/>
        <v>3.0931085941597387E-2</v>
      </c>
      <c r="R48" s="12">
        <f t="shared" si="41"/>
        <v>0.24578772142836627</v>
      </c>
      <c r="S48" s="12">
        <f t="shared" si="42"/>
        <v>0</v>
      </c>
      <c r="T48" s="12">
        <f t="shared" si="43"/>
        <v>0.17723755808267491</v>
      </c>
      <c r="U48" s="12">
        <f t="shared" si="44"/>
        <v>2.8920811302905031E-3</v>
      </c>
      <c r="V48" s="12">
        <f t="shared" si="45"/>
        <v>0.17782169612283932</v>
      </c>
      <c r="W48" s="12">
        <f t="shared" si="46"/>
        <v>0.21022035083235646</v>
      </c>
      <c r="X48" s="4">
        <f t="shared" si="47"/>
        <v>13211536.079036944</v>
      </c>
      <c r="Y48" s="4">
        <v>26281153.9268688</v>
      </c>
      <c r="Z48" s="4">
        <f t="shared" si="48"/>
        <v>12669099.737691527</v>
      </c>
      <c r="AA48" s="18">
        <f t="shared" si="2"/>
        <v>0.114873</v>
      </c>
      <c r="AB48" s="7">
        <f t="shared" ref="AB48" si="111">(X48*O48*(1-O$2))+(X48*P48*(1-AA48-O$2))+(X48*Q48*(1-Q$2))+(X48*R48*(1-R$2))+(X48*S48*(1-S$2))+(X48*T48*(1-T$2))+(X48*U48*(1-U$2))+(X48*V48*(1-V$2))+(X48*W48*(1-W$2))</f>
        <v>12633398.335449655</v>
      </c>
      <c r="AC48" s="4">
        <f t="shared" si="3"/>
        <v>13248937.362821959</v>
      </c>
      <c r="AD48" s="4">
        <f t="shared" si="4"/>
        <v>12669162.936438259</v>
      </c>
      <c r="AE48" s="18">
        <f t="shared" si="5"/>
        <v>8.6354E-2</v>
      </c>
      <c r="AF48" s="4">
        <f t="shared" si="6"/>
        <v>12665329.629633266</v>
      </c>
      <c r="AG48" s="4">
        <f t="shared" si="7"/>
        <v>13252954.50334163</v>
      </c>
      <c r="AH48" s="4">
        <f t="shared" si="8"/>
        <v>12669169.817525843</v>
      </c>
      <c r="AI48" s="4">
        <f t="shared" si="9"/>
        <v>5030.4035346403252</v>
      </c>
      <c r="AJ48" s="4">
        <f t="shared" si="50"/>
        <v>5762.5317283663308</v>
      </c>
      <c r="AK48" s="4">
        <f t="shared" si="10"/>
        <v>13258993.388533849</v>
      </c>
      <c r="AL48" s="4">
        <f t="shared" si="11"/>
        <v>12674942.69345245</v>
      </c>
      <c r="AM48" s="7">
        <f t="shared" si="12"/>
        <v>5763.845956127625</v>
      </c>
      <c r="AN48" s="12">
        <f t="shared" si="13"/>
        <v>3.4558812394686659E-3</v>
      </c>
      <c r="AO48" s="4">
        <f t="shared" si="14"/>
        <v>12669178.847496321</v>
      </c>
      <c r="AP48" s="4">
        <f t="shared" si="15"/>
        <v>0</v>
      </c>
      <c r="AQ48" s="4"/>
      <c r="AR48" s="18">
        <f t="shared" si="16"/>
        <v>0.18897011778234007</v>
      </c>
      <c r="AS48" s="18">
        <f t="shared" si="71"/>
        <v>0.11197011778234008</v>
      </c>
      <c r="AT48" s="18">
        <f t="shared" si="17"/>
        <v>8.3072081778438389E-2</v>
      </c>
      <c r="AU48" s="18">
        <f t="shared" si="72"/>
        <v>6.0720817784383901E-3</v>
      </c>
      <c r="AV48" s="18">
        <f t="shared" si="18"/>
        <v>0.95595060062504611</v>
      </c>
      <c r="AW48" s="18">
        <f t="shared" si="19"/>
        <v>0.83449731940809058</v>
      </c>
      <c r="AY48" s="7">
        <f t="shared" si="20"/>
        <v>133860.2376132964</v>
      </c>
      <c r="AZ48" s="7">
        <f t="shared" si="21"/>
        <v>23930.845130049634</v>
      </c>
      <c r="BA48" s="7">
        <f t="shared" si="22"/>
        <v>31465.831156852881</v>
      </c>
      <c r="BB48" s="7">
        <f t="shared" si="23"/>
        <v>250036.96790650598</v>
      </c>
      <c r="BC48" s="7">
        <f t="shared" si="24"/>
        <v>103142.45953870963</v>
      </c>
      <c r="BD48" s="5">
        <f t="shared" si="25"/>
        <v>-1.862645149230957E-9</v>
      </c>
      <c r="BF48" s="7">
        <f t="shared" si="26"/>
        <v>134341.0785002106</v>
      </c>
      <c r="BG48" s="7">
        <f t="shared" si="27"/>
        <v>59846.4530481279</v>
      </c>
      <c r="BH48" s="7">
        <f t="shared" si="28"/>
        <v>35415.076236639768</v>
      </c>
      <c r="BI48" s="7">
        <f t="shared" si="29"/>
        <v>250935.12855191613</v>
      </c>
      <c r="BJ48" s="7">
        <f t="shared" si="30"/>
        <v>103512.95874450353</v>
      </c>
      <c r="BK48" s="5">
        <f t="shared" si="51"/>
        <v>-1.7462298274040222E-9</v>
      </c>
      <c r="BM48" s="4">
        <f t="shared" si="31"/>
        <v>13211536.079036944</v>
      </c>
      <c r="BN48" s="4">
        <f t="shared" si="52"/>
        <v>133860.2376132964</v>
      </c>
      <c r="BO48" s="4">
        <f t="shared" si="53"/>
        <v>23930.845130049634</v>
      </c>
      <c r="BP48" s="4">
        <f t="shared" si="54"/>
        <v>31465.831156852881</v>
      </c>
      <c r="BQ48" s="4">
        <f t="shared" si="55"/>
        <v>250036.96790650598</v>
      </c>
      <c r="BR48" s="4">
        <f t="shared" si="56"/>
        <v>103142.45953870963</v>
      </c>
      <c r="BS48" s="4">
        <f t="shared" si="57"/>
        <v>12669099.737691529</v>
      </c>
      <c r="BU48" s="4">
        <f t="shared" si="58"/>
        <v>13258993.388533849</v>
      </c>
      <c r="BV48" s="4">
        <f t="shared" si="59"/>
        <v>134341.0785002106</v>
      </c>
      <c r="BW48" s="4">
        <f t="shared" si="60"/>
        <v>5763.845956127625</v>
      </c>
      <c r="BX48" s="4">
        <f t="shared" si="61"/>
        <v>59846.4530481279</v>
      </c>
      <c r="BY48" s="4">
        <f t="shared" si="62"/>
        <v>35415.076236639768</v>
      </c>
      <c r="BZ48" s="4">
        <f t="shared" si="63"/>
        <v>250935.12855191613</v>
      </c>
      <c r="CA48" s="4">
        <f t="shared" si="64"/>
        <v>103512.95874450353</v>
      </c>
      <c r="CB48" s="4">
        <f t="shared" si="65"/>
        <v>12669178.847496323</v>
      </c>
      <c r="CD48" s="4">
        <f t="shared" si="66"/>
        <v>79.109804794192314</v>
      </c>
      <c r="CE48" s="18">
        <f t="shared" si="67"/>
        <v>6.2443114690173816E-6</v>
      </c>
      <c r="CF48" s="5">
        <f t="shared" si="34"/>
        <v>1738444.6443285246</v>
      </c>
      <c r="CG48" s="5">
        <f t="shared" si="35"/>
        <v>1604584.4067152282</v>
      </c>
      <c r="CH48" s="5">
        <f t="shared" si="36"/>
        <v>1604584.4067152282</v>
      </c>
      <c r="CI48" s="5">
        <f t="shared" si="68"/>
        <v>0</v>
      </c>
      <c r="CK48" s="6">
        <f t="shared" si="69"/>
        <v>7.6999999999999957E-2</v>
      </c>
      <c r="CL48" s="6">
        <f t="shared" si="70"/>
        <v>7.6999999999999957E-2</v>
      </c>
    </row>
    <row r="49" spans="1:90" x14ac:dyDescent="0.25">
      <c r="A49" s="1">
        <v>8992</v>
      </c>
      <c r="B49" s="1">
        <v>218992</v>
      </c>
      <c r="D49" s="4">
        <v>285922097.10000002</v>
      </c>
      <c r="E49" s="4">
        <v>62444487.100000001</v>
      </c>
      <c r="F49" s="4">
        <v>12284303.619849963</v>
      </c>
      <c r="G49" s="4">
        <v>20216362.780150034</v>
      </c>
      <c r="H49" s="4">
        <v>27585714.599999998</v>
      </c>
      <c r="I49" s="4">
        <v>62453304.199999996</v>
      </c>
      <c r="J49" s="4">
        <v>30350576.300000001</v>
      </c>
      <c r="K49" s="4">
        <v>4638282.5999999996</v>
      </c>
      <c r="L49" s="4">
        <v>463298.2</v>
      </c>
      <c r="M49" s="4">
        <v>12584000</v>
      </c>
      <c r="N49" s="4">
        <f t="shared" si="37"/>
        <v>52901767.700000048</v>
      </c>
      <c r="O49" s="12">
        <f t="shared" si="38"/>
        <v>0.21839685611343396</v>
      </c>
      <c r="P49" s="12">
        <f t="shared" si="39"/>
        <v>4.2963813375898614E-2</v>
      </c>
      <c r="Q49" s="12">
        <f t="shared" si="40"/>
        <v>7.0705842553608053E-2</v>
      </c>
      <c r="R49" s="12">
        <f t="shared" si="41"/>
        <v>0.31490752101090402</v>
      </c>
      <c r="S49" s="12">
        <f t="shared" si="42"/>
        <v>0.10614981006307118</v>
      </c>
      <c r="T49" s="12">
        <f t="shared" si="43"/>
        <v>1.6222190054718928E-2</v>
      </c>
      <c r="U49" s="12">
        <f t="shared" si="44"/>
        <v>1.62036514385932E-3</v>
      </c>
      <c r="V49" s="12">
        <f t="shared" si="45"/>
        <v>4.4011988327012024E-2</v>
      </c>
      <c r="W49" s="12">
        <f t="shared" si="46"/>
        <v>0.18502161335749395</v>
      </c>
      <c r="X49" s="4">
        <f t="shared" si="47"/>
        <v>156939388.3352724</v>
      </c>
      <c r="Y49" s="4">
        <v>312192934.82250333</v>
      </c>
      <c r="Z49" s="4">
        <f t="shared" si="48"/>
        <v>148109561.72953051</v>
      </c>
      <c r="AA49" s="18">
        <f t="shared" si="2"/>
        <v>0.114873</v>
      </c>
      <c r="AB49" s="7">
        <f t="shared" ref="AB49" si="112">(X49*O49*(1-O$2))+(X49*P49*(1-AA49-O$2))+(X49*Q49*(1-Q$2))+(X49*R49*(1-R$2))+(X49*S49*(1-S$2))+(X49*T49*(1-T$2))+(X49*U49*(1-U$2))+(X49*V49*(1-V$2))+(X49*W49*(1-W$2))</f>
        <v>147335005.87623078</v>
      </c>
      <c r="AC49" s="4">
        <f t="shared" si="3"/>
        <v>157765973.44126233</v>
      </c>
      <c r="AD49" s="4">
        <f t="shared" si="4"/>
        <v>148111005.59650534</v>
      </c>
      <c r="AE49" s="18">
        <f t="shared" si="5"/>
        <v>8.6354E-2</v>
      </c>
      <c r="AF49" s="4">
        <f t="shared" si="6"/>
        <v>148006661.95026746</v>
      </c>
      <c r="AG49" s="4">
        <f t="shared" si="7"/>
        <v>157877407.99990061</v>
      </c>
      <c r="AH49" s="4">
        <f t="shared" si="8"/>
        <v>148111203.23182645</v>
      </c>
      <c r="AI49" s="4">
        <f t="shared" si="9"/>
        <v>189086.28370636329</v>
      </c>
      <c r="AJ49" s="4">
        <f t="shared" si="50"/>
        <v>240835.02763835399</v>
      </c>
      <c r="AK49" s="4">
        <f t="shared" si="10"/>
        <v>158134609.52560094</v>
      </c>
      <c r="AL49" s="4">
        <f t="shared" si="11"/>
        <v>148352494.42052242</v>
      </c>
      <c r="AM49" s="7">
        <f t="shared" si="12"/>
        <v>240933.04395265505</v>
      </c>
      <c r="AN49" s="12">
        <f t="shared" si="13"/>
        <v>7.4362696965923599E-3</v>
      </c>
      <c r="AO49" s="4">
        <f t="shared" si="14"/>
        <v>148111561.37656978</v>
      </c>
      <c r="AP49" s="4">
        <f t="shared" si="15"/>
        <v>0</v>
      </c>
      <c r="AQ49" s="4"/>
      <c r="AR49" s="18">
        <f t="shared" si="16"/>
        <v>0.18571845508223095</v>
      </c>
      <c r="AS49" s="18">
        <f t="shared" si="71"/>
        <v>0.10871845508223095</v>
      </c>
      <c r="AT49" s="18">
        <f t="shared" si="17"/>
        <v>7.9395842005105521E-2</v>
      </c>
      <c r="AU49" s="18">
        <f t="shared" si="72"/>
        <v>2.3958420051055224E-3</v>
      </c>
      <c r="AV49" s="18">
        <f t="shared" si="18"/>
        <v>0.93814058077213724</v>
      </c>
      <c r="AW49" s="18">
        <f t="shared" si="19"/>
        <v>0.73656028257943795</v>
      </c>
      <c r="AY49" s="7">
        <f t="shared" si="20"/>
        <v>2639180.3139847396</v>
      </c>
      <c r="AZ49" s="7">
        <f t="shared" si="21"/>
        <v>519189.0235658529</v>
      </c>
      <c r="BA49" s="7">
        <f t="shared" si="22"/>
        <v>854432.93952118582</v>
      </c>
      <c r="BB49" s="7">
        <f t="shared" si="23"/>
        <v>3805447.317181373</v>
      </c>
      <c r="BC49" s="7">
        <f t="shared" si="24"/>
        <v>1011577.0114887555</v>
      </c>
      <c r="BD49" s="5">
        <f t="shared" si="25"/>
        <v>1.862645149230957E-8</v>
      </c>
      <c r="BF49" s="7">
        <f t="shared" si="26"/>
        <v>2659279.8203599881</v>
      </c>
      <c r="BG49" s="7">
        <f t="shared" si="27"/>
        <v>1303597.7972070808</v>
      </c>
      <c r="BH49" s="7">
        <f t="shared" si="28"/>
        <v>965527.59753623616</v>
      </c>
      <c r="BI49" s="7">
        <f t="shared" si="29"/>
        <v>3834428.8961235397</v>
      </c>
      <c r="BJ49" s="7">
        <f t="shared" si="30"/>
        <v>1019280.9938516639</v>
      </c>
      <c r="BK49" s="5">
        <f t="shared" si="51"/>
        <v>0</v>
      </c>
      <c r="BM49" s="4">
        <f t="shared" si="31"/>
        <v>156939388.3352724</v>
      </c>
      <c r="BN49" s="4">
        <f t="shared" si="52"/>
        <v>2639180.3139847396</v>
      </c>
      <c r="BO49" s="4">
        <f t="shared" si="53"/>
        <v>519189.0235658529</v>
      </c>
      <c r="BP49" s="4">
        <f t="shared" si="54"/>
        <v>854432.93952118582</v>
      </c>
      <c r="BQ49" s="4">
        <f t="shared" si="55"/>
        <v>3805447.317181373</v>
      </c>
      <c r="BR49" s="4">
        <f t="shared" si="56"/>
        <v>1011577.0114887555</v>
      </c>
      <c r="BS49" s="4">
        <f t="shared" si="57"/>
        <v>148109561.72953048</v>
      </c>
      <c r="BU49" s="4">
        <f t="shared" si="58"/>
        <v>158134609.52560094</v>
      </c>
      <c r="BV49" s="4">
        <f t="shared" si="59"/>
        <v>2659279.8203599881</v>
      </c>
      <c r="BW49" s="4">
        <f t="shared" si="60"/>
        <v>240933.04395265505</v>
      </c>
      <c r="BX49" s="4">
        <f t="shared" si="61"/>
        <v>1303597.7972070808</v>
      </c>
      <c r="BY49" s="4">
        <f t="shared" si="62"/>
        <v>965527.59753623616</v>
      </c>
      <c r="BZ49" s="4">
        <f t="shared" si="63"/>
        <v>3834428.8961235397</v>
      </c>
      <c r="CA49" s="4">
        <f t="shared" si="64"/>
        <v>1019280.9938516639</v>
      </c>
      <c r="CB49" s="4">
        <f t="shared" si="65"/>
        <v>148111561.37656978</v>
      </c>
      <c r="CD49" s="4">
        <f t="shared" si="66"/>
        <v>1999.6470392942429</v>
      </c>
      <c r="CE49" s="18">
        <f t="shared" si="67"/>
        <v>1.3501133997991891E-5</v>
      </c>
      <c r="CF49" s="5">
        <f t="shared" si="34"/>
        <v>34275069.012788825</v>
      </c>
      <c r="CG49" s="5">
        <f t="shared" si="35"/>
        <v>31635888.698804084</v>
      </c>
      <c r="CH49" s="5">
        <f t="shared" si="36"/>
        <v>31635888.698804084</v>
      </c>
      <c r="CI49" s="5">
        <f t="shared" si="68"/>
        <v>0</v>
      </c>
      <c r="CK49" s="6">
        <f t="shared" si="69"/>
        <v>7.7000000000000068E-2</v>
      </c>
      <c r="CL49" s="6">
        <f t="shared" si="70"/>
        <v>7.7000000000000068E-2</v>
      </c>
    </row>
    <row r="50" spans="1:90" x14ac:dyDescent="0.25">
      <c r="AF50" s="4"/>
      <c r="AG50" s="4"/>
      <c r="AH50" s="4"/>
      <c r="AI50" s="4"/>
      <c r="AJ50" s="4"/>
      <c r="AK50" s="4"/>
      <c r="AL50" s="4"/>
      <c r="AM50" s="7"/>
      <c r="AN50" s="7"/>
      <c r="AO50" s="4"/>
      <c r="AP50" s="4"/>
      <c r="AQ50" s="4"/>
      <c r="AR50" s="18"/>
      <c r="AS50" s="18"/>
      <c r="AT50" s="18"/>
      <c r="AU50" s="18"/>
      <c r="AV50" s="18"/>
      <c r="AW50" s="18"/>
    </row>
    <row r="51" spans="1:90" x14ac:dyDescent="0.25">
      <c r="C51" s="3" t="s">
        <v>78</v>
      </c>
      <c r="D51" s="5">
        <f t="shared" ref="D51:M51" si="113">SUM(D5:D49)</f>
        <v>20859879502.200001</v>
      </c>
      <c r="E51" s="5">
        <f t="shared" si="113"/>
        <v>6547498664.4000034</v>
      </c>
      <c r="F51" s="5">
        <f t="shared" si="113"/>
        <v>1087259891.6667168</v>
      </c>
      <c r="G51" s="5">
        <f t="shared" si="113"/>
        <v>1255295657.0332832</v>
      </c>
      <c r="H51" s="5">
        <f t="shared" si="113"/>
        <v>809549649.19999993</v>
      </c>
      <c r="I51" s="5">
        <f t="shared" si="113"/>
        <v>3440281653.6999998</v>
      </c>
      <c r="J51" s="5">
        <f t="shared" si="113"/>
        <v>1327048884.1999996</v>
      </c>
      <c r="K51" s="5">
        <f t="shared" si="113"/>
        <v>1507094294.9000001</v>
      </c>
      <c r="L51" s="5">
        <f t="shared" si="113"/>
        <v>80239814.299999982</v>
      </c>
      <c r="M51" s="5">
        <f t="shared" si="113"/>
        <v>821793065.19999981</v>
      </c>
      <c r="N51" s="4">
        <f t="shared" ref="N51" si="114">D51-SUM(E51:M51)</f>
        <v>3983817927.5999985</v>
      </c>
      <c r="O51" s="12">
        <f t="shared" ref="O51" si="115">E51/$D51</f>
        <v>0.31387998495913971</v>
      </c>
      <c r="P51" s="12">
        <f t="shared" ref="P51" si="116">F51/$D51</f>
        <v>5.2122060031653025E-2</v>
      </c>
      <c r="Q51" s="12">
        <f t="shared" ref="Q51" si="117">G51/$D51</f>
        <v>6.0177512382125348E-2</v>
      </c>
      <c r="R51" s="12">
        <f t="shared" ref="R51" si="118">(H51+I51)/$D51</f>
        <v>0.20373230355677693</v>
      </c>
      <c r="S51" s="12">
        <f t="shared" ref="S51" si="119">J51/$D51</f>
        <v>6.3617284273384297E-2</v>
      </c>
      <c r="T51" s="12">
        <f t="shared" ref="T51" si="120">K51/$D51</f>
        <v>7.2248465996222727E-2</v>
      </c>
      <c r="U51" s="12">
        <f t="shared" ref="U51" si="121">L51/$D51</f>
        <v>3.8466096744009205E-3</v>
      </c>
      <c r="V51" s="12">
        <f t="shared" ref="V51" si="122">M51/$D51</f>
        <v>3.9395868279743847E-2</v>
      </c>
      <c r="W51" s="12">
        <f>(N51)/$D51</f>
        <v>0.19097991084655319</v>
      </c>
      <c r="X51" s="4">
        <f>SUM(X5:X49)</f>
        <v>11529294761.478643</v>
      </c>
      <c r="Y51" s="5">
        <f>SUM(Y5:Y49)</f>
        <v>22934741916.607613</v>
      </c>
      <c r="Z51" s="5">
        <f>SUM(Z5:Z49)</f>
        <v>10892258817.33247</v>
      </c>
      <c r="AA51" s="19">
        <v>0.114873</v>
      </c>
      <c r="AB51" s="5">
        <f>SUM(AB5:AB49)</f>
        <v>10823346012.010048</v>
      </c>
      <c r="AC51" s="5">
        <f>SUM(AC5:AC49)</f>
        <v>11603112689.217308</v>
      </c>
      <c r="AD51" s="5">
        <f>SUM(AD5:AD49)</f>
        <v>10892420970.751457</v>
      </c>
      <c r="AE51" s="19">
        <v>8.6354E-2</v>
      </c>
      <c r="AF51" s="5">
        <f t="shared" ref="AF51:AL51" si="123">SUM(AF5:AF49)</f>
        <v>10885886262.831577</v>
      </c>
      <c r="AG51" s="5">
        <f t="shared" si="123"/>
        <v>11610115252.408901</v>
      </c>
      <c r="AH51" s="5">
        <f t="shared" si="123"/>
        <v>10892435063.828684</v>
      </c>
      <c r="AI51" s="5">
        <f t="shared" si="123"/>
        <v>23261538.40668337</v>
      </c>
      <c r="AJ51" s="5">
        <f t="shared" si="123"/>
        <v>34716204.414513245</v>
      </c>
      <c r="AK51" s="5">
        <f t="shared" si="123"/>
        <v>11647330065.614653</v>
      </c>
      <c r="AL51" s="5">
        <f t="shared" si="123"/>
        <v>10927230023.368139</v>
      </c>
      <c r="AM51" s="7">
        <f>SUM(AM5:AM49)</f>
        <v>34741650.271241978</v>
      </c>
      <c r="AN51" s="12">
        <f>AM51/((O51*AL51))</f>
        <v>1.0129237070278801E-2</v>
      </c>
      <c r="AO51" s="5">
        <f>SUM(AO5:AO49)</f>
        <v>10892488373.096895</v>
      </c>
      <c r="AP51" s="4">
        <f>SUM(AP5:AP49)</f>
        <v>0</v>
      </c>
      <c r="AQ51" s="5"/>
      <c r="AR51" s="23">
        <f>1-((AK51*P51*(1-O$2-AA51))/(X51*P51))</f>
        <v>0.18359950901907496</v>
      </c>
      <c r="AS51" s="23">
        <f>AR51-$O$2</f>
        <v>0.10659950901907496</v>
      </c>
      <c r="AT51" s="18">
        <f>1-((((AK51*Q51*(1-AE51))/AL51)*AL51)/(X51*Q51))</f>
        <v>7.7000220283744647E-2</v>
      </c>
      <c r="AU51" s="23">
        <f t="shared" ref="AU51" si="124">AT51-$O$2</f>
        <v>2.2028374464799771E-7</v>
      </c>
      <c r="AV51" s="18">
        <f>$O51*(1-$O$2)+$P51*(1-$O$2-$AA51)+$Q51*(1-$AE51)+$R51*(1-$R$2)+$S51*(1-$S$2)+$T51*(1-$T$2)+$U51*(1-$U$2)+$V51*(1-$V$2)+$W51*(1-$W$2)</f>
        <v>0.93817358022908048</v>
      </c>
      <c r="AW51" s="18">
        <f>$P51*(1-$O$2-$AA51)+$Q51*(1-$AE51)+$R51*(1-$R$2)+$S51*(1-$S$2)+$T51*(1-$T$2)+$U51*(1-$U$2)+$V51*(1-$V$2)+$W51*(1-$W$2)</f>
        <v>0.64846235411179431</v>
      </c>
      <c r="AY51" s="7">
        <f>SUM(AY5:AY49)</f>
        <v>278806188.18366462</v>
      </c>
      <c r="AZ51" s="7">
        <f t="shared" ref="AZ51:BD51" si="125">SUM(AZ5:AZ49)</f>
        <v>46192630.207503565</v>
      </c>
      <c r="BA51" s="7">
        <f t="shared" si="125"/>
        <v>53409787.590259127</v>
      </c>
      <c r="BB51" s="7">
        <f t="shared" si="125"/>
        <v>180418339.82823488</v>
      </c>
      <c r="BC51" s="7">
        <f t="shared" si="125"/>
        <v>78208998.336512387</v>
      </c>
      <c r="BD51" s="7">
        <f t="shared" si="125"/>
        <v>3.5314587876200676E-7</v>
      </c>
      <c r="BF51" s="7">
        <f>SUM(BF5:BF49)</f>
        <v>281704462.36663944</v>
      </c>
      <c r="BG51" s="7">
        <f t="shared" ref="BG51:BK51" si="126">SUM(BG5:BG49)</f>
        <v>116592512.19717802</v>
      </c>
      <c r="BH51" s="7">
        <f t="shared" si="126"/>
        <v>60604983.444739878</v>
      </c>
      <c r="BI51" s="7">
        <f t="shared" si="126"/>
        <v>182261717.61685619</v>
      </c>
      <c r="BJ51" s="7">
        <f t="shared" si="126"/>
        <v>78936366.621103153</v>
      </c>
      <c r="BK51" s="7">
        <f t="shared" si="126"/>
        <v>4.6973582357168198E-7</v>
      </c>
      <c r="BM51" s="5">
        <f>SUM(BM5:BM49)</f>
        <v>11529294761.478643</v>
      </c>
      <c r="BN51" s="5">
        <f t="shared" ref="BN51:BS51" si="127">SUM(BN5:BN49)</f>
        <v>278806188.18366462</v>
      </c>
      <c r="BO51" s="5">
        <f t="shared" si="127"/>
        <v>46192630.207503565</v>
      </c>
      <c r="BP51" s="5">
        <f t="shared" si="127"/>
        <v>53409787.590259127</v>
      </c>
      <c r="BQ51" s="5">
        <f t="shared" si="127"/>
        <v>180418339.82823488</v>
      </c>
      <c r="BR51" s="5">
        <f t="shared" si="127"/>
        <v>78208998.336512387</v>
      </c>
      <c r="BS51" s="5">
        <f t="shared" si="127"/>
        <v>10892258817.33247</v>
      </c>
      <c r="BU51" s="5">
        <f>SUM(BU5:BU49)</f>
        <v>11647330065.614653</v>
      </c>
      <c r="BV51" s="5">
        <f t="shared" ref="BV51:CB51" si="128">SUM(BV5:BV49)</f>
        <v>281704462.36663944</v>
      </c>
      <c r="BW51" s="5">
        <f t="shared" si="128"/>
        <v>34741650.271241978</v>
      </c>
      <c r="BX51" s="5">
        <f t="shared" si="128"/>
        <v>116592512.19717802</v>
      </c>
      <c r="BY51" s="5">
        <f t="shared" si="128"/>
        <v>60604983.444739878</v>
      </c>
      <c r="BZ51" s="5">
        <f t="shared" si="128"/>
        <v>182261717.61685619</v>
      </c>
      <c r="CA51" s="5">
        <f t="shared" si="128"/>
        <v>78936366.621103153</v>
      </c>
      <c r="CB51" s="5">
        <f t="shared" si="128"/>
        <v>10892488373.096895</v>
      </c>
      <c r="CD51" s="16">
        <f>SUM(CD5:CD49)</f>
        <v>229555.76442479715</v>
      </c>
      <c r="CE51" s="12">
        <f>CD51/BS51</f>
        <v>2.1075129435917653E-5</v>
      </c>
      <c r="CF51" s="5">
        <f>SUM(CF5:CF49)</f>
        <v>3620859586.8008394</v>
      </c>
      <c r="CG51" s="5">
        <f>SUM(CG5:CG49)</f>
        <v>3342053398.6171732</v>
      </c>
      <c r="CH51" s="5">
        <f>SUM(CH5:CH49)</f>
        <v>3342053398.6171737</v>
      </c>
      <c r="CI51" s="5">
        <f t="shared" ref="CI51" si="129">CH51-CG51</f>
        <v>0</v>
      </c>
      <c r="CK51" s="6">
        <f t="shared" ref="CK51" si="130">1-CH51/CF51</f>
        <v>7.700000000000029E-2</v>
      </c>
      <c r="CL51" s="6">
        <f t="shared" ref="CL51" si="131">1-CG51/CF51</f>
        <v>7.7000000000000401E-2</v>
      </c>
    </row>
    <row r="52" spans="1:90" ht="17.25" customHeight="1" x14ac:dyDescent="0.25"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12"/>
      <c r="P52" s="12"/>
      <c r="Q52" s="12"/>
      <c r="R52" s="12"/>
      <c r="S52" s="12"/>
      <c r="T52" s="12"/>
      <c r="U52" s="12"/>
      <c r="V52" s="12"/>
      <c r="W52" s="12"/>
      <c r="X52" s="5"/>
      <c r="Y52" s="5"/>
      <c r="Z52" s="5"/>
      <c r="AB52" s="5"/>
      <c r="AC52" s="5"/>
      <c r="AD52" s="5"/>
      <c r="AE52" s="4"/>
      <c r="AF52" s="5"/>
      <c r="AG52" s="5"/>
      <c r="AH52" s="5"/>
      <c r="AI52" s="5"/>
      <c r="AJ52" s="5"/>
      <c r="AK52" s="5"/>
      <c r="AL52" s="5"/>
      <c r="AM52" s="5"/>
      <c r="AN52" s="12"/>
      <c r="AO52" s="5"/>
      <c r="AP52" s="4"/>
      <c r="AQ52" s="4"/>
      <c r="AR52" s="18"/>
      <c r="AS52" s="18"/>
      <c r="AT52" s="18"/>
      <c r="AU52" s="18"/>
      <c r="AV52" s="18"/>
      <c r="AW52" s="18"/>
      <c r="AY52" s="4"/>
      <c r="AZ52" s="4"/>
      <c r="BA52" s="4"/>
      <c r="BB52" s="4"/>
      <c r="BC52" s="4"/>
      <c r="BD52" s="5"/>
      <c r="BF52" s="4"/>
      <c r="BG52" s="4"/>
      <c r="BH52" s="4"/>
      <c r="BI52" s="4"/>
      <c r="BJ52" s="4"/>
      <c r="BK52" s="4"/>
      <c r="BS52" s="5"/>
    </row>
    <row r="53" spans="1:90" x14ac:dyDescent="0.25">
      <c r="D53" s="5"/>
      <c r="E53" s="5"/>
      <c r="F53" s="12"/>
      <c r="G53" s="5"/>
      <c r="H53" s="5"/>
      <c r="I53" s="5"/>
      <c r="J53" s="5"/>
      <c r="K53" s="5"/>
      <c r="L53" s="5"/>
      <c r="M53" s="5"/>
      <c r="N53" s="5"/>
      <c r="O53" s="12"/>
      <c r="P53" s="12"/>
      <c r="Q53" s="12"/>
      <c r="R53" s="12"/>
      <c r="S53" s="12"/>
      <c r="T53" s="12"/>
      <c r="U53" s="12"/>
      <c r="V53" s="12"/>
      <c r="W53" s="12"/>
      <c r="X53" s="5"/>
      <c r="Y53" s="5"/>
      <c r="Z53" s="5"/>
      <c r="AE53" s="4"/>
      <c r="AF53" s="4"/>
      <c r="AG53" s="4"/>
      <c r="AH53" s="4"/>
      <c r="AI53" s="4"/>
      <c r="AJ53" s="4"/>
      <c r="AK53" s="4"/>
      <c r="AO53" s="4"/>
      <c r="AP53" s="4"/>
      <c r="AQ53" s="4"/>
      <c r="AR53" s="18"/>
      <c r="AS53" s="18"/>
      <c r="AT53" s="18"/>
      <c r="AU53" s="18"/>
      <c r="AV53" s="18"/>
      <c r="AW53" s="18"/>
      <c r="BF53" s="5"/>
      <c r="BM53" s="1" t="s">
        <v>89</v>
      </c>
      <c r="BN53" s="5">
        <f>$BM$51*O51</f>
        <v>3618814866.3224049</v>
      </c>
      <c r="BO53" s="5">
        <f>$BM$51*P51</f>
        <v>600930593.68041265</v>
      </c>
      <c r="BP53" s="5">
        <f>$BM$51*Q51</f>
        <v>693804278.26605392</v>
      </c>
      <c r="BQ53" s="5">
        <f>$BM$51*R51</f>
        <v>2348889780.1411252</v>
      </c>
      <c r="BR53" s="5">
        <f>BM51-SUM(BN53:BQ53)</f>
        <v>4266855243.0686474</v>
      </c>
      <c r="BS53" s="5"/>
      <c r="BU53" s="1" t="s">
        <v>89</v>
      </c>
      <c r="BV53" s="5">
        <f>$BU$51*O51</f>
        <v>3655863785.8092628</v>
      </c>
      <c r="BX53" s="5">
        <f>$BU$51*P51</f>
        <v>607082836.88844407</v>
      </c>
      <c r="BY53" s="5">
        <f>$BU$51*Q51</f>
        <v>700907349.2422266</v>
      </c>
      <c r="BZ53" s="5">
        <f>$BU$51*R51</f>
        <v>2372937384.5537791</v>
      </c>
      <c r="CA53" s="5">
        <f>BU51-SUM(BV53:BZ53)</f>
        <v>4310538709.1209393</v>
      </c>
      <c r="CF53" s="4"/>
      <c r="CG53" s="4"/>
      <c r="CH53" s="4"/>
    </row>
    <row r="54" spans="1:90" x14ac:dyDescent="0.25">
      <c r="F54" s="6"/>
      <c r="X54" s="21"/>
      <c r="AA54" s="27"/>
      <c r="AE54" s="27"/>
      <c r="AJ54" s="4"/>
      <c r="AK54" s="4"/>
      <c r="AL54" s="4"/>
      <c r="AM54" s="7"/>
      <c r="AN54" s="7"/>
      <c r="AO54" s="4"/>
      <c r="AP54" s="22"/>
      <c r="AQ54" s="22"/>
      <c r="AS54" s="3"/>
      <c r="AU54" s="26"/>
      <c r="BM54" s="1" t="s">
        <v>87</v>
      </c>
      <c r="BN54" s="5">
        <f>(X51*$O51*($O$2))</f>
        <v>278648744.7068252</v>
      </c>
      <c r="BO54" s="5">
        <f>(X51*$P51*($O$2))</f>
        <v>46271655.713391773</v>
      </c>
      <c r="BP54" s="5">
        <f>(X51*Q51*($Q$2))</f>
        <v>53422929.426486149</v>
      </c>
      <c r="BQ54" s="5">
        <f>(X51*$R51*($R$2))</f>
        <v>180864513.07086664</v>
      </c>
      <c r="BR54" s="5">
        <f>(X51*$S51*($S$2))+(X51*$T51*($T$2))+(X51*$U51*($U$2))+(X51*$V51*($V$2))+(X51*$W51*($W$2))</f>
        <v>78086629.361523449</v>
      </c>
      <c r="BU54" s="1" t="s">
        <v>87</v>
      </c>
      <c r="BV54" s="5">
        <f>(AK51*$O51*($O$2))+AM51</f>
        <v>316243161.77855521</v>
      </c>
      <c r="BX54" s="5">
        <f>(AK51*$P51*($O$2+$AA51))</f>
        <v>116482805.16229644</v>
      </c>
      <c r="BY54" s="5">
        <f>(AK51*Q51*($AE51))</f>
        <v>60526153.236463234</v>
      </c>
      <c r="BZ54" s="5">
        <f>(AK51*$R51*($R$2))</f>
        <v>182716178.610641</v>
      </c>
      <c r="CA54" s="5">
        <f>(AK51*$S51*($S$2))+(AK51*$T51*($T$2))+(AK51*$U51*($U$2))+(AK51*$V51*($V$2))+(AK51*$W51*($W$2))</f>
        <v>78886069.330431074</v>
      </c>
    </row>
    <row r="55" spans="1:90" x14ac:dyDescent="0.25">
      <c r="AA55" s="27"/>
      <c r="AE55" s="27"/>
      <c r="AP55" s="20"/>
      <c r="AQ55" s="20"/>
      <c r="AR55" s="5"/>
      <c r="AS55" s="5"/>
      <c r="BM55" s="1" t="s">
        <v>38</v>
      </c>
      <c r="BN55" s="5">
        <f>BN53-BN54</f>
        <v>3340166121.6155796</v>
      </c>
      <c r="BO55" s="5">
        <f t="shared" ref="BO55:BR55" si="132">BO53-BO54</f>
        <v>554658937.96702087</v>
      </c>
      <c r="BP55" s="5">
        <f t="shared" si="132"/>
        <v>640381348.83956778</v>
      </c>
      <c r="BQ55" s="5">
        <f t="shared" si="132"/>
        <v>2168025267.0702586</v>
      </c>
      <c r="BR55" s="5">
        <f t="shared" si="132"/>
        <v>4188768613.7071238</v>
      </c>
      <c r="BS55" s="5"/>
      <c r="BU55" s="1" t="s">
        <v>38</v>
      </c>
      <c r="BV55" s="5">
        <f>BV53-BV54</f>
        <v>3339620624.0307074</v>
      </c>
      <c r="BX55" s="5">
        <f t="shared" ref="BX55:BZ55" si="133">BX53-BX54</f>
        <v>490600031.72614765</v>
      </c>
      <c r="BY55" s="5">
        <f>BY53-BY54</f>
        <v>640381196.00576341</v>
      </c>
      <c r="BZ55" s="5">
        <f t="shared" si="133"/>
        <v>2190221205.9431381</v>
      </c>
      <c r="CA55" s="5">
        <f>CA53-CA54</f>
        <v>4231652639.7905083</v>
      </c>
    </row>
    <row r="56" spans="1:90" x14ac:dyDescent="0.25">
      <c r="AK56" s="20"/>
      <c r="AL56" s="4"/>
      <c r="AM56" s="4"/>
      <c r="AN56" s="4"/>
      <c r="AP56" s="20"/>
      <c r="AQ56" s="20"/>
      <c r="AR56" s="5"/>
      <c r="AS56" s="5"/>
      <c r="AT56" s="5"/>
    </row>
    <row r="57" spans="1:90" x14ac:dyDescent="0.25">
      <c r="AD57" s="26"/>
      <c r="AE57" s="26"/>
      <c r="AK57" s="20"/>
      <c r="AL57" s="4"/>
      <c r="AM57" s="4"/>
      <c r="AN57" s="4"/>
      <c r="AR57" s="21"/>
      <c r="BN57" s="6"/>
      <c r="BO57" s="6"/>
      <c r="BP57" s="6"/>
      <c r="BQ57" s="6"/>
      <c r="BU57" s="1" t="s">
        <v>39</v>
      </c>
      <c r="BV57" s="6">
        <f>1-BV55/BN53</f>
        <v>7.7150739290354098E-2</v>
      </c>
      <c r="BX57" s="12">
        <f>1-BX55/BO53</f>
        <v>0.18359950901907496</v>
      </c>
      <c r="BY57" s="12">
        <f>1-BY55/BP53</f>
        <v>7.7000220283744425E-2</v>
      </c>
      <c r="BZ57" s="6">
        <f>1-BZ55/BQ53</f>
        <v>6.7550455342546556E-2</v>
      </c>
    </row>
    <row r="58" spans="1:90" x14ac:dyDescent="0.25">
      <c r="AL58" s="5"/>
      <c r="AM58" s="5"/>
      <c r="AN58" s="5"/>
      <c r="AO58" s="6"/>
      <c r="AR58" s="12"/>
      <c r="AS58" s="12"/>
      <c r="BY58" s="3"/>
    </row>
    <row r="59" spans="1:90" x14ac:dyDescent="0.25">
      <c r="AL59" s="5"/>
      <c r="AM59" s="5"/>
      <c r="AN59" s="5"/>
      <c r="AO59" s="21"/>
      <c r="BY59" s="3" t="s">
        <v>90</v>
      </c>
      <c r="BZ59" s="12">
        <f>BZ55/BQ55-1</f>
        <v>1.0237859867230137E-2</v>
      </c>
      <c r="CA59" s="12">
        <f>CA55/BR55-1</f>
        <v>1.0237859867229915E-2</v>
      </c>
    </row>
    <row r="60" spans="1:90" x14ac:dyDescent="0.25">
      <c r="AL60" s="5"/>
      <c r="AM60" s="5"/>
      <c r="AN60" s="5"/>
      <c r="AS60" s="6"/>
      <c r="BX60" s="9"/>
    </row>
    <row r="61" spans="1:90" x14ac:dyDescent="0.25">
      <c r="AL61" s="5"/>
      <c r="AM61" s="5"/>
      <c r="AN61" s="5"/>
    </row>
    <row r="62" spans="1:90" x14ac:dyDescent="0.25">
      <c r="AL62" s="5"/>
      <c r="AM62" s="5"/>
      <c r="AN62" s="5"/>
    </row>
    <row r="63" spans="1:90" x14ac:dyDescent="0.25">
      <c r="AL63" s="5"/>
      <c r="AM63" s="5"/>
      <c r="AN63" s="5"/>
    </row>
    <row r="64" spans="1:90" x14ac:dyDescent="0.25">
      <c r="AK64" s="20"/>
      <c r="AL64" s="5"/>
      <c r="AM64" s="5"/>
      <c r="AN64" s="5"/>
      <c r="AO64" s="4"/>
      <c r="AS64" s="21"/>
      <c r="AT64" s="21"/>
    </row>
    <row r="65" spans="38:40" x14ac:dyDescent="0.25">
      <c r="AL65" s="5"/>
      <c r="AM65" s="5"/>
      <c r="AN65" s="5"/>
    </row>
    <row r="66" spans="38:40" x14ac:dyDescent="0.25">
      <c r="AL66" s="5"/>
      <c r="AM66" s="5"/>
      <c r="AN66" s="5"/>
    </row>
    <row r="67" spans="38:40" x14ac:dyDescent="0.25">
      <c r="AL67" s="5"/>
      <c r="AM67" s="5"/>
      <c r="AN67" s="5"/>
    </row>
    <row r="69" spans="38:40" x14ac:dyDescent="0.25">
      <c r="AL69" s="5"/>
      <c r="AM69" s="5"/>
      <c r="AN6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43F5F-97BB-4034-8377-030F7CA68F02}">
  <sheetPr>
    <tabColor theme="8" tint="0.79998168889431442"/>
  </sheetPr>
  <dimension ref="A1:BR77"/>
  <sheetViews>
    <sheetView topLeftCell="A2" zoomScaleNormal="100" workbookViewId="0">
      <pane xSplit="2" ySplit="3" topLeftCell="BD46" activePane="bottomRight" state="frozen"/>
      <selection activeCell="AP57" sqref="AP57"/>
      <selection pane="topRight" activeCell="AP57" sqref="AP57"/>
      <selection pane="bottomLeft" activeCell="AP57" sqref="AP57"/>
      <selection pane="bottomRight" activeCell="Y26" sqref="Y26"/>
    </sheetView>
  </sheetViews>
  <sheetFormatPr defaultRowHeight="15" x14ac:dyDescent="0.25"/>
  <cols>
    <col min="1" max="1" width="8" style="1" bestFit="1" customWidth="1"/>
    <col min="2" max="2" width="7.5703125" style="1" bestFit="1" customWidth="1"/>
    <col min="3" max="3" width="16.140625" style="1" bestFit="1" customWidth="1"/>
    <col min="4" max="4" width="18" style="1" bestFit="1" customWidth="1"/>
    <col min="5" max="5" width="17.42578125" style="1" customWidth="1"/>
    <col min="6" max="6" width="15" style="1" bestFit="1" customWidth="1"/>
    <col min="7" max="7" width="13.28515625" style="1" customWidth="1"/>
    <col min="8" max="8" width="18.140625" style="1" customWidth="1"/>
    <col min="9" max="10" width="14.28515625" style="1" bestFit="1" customWidth="1"/>
    <col min="11" max="11" width="20.42578125" style="1" customWidth="1"/>
    <col min="12" max="12" width="12.28515625" style="1" customWidth="1"/>
    <col min="13" max="13" width="14.28515625" style="1" bestFit="1" customWidth="1"/>
    <col min="14" max="22" width="13.28515625" style="1" customWidth="1"/>
    <col min="23" max="23" width="19.42578125" style="1" bestFit="1" customWidth="1"/>
    <col min="24" max="24" width="17.28515625" style="1" bestFit="1" customWidth="1"/>
    <col min="25" max="27" width="19" style="1" customWidth="1"/>
    <col min="28" max="28" width="5.28515625" style="1" customWidth="1"/>
    <col min="29" max="29" width="19" style="1" customWidth="1"/>
    <col min="30" max="30" width="22.42578125" style="1" customWidth="1"/>
    <col min="31" max="32" width="19" style="1" customWidth="1"/>
    <col min="33" max="34" width="19" style="1" hidden="1" customWidth="1"/>
    <col min="35" max="35" width="4.7109375" style="1" customWidth="1"/>
    <col min="36" max="36" width="13.28515625" style="1" customWidth="1"/>
    <col min="37" max="37" width="15.28515625" style="1" bestFit="1" customWidth="1"/>
    <col min="38" max="38" width="14.28515625" style="1" bestFit="1" customWidth="1"/>
    <col min="39" max="39" width="14.28515625" style="1" customWidth="1"/>
    <col min="40" max="40" width="15.5703125" style="1" customWidth="1"/>
    <col min="41" max="41" width="14.42578125" style="1" customWidth="1"/>
    <col min="42" max="42" width="9.140625" style="1"/>
    <col min="43" max="43" width="15.140625" style="1" customWidth="1"/>
    <col min="44" max="46" width="12.5703125" style="1" bestFit="1" customWidth="1"/>
    <col min="47" max="47" width="12.5703125" style="1" customWidth="1"/>
    <col min="48" max="48" width="17" style="1" customWidth="1"/>
    <col min="49" max="49" width="9.140625" style="1"/>
    <col min="50" max="50" width="15.28515625" style="1" bestFit="1" customWidth="1"/>
    <col min="51" max="51" width="14.140625" style="1" customWidth="1"/>
    <col min="52" max="55" width="19.5703125" style="1" customWidth="1"/>
    <col min="56" max="56" width="15.28515625" style="1" bestFit="1" customWidth="1"/>
    <col min="57" max="57" width="4.42578125" style="1" customWidth="1"/>
    <col min="58" max="58" width="15.28515625" style="1" bestFit="1" customWidth="1"/>
    <col min="59" max="59" width="14.5703125" style="1" bestFit="1" customWidth="1"/>
    <col min="60" max="60" width="11.5703125" style="1" bestFit="1" customWidth="1"/>
    <col min="61" max="61" width="19.42578125" style="1" bestFit="1" customWidth="1"/>
    <col min="62" max="62" width="22" style="1" bestFit="1" customWidth="1"/>
    <col min="63" max="63" width="15" style="1" customWidth="1"/>
    <col min="64" max="64" width="15.42578125" style="1" customWidth="1"/>
    <col min="65" max="65" width="15.28515625" style="1" bestFit="1" customWidth="1"/>
    <col min="66" max="66" width="4.28515625" style="1" customWidth="1"/>
    <col min="67" max="67" width="13.5703125" style="1" customWidth="1"/>
    <col min="68" max="16384" width="9.140625" style="1"/>
  </cols>
  <sheetData>
    <row r="1" spans="1:68" x14ac:dyDescent="0.25">
      <c r="N1" s="1">
        <v>7.6999999999999999E-2</v>
      </c>
      <c r="O1" s="1">
        <v>0.11219999999999999</v>
      </c>
      <c r="P1" s="1">
        <v>7.6999999999999999E-2</v>
      </c>
      <c r="Q1" s="1">
        <v>7.6999999999999999E-2</v>
      </c>
      <c r="R1" s="1">
        <v>2.2499999999999999E-2</v>
      </c>
      <c r="S1" s="1">
        <v>0.02</v>
      </c>
      <c r="T1" s="1">
        <v>0.02</v>
      </c>
      <c r="U1" s="1">
        <v>0</v>
      </c>
      <c r="V1" s="1">
        <v>0.02</v>
      </c>
    </row>
    <row r="2" spans="1:68" x14ac:dyDescent="0.25">
      <c r="A2" s="1" t="s">
        <v>30</v>
      </c>
      <c r="N2" s="9">
        <v>7.6999999999999999E-2</v>
      </c>
      <c r="O2" s="11"/>
      <c r="P2" s="9">
        <v>7.6999999999999999E-2</v>
      </c>
      <c r="Q2" s="9">
        <v>7.6999999999999999E-2</v>
      </c>
      <c r="R2" s="9">
        <v>2.2499999999999999E-2</v>
      </c>
      <c r="S2" s="10">
        <v>0.02</v>
      </c>
      <c r="T2" s="10">
        <v>0.02</v>
      </c>
      <c r="U2" s="10">
        <v>0</v>
      </c>
      <c r="V2" s="10">
        <v>0.02</v>
      </c>
      <c r="AD2" s="1" t="s">
        <v>25</v>
      </c>
      <c r="AF2" s="1" t="s">
        <v>28</v>
      </c>
    </row>
    <row r="3" spans="1:68" x14ac:dyDescent="0.25"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 t="s">
        <v>15</v>
      </c>
      <c r="O3" s="2"/>
      <c r="P3" s="2"/>
      <c r="Q3" s="2"/>
      <c r="R3" s="2"/>
      <c r="S3" s="2"/>
      <c r="T3" s="2"/>
      <c r="U3" s="2"/>
      <c r="V3" s="2"/>
      <c r="W3" s="5"/>
      <c r="AC3" s="2" t="s">
        <v>26</v>
      </c>
      <c r="AD3" s="2"/>
      <c r="AE3" s="2" t="s">
        <v>27</v>
      </c>
      <c r="AF3" s="2"/>
      <c r="AG3"/>
      <c r="AH3" s="2"/>
      <c r="AJ3" s="1" t="s">
        <v>32</v>
      </c>
      <c r="AQ3" s="1" t="s">
        <v>37</v>
      </c>
    </row>
    <row r="4" spans="1:68" ht="33.75" customHeight="1" x14ac:dyDescent="0.25">
      <c r="A4" s="1" t="s">
        <v>1</v>
      </c>
      <c r="B4" s="1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26</v>
      </c>
      <c r="P4" s="3" t="s">
        <v>29</v>
      </c>
      <c r="Q4" s="3" t="s">
        <v>16</v>
      </c>
      <c r="R4" s="3" t="s">
        <v>17</v>
      </c>
      <c r="S4" s="3" t="s">
        <v>10</v>
      </c>
      <c r="T4" s="3" t="s">
        <v>18</v>
      </c>
      <c r="U4" s="3" t="s">
        <v>12</v>
      </c>
      <c r="V4" s="3" t="s">
        <v>19</v>
      </c>
      <c r="W4" s="38" t="s">
        <v>62</v>
      </c>
      <c r="X4" s="8" t="s">
        <v>81</v>
      </c>
      <c r="Y4" s="1" t="s">
        <v>21</v>
      </c>
      <c r="Z4" s="8" t="s">
        <v>115</v>
      </c>
      <c r="AA4" s="1" t="s">
        <v>22</v>
      </c>
      <c r="AC4" s="8" t="s">
        <v>23</v>
      </c>
      <c r="AD4" s="1" t="s">
        <v>24</v>
      </c>
      <c r="AE4" s="8" t="s">
        <v>23</v>
      </c>
      <c r="AF4" s="1" t="s">
        <v>24</v>
      </c>
      <c r="AG4" s="17" t="s">
        <v>40</v>
      </c>
      <c r="AH4" s="17" t="s">
        <v>41</v>
      </c>
      <c r="AJ4" s="24" t="s">
        <v>33</v>
      </c>
      <c r="AK4" s="24" t="s">
        <v>26</v>
      </c>
      <c r="AL4" s="24" t="s">
        <v>34</v>
      </c>
      <c r="AM4" s="24" t="s">
        <v>16</v>
      </c>
      <c r="AN4" s="24" t="s">
        <v>35</v>
      </c>
      <c r="AO4" s="24" t="s">
        <v>36</v>
      </c>
      <c r="AQ4" s="24" t="s">
        <v>33</v>
      </c>
      <c r="AR4" s="24" t="s">
        <v>26</v>
      </c>
      <c r="AS4" s="24" t="s">
        <v>34</v>
      </c>
      <c r="AT4" s="24" t="s">
        <v>16</v>
      </c>
      <c r="AU4" s="24" t="s">
        <v>35</v>
      </c>
      <c r="AV4" s="24" t="s">
        <v>36</v>
      </c>
      <c r="AX4" s="32" t="s">
        <v>63</v>
      </c>
      <c r="AY4" s="8" t="s">
        <v>65</v>
      </c>
      <c r="AZ4" s="8" t="s">
        <v>67</v>
      </c>
      <c r="BA4" s="8" t="s">
        <v>69</v>
      </c>
      <c r="BB4" s="8" t="s">
        <v>71</v>
      </c>
      <c r="BC4" s="8" t="s">
        <v>73</v>
      </c>
      <c r="BD4" s="8" t="s">
        <v>75</v>
      </c>
      <c r="BF4" s="32" t="s">
        <v>64</v>
      </c>
      <c r="BG4" s="8" t="s">
        <v>66</v>
      </c>
      <c r="BH4" s="8" t="s">
        <v>79</v>
      </c>
      <c r="BI4" s="8" t="s">
        <v>68</v>
      </c>
      <c r="BJ4" s="8" t="s">
        <v>70</v>
      </c>
      <c r="BK4" s="8" t="s">
        <v>72</v>
      </c>
      <c r="BL4" s="8" t="s">
        <v>74</v>
      </c>
      <c r="BM4" s="8" t="s">
        <v>76</v>
      </c>
      <c r="BO4" s="8" t="s">
        <v>91</v>
      </c>
    </row>
    <row r="5" spans="1:68" x14ac:dyDescent="0.25">
      <c r="A5" s="1">
        <v>1</v>
      </c>
      <c r="B5" s="1">
        <v>210001</v>
      </c>
      <c r="C5" s="7">
        <v>540426100</v>
      </c>
      <c r="D5" s="7">
        <f>SUM('Modeling - Base Estimates'!E5:G5)-SUM('Scenario 1 - increased MA % '!E5:F5)</f>
        <v>181167625</v>
      </c>
      <c r="E5" s="50">
        <f>((SUM('Modeling - Base Estimates'!F5:G5)/SUM('Modeling - Base Estimates'!E5:G5)+$E$63))*SUM('Modeling - Base Estimates'!E5:G5)*('Modeling - Base Estimates'!F5/SUM('Modeling - Base Estimates'!F5:G5))</f>
        <v>19953026.181351285</v>
      </c>
      <c r="F5" s="7">
        <f>((SUM('Modeling - Base Estimates'!F5:G5)/SUM('Modeling - Base Estimates'!E5:G5)+$E$63))*SUM('Modeling - Base Estimates'!E5:G5)*('Modeling - Base Estimates'!G5/SUM('Modeling - Base Estimates'!F5:G5))</f>
        <v>76664848.818648726</v>
      </c>
      <c r="G5" s="7">
        <v>15216900</v>
      </c>
      <c r="H5" s="7">
        <v>83029700</v>
      </c>
      <c r="I5" s="7">
        <v>28769300</v>
      </c>
      <c r="J5" s="7">
        <v>39563100</v>
      </c>
      <c r="K5" s="7">
        <v>0</v>
      </c>
      <c r="L5" s="7">
        <v>24180500</v>
      </c>
      <c r="M5" s="7">
        <f t="shared" ref="M5:M49" si="0">C5-SUM(D5:L5)</f>
        <v>71881100</v>
      </c>
      <c r="N5" s="18">
        <f t="shared" ref="N5:N49" si="1">D5/$C5</f>
        <v>0.33523107969803828</v>
      </c>
      <c r="O5" s="18">
        <f t="shared" ref="O5:P49" si="2">E5/$C5</f>
        <v>3.6920915147050239E-2</v>
      </c>
      <c r="P5" s="18">
        <f t="shared" si="2"/>
        <v>0.14186000420529046</v>
      </c>
      <c r="Q5" s="18">
        <f>(G5+H5)/$C5</f>
        <v>0.18179469866462777</v>
      </c>
      <c r="R5" s="18">
        <f>I5/$C5</f>
        <v>5.3234475536988311E-2</v>
      </c>
      <c r="S5" s="18">
        <f t="shared" ref="S5:U20" si="3">J5/$C5</f>
        <v>7.3207234069561034E-2</v>
      </c>
      <c r="T5" s="18">
        <f t="shared" si="3"/>
        <v>0</v>
      </c>
      <c r="U5" s="18">
        <f t="shared" si="3"/>
        <v>4.4743397848475489E-2</v>
      </c>
      <c r="V5" s="18">
        <f>(M5)/$C5</f>
        <v>0.13300819482996842</v>
      </c>
      <c r="W5" s="5">
        <f>SUMIFS('Modeling - Base Estimates'!AK:AK,'Modeling - Base Estimates'!A:A,A5)</f>
        <v>314227282.01218486</v>
      </c>
      <c r="X5" s="5">
        <f>(W5*N5*(1-N$2))+(W5*O5*(1-'Modeling - Base Estimates'!$AA$51-N$2))+(W5*P5*(1-'Modeling - Base Estimates'!$AE$51))+(W5*Q5*(1-Q$2))+(W5*R5*(1-R$2))+(W5*S5*(1-S$2))+(W5*T5*(1-T$2))+(W5*U5*(1-U$2))+(W5*V5*(1-V$2))</f>
        <v>293969874.06079894</v>
      </c>
      <c r="Y5" s="5">
        <f>X5*N5*SUMIFS('Modeling - Base Estimates'!AN:AN,'Modeling - Base Estimates'!A:A,A5)</f>
        <v>763428.58991193539</v>
      </c>
      <c r="Z5" s="5">
        <f t="shared" ref="Z5:Z49" si="4">X5-Y5</f>
        <v>293206445.47088701</v>
      </c>
      <c r="AA5" s="7">
        <f>(((W5*N5*(1-N$2))/X5)*X5)-Y5-(((SUMIFS('Modeling - Base Estimates'!X:X,'Modeling - Base Estimates'!A:A,A5)*N5*(1-N$2))/SUMIFS('Modeling - Base Estimates'!Z:Z,'Modeling - Base Estimates'!A:A,A5))*SUMIFS('Modeling - Base Estimates'!Z:Z,'Modeling - Base Estimates'!A:A,A5))</f>
        <v>653.19738230109215</v>
      </c>
      <c r="AB5" s="7"/>
      <c r="AC5" s="18">
        <f>1-((((W5*O5*(1-N$2-'Modeling - Base Estimates'!$AA$51))/X5)*X5)/('Modeling - Base Estimates'!X5*'Modeling - Base Estimates'!P5))</f>
        <v>4.8721044244856904E-2</v>
      </c>
      <c r="AD5" s="18">
        <f>AC5-$N$2</f>
        <v>-2.8278955755143095E-2</v>
      </c>
      <c r="AE5" s="18">
        <f>1-((((W5*P5*(1-'Modeling - Base Estimates'!$AE$51))/X5)*X5)/(SUMIFS('Modeling - Base Estimates'!X:X,'Modeling - Base Estimates'!A:A,A5)*'Modeling - Base Estimates'!Q5))</f>
        <v>-7.5489635675906497E-2</v>
      </c>
      <c r="AF5" s="18">
        <f>AE5-$N$2</f>
        <v>-0.15248963567590651</v>
      </c>
      <c r="AG5" s="18">
        <f>$N5*(1-$N$2)+$O5*(1-$N$2-'Modeling - Base Estimates'!$AA$51)+$P5*(1-'Modeling - Base Estimates'!$AE$51)+$Q5*(1-$Q$2)+$R5*(1-$R$2)+$S5*(1-$S$2)+$T5*(1-$T$2)+$U5*(1-$U$2)+$V5*(1-$V$2)</f>
        <v>0.93553262523334824</v>
      </c>
      <c r="AH5" s="18">
        <f>$S5*(1-$R$2-'Modeling - Base Estimates'!$AA$51)+$T5*(1-'Modeling - Base Estimates'!$AE$51)+$U5*(1-$U$2)+$V5*(1-$V$2)+$W5*(1-$W$2)+$X5*(1-$X$2)+$Y5*(1-$Y$2)+$Z5*(1-$Z$2)</f>
        <v>902167030.37202477</v>
      </c>
      <c r="AI5" s="5"/>
      <c r="AJ5" s="7">
        <f>(SUMIFS('Modeling - Base Estimates'!$X:$X,'Modeling - Base Estimates'!$A:$A,$A5)*SUMIFS('Modeling - Base Estimates'!O:O,'Modeling - Base Estimates'!$A:$A,$A5)*($N$2))</f>
        <v>8664293.4083499908</v>
      </c>
      <c r="AK5" s="7">
        <f>(SUMIFS('Modeling - Base Estimates'!$X:$X,'Modeling - Base Estimates'!$A:$A,$A5)*SUMIFS('Modeling - Base Estimates'!P:P,'Modeling - Base Estimates'!$A:$A,$A5)*($N$2))</f>
        <v>758889.94555817463</v>
      </c>
      <c r="AL5" s="7">
        <f>(SUMIFS('Modeling - Base Estimates'!$X:$X,'Modeling - Base Estimates'!$A:$A,$A5)*SUMIFS('Modeling - Base Estimates'!Q:Q,'Modeling - Base Estimates'!$A:$A,$A5)*($N$2))</f>
        <v>2915857.5956055732</v>
      </c>
      <c r="AM5" s="7">
        <f>(SUMIFS('Modeling - Base Estimates'!$X:$X,'Modeling - Base Estimates'!$A:$A,$A5)*SUMIFS('Modeling - Base Estimates'!R:R,'Modeling - Base Estimates'!$A:$A,$A5)*($N$2))</f>
        <v>4364046.4334909357</v>
      </c>
      <c r="AN5" s="7">
        <f>(SUMIFS('Modeling - Base Estimates'!X:X,'Modeling - Base Estimates'!A:A,$A5)*$R5*($R$2))+(SUMIFS('Modeling - Base Estimates'!X:X,'Modeling - Base Estimates'!A:A,$A5)*$S5*($S$2))+(SUMIFS('Modeling - Base Estimates'!X:X,'Modeling - Base Estimates'!A:A,$A5)*$T5*($T$2))+(SUMIFS('Modeling - Base Estimates'!X:X,'Modeling - Base Estimates'!A:A,$A5)*$U5*($U$2))+(SUMIFS('Modeling - Base Estimates'!X:X,'Modeling - Base Estimates'!A:A,$A5)*$V5*($V$2))</f>
        <v>1659201.6488133059</v>
      </c>
      <c r="AO5" s="5">
        <f>SUM(AJ5:AN5)-(SUMIFS('Modeling - Base Estimates'!X:X,'Modeling - Base Estimates'!A:A,A5)-SUMIFS('Modeling - Base Estimates'!Z:Z,'Modeling - Base Estimates'!A:A,A5))</f>
        <v>0</v>
      </c>
      <c r="AQ5" s="7">
        <f t="shared" ref="AQ5:AQ49" si="5">(W5*$N5*($N$2))</f>
        <v>8111083.828503401</v>
      </c>
      <c r="AR5" s="7">
        <f>(W5*$O5*($N$2+'Modeling - Base Estimates'!$AA$51))</f>
        <v>2226025.8947139005</v>
      </c>
      <c r="AS5" s="7">
        <f>(W5*P5*('Modeling - Base Estimates'!$AE$51))</f>
        <v>3849340.3894751095</v>
      </c>
      <c r="AT5" s="7">
        <f t="shared" ref="AT5:AT49" si="6">(W5*$Q5*($Q$2))</f>
        <v>4398613.7615119824</v>
      </c>
      <c r="AU5" s="7">
        <f t="shared" ref="AU5:AU49" si="7">(W5*$R5*($R$2))+(W5*$S5*($S$2))+(W5*$T5*($T$2))+(W5*$U5*($U$2))+(W5*$V5*($V$2))</f>
        <v>1672344.0771814915</v>
      </c>
      <c r="AV5" s="5">
        <f>SUM(AQ5:AU5)-(W5-X5)</f>
        <v>-2.9802322387695313E-8</v>
      </c>
      <c r="AX5" s="7">
        <f>SUMIFS('Modeling - Base Estimates'!X:X,'Modeling - Base Estimates'!A:A,A5)</f>
        <v>311757868.2106095</v>
      </c>
      <c r="AY5" s="5">
        <f>AJ5</f>
        <v>8664293.4083499908</v>
      </c>
      <c r="AZ5" s="5">
        <f>AK5</f>
        <v>758889.94555817463</v>
      </c>
      <c r="BA5" s="5">
        <f>AL5</f>
        <v>2915857.5956055732</v>
      </c>
      <c r="BB5" s="5">
        <f>AM5</f>
        <v>4364046.4334909357</v>
      </c>
      <c r="BC5" s="5">
        <f>AN5</f>
        <v>1659201.6488133059</v>
      </c>
      <c r="BD5" s="5">
        <f>AX5-SUM(AY5:BC5)</f>
        <v>293395579.17879152</v>
      </c>
      <c r="BF5" s="5">
        <f>W5</f>
        <v>314227282.01218486</v>
      </c>
      <c r="BG5" s="5">
        <f>AQ5</f>
        <v>8111083.828503401</v>
      </c>
      <c r="BH5" s="5">
        <f>Y5</f>
        <v>763428.58991193539</v>
      </c>
      <c r="BI5" s="5">
        <f>AR5</f>
        <v>2226025.8947139005</v>
      </c>
      <c r="BJ5" s="5">
        <f t="shared" ref="BJ5:BL20" si="8">AS5</f>
        <v>3849340.3894751095</v>
      </c>
      <c r="BK5" s="5">
        <f t="shared" si="8"/>
        <v>4398613.7615119824</v>
      </c>
      <c r="BL5" s="5">
        <f t="shared" si="8"/>
        <v>1672344.0771814915</v>
      </c>
      <c r="BM5" s="5">
        <f>BF5-SUM(BG5:BL5)</f>
        <v>293206445.47088706</v>
      </c>
      <c r="BO5" s="5">
        <f>BM5-BD5</f>
        <v>-189133.70790445805</v>
      </c>
      <c r="BP5" s="18">
        <f>BO5/BD5</f>
        <v>-6.4463721107809325E-4</v>
      </c>
    </row>
    <row r="6" spans="1:68" x14ac:dyDescent="0.25">
      <c r="A6" s="1">
        <v>2</v>
      </c>
      <c r="B6" s="1">
        <v>210002</v>
      </c>
      <c r="C6" s="4">
        <v>1998942647.6000001</v>
      </c>
      <c r="D6" s="4">
        <f>SUM('Modeling - Base Estimates'!E6:G6)-SUM('Scenario 1 - increased MA % '!E6:F6)</f>
        <v>520995049.79000014</v>
      </c>
      <c r="E6" s="4">
        <f>((SUM('Modeling - Base Estimates'!F6:G6)/SUM('Modeling - Base Estimates'!E6:G6)+$E$63))*SUM('Modeling - Base Estimates'!E6:G6)*('Modeling - Base Estimates'!F6/SUM('Modeling - Base Estimates'!F6:G6))</f>
        <v>111688523.57739629</v>
      </c>
      <c r="F6" s="4">
        <f>((SUM('Modeling - Base Estimates'!F6:G6)/SUM('Modeling - Base Estimates'!E6:G6)+$E$63))*SUM('Modeling - Base Estimates'!E6:G6)*('Modeling - Base Estimates'!G6/SUM('Modeling - Base Estimates'!F6:G6))</f>
        <v>157111038.83260375</v>
      </c>
      <c r="G6" s="4">
        <v>89178014.5</v>
      </c>
      <c r="H6" s="4">
        <v>411314296.19999999</v>
      </c>
      <c r="I6" s="4">
        <v>196198153</v>
      </c>
      <c r="J6" s="4">
        <v>109210700.3</v>
      </c>
      <c r="K6" s="4">
        <v>6086659.5</v>
      </c>
      <c r="L6" s="4">
        <v>43032337.200000003</v>
      </c>
      <c r="M6" s="4">
        <f t="shared" si="0"/>
        <v>354127874.69999981</v>
      </c>
      <c r="N6" s="12">
        <f t="shared" si="1"/>
        <v>0.26063531658375733</v>
      </c>
      <c r="O6" s="12">
        <f t="shared" si="2"/>
        <v>5.5873800937457314E-2</v>
      </c>
      <c r="P6" s="12">
        <f t="shared" si="2"/>
        <v>7.8597071817561509E-2</v>
      </c>
      <c r="Q6" s="12">
        <f t="shared" ref="Q6:Q49" si="9">(G6+H6)/$C6</f>
        <v>0.25037852451690318</v>
      </c>
      <c r="R6" s="12">
        <f t="shared" ref="R6:U49" si="10">I6/$C6</f>
        <v>9.8150966580037857E-2</v>
      </c>
      <c r="S6" s="12">
        <f t="shared" si="3"/>
        <v>5.4634233969204742E-2</v>
      </c>
      <c r="T6" s="12">
        <f t="shared" si="3"/>
        <v>3.0449395370636843E-3</v>
      </c>
      <c r="U6" s="12">
        <f t="shared" si="3"/>
        <v>2.1527549703172385E-2</v>
      </c>
      <c r="V6" s="12">
        <f t="shared" ref="V6:V49" si="11">(M6)/$C6</f>
        <v>0.17715759635484191</v>
      </c>
      <c r="W6" s="4">
        <f>SUMIFS('Modeling - Base Estimates'!AK:AK,'Modeling - Base Estimates'!A:A,A6)</f>
        <v>1119457962.8635352</v>
      </c>
      <c r="X6" s="4">
        <f>(W6*N6*(1-N$2))+(W6*O6*(1-'Modeling - Base Estimates'!$AA$51-N$2))+(W6*P6*(1-'Modeling - Base Estimates'!$AE$51))+(W6*Q6*(1-Q$2))+(W6*R6*(1-R$2))+(W6*S6*(1-S$2))+(W6*T6*(1-T$2))+(W6*U6*(1-U$2))+(W6*V6*(1-V$2))</f>
        <v>1048080155.268966</v>
      </c>
      <c r="Y6" s="5">
        <f>X6*N6*SUMIFS('Modeling - Base Estimates'!AN:AN,'Modeling - Base Estimates'!A:A,A6)</f>
        <v>2403816.6387434308</v>
      </c>
      <c r="Z6" s="4">
        <f t="shared" si="4"/>
        <v>1045676338.6302226</v>
      </c>
      <c r="AA6" s="4">
        <f>(((W6*N6*(1-N$2))/X6)*X6)-Y6-(((SUMIFS('Modeling - Base Estimates'!X:X,'Modeling - Base Estimates'!A:A,A6)*N6*(1-N$2))/SUMIFS('Modeling - Base Estimates'!Z:Z,'Modeling - Base Estimates'!A:A,A6))*SUMIFS('Modeling - Base Estimates'!Z:Z,'Modeling - Base Estimates'!A:A,A6))</f>
        <v>2698.3244921267033</v>
      </c>
      <c r="AB6" s="4"/>
      <c r="AC6" s="18">
        <f>1-((((W6*O6*(1-N$2-'Modeling - Base Estimates'!$AA$51))/X6)*X6)/('Modeling - Base Estimates'!X6*'Modeling - Base Estimates'!P6))</f>
        <v>4.4163035511538107E-2</v>
      </c>
      <c r="AD6" s="18">
        <f>AC6-$N$2</f>
        <v>-3.2836964488461892E-2</v>
      </c>
      <c r="AE6" s="18">
        <f>1-((((W6*P6*(1-'Modeling - Base Estimates'!$AE$51))/X6)*X6)/(SUMIFS('Modeling - Base Estimates'!X:X,'Modeling - Base Estimates'!A:A,A6)*'Modeling - Base Estimates'!Q6))</f>
        <v>-8.064279408685171E-2</v>
      </c>
      <c r="AF6" s="18">
        <f>AE6-$N$2</f>
        <v>-0.15764279408685172</v>
      </c>
      <c r="AG6" s="18">
        <f>$N6*(1-$N$2)+$O6*(1-$N$2-'Modeling - Base Estimates'!$AA$51)+$P6*(1-'Modeling - Base Estimates'!$AE$51)+$Q6*(1-$Q$2)+$R6*(1-$R$2)+$S6*(1-$S$2)+$T6*(1-$T$2)+$U6*(1-$U$2)+$V6*(1-$V$2)</f>
        <v>0.93623895674296964</v>
      </c>
      <c r="AH6" s="18" t="e">
        <f>$O6*(1-$N$2-#REF!)+$P6*(1-#REF!)+$Q6*(1-$Q$2)+$R6*(1-$R$2)+$S6*(1-$S$2)+$T6*(1-$T$2)+$U6*(1-$U$2)+$V6*(1-$V$2)</f>
        <v>#REF!</v>
      </c>
      <c r="AJ6" s="7">
        <f>(SUMIFS('Modeling - Base Estimates'!$X:$X,'Modeling - Base Estimates'!$A:$A,$A6)*SUMIFS('Modeling - Base Estimates'!O:O,'Modeling - Base Estimates'!$A:$A,$A6)*($N$2))</f>
        <v>23953207.810603052</v>
      </c>
      <c r="AK6" s="7">
        <f>(SUMIFS('Modeling - Base Estimates'!$X:$X,'Modeling - Base Estimates'!$A:$A,$A6)*SUMIFS('Modeling - Base Estimates'!P:P,'Modeling - Base Estimates'!$A:$A,$A6)*($N$2))</f>
        <v>4071950.8436950906</v>
      </c>
      <c r="AL6" s="7">
        <f>(SUMIFS('Modeling - Base Estimates'!$X:$X,'Modeling - Base Estimates'!$A:$A,$A6)*SUMIFS('Modeling - Base Estimates'!Q:Q,'Modeling - Base Estimates'!$A:$A,$A6)*($N$2))</f>
        <v>5727969.2365609016</v>
      </c>
      <c r="AM6" s="7">
        <f>(SUMIFS('Modeling - Base Estimates'!$X:$X,'Modeling - Base Estimates'!$A:$A,$A6)*SUMIFS('Modeling - Base Estimates'!R:R,'Modeling - Base Estimates'!$A:$A,$A6)*($N$2))</f>
        <v>21389334.278176602</v>
      </c>
      <c r="AN6" s="7">
        <f>(SUMIFS('Modeling - Base Estimates'!X:X,'Modeling - Base Estimates'!A:A,$A6)*$R6*($R$2))+(SUMIFS('Modeling - Base Estimates'!X:X,'Modeling - Base Estimates'!A:A,$A6)*$S6*($S$2))+(SUMIFS('Modeling - Base Estimates'!X:X,'Modeling - Base Estimates'!A:A,$A6)*$T6*($T$2))+(SUMIFS('Modeling - Base Estimates'!X:X,'Modeling - Base Estimates'!A:A,$A6)*$U6*($U$2))+(SUMIFS('Modeling - Base Estimates'!X:X,'Modeling - Base Estimates'!A:A,$A6)*$V6*($V$2))</f>
        <v>7660929.4166509192</v>
      </c>
      <c r="AO6" s="7">
        <f>SUM(AJ6:AN6)-(SUMIFS('Modeling - Base Estimates'!X:X,'Modeling - Base Estimates'!A:A,A6)-SUMIFS('Modeling - Base Estimates'!Z:Z,'Modeling - Base Estimates'!A:A,A6))</f>
        <v>1.1920928955078125E-7</v>
      </c>
      <c r="AQ6" s="7">
        <f t="shared" si="5"/>
        <v>22466311.602592204</v>
      </c>
      <c r="AR6" s="7">
        <f>(W6*$O6*($N$2+'Modeling - Base Estimates'!$AA$51))</f>
        <v>12001343.66081401</v>
      </c>
      <c r="AS6" s="7">
        <f>(W6*P6*('Modeling - Base Estimates'!$AE$51))</f>
        <v>7597953.2254756577</v>
      </c>
      <c r="AT6" s="7">
        <f t="shared" si="6"/>
        <v>21582193.941036198</v>
      </c>
      <c r="AU6" s="7">
        <f t="shared" si="7"/>
        <v>7730005.16465089</v>
      </c>
      <c r="AV6" s="5">
        <f t="shared" ref="AV6:AV49" si="12">SUM(AQ6:AU6)-(W6-X6)</f>
        <v>-2.5331974029541016E-7</v>
      </c>
      <c r="AX6" s="7">
        <f>SUMIFS('Modeling - Base Estimates'!X:X,'Modeling - Base Estimates'!A:A,A6)</f>
        <v>1109454425.4153407</v>
      </c>
      <c r="AY6" s="5">
        <f t="shared" ref="AY6:BC49" si="13">AJ6</f>
        <v>23953207.810603052</v>
      </c>
      <c r="AZ6" s="5">
        <f t="shared" si="13"/>
        <v>4071950.8436950906</v>
      </c>
      <c r="BA6" s="5">
        <f t="shared" si="13"/>
        <v>5727969.2365609016</v>
      </c>
      <c r="BB6" s="5">
        <f t="shared" si="13"/>
        <v>21389334.278176602</v>
      </c>
      <c r="BC6" s="5">
        <f t="shared" si="13"/>
        <v>7660929.4166509192</v>
      </c>
      <c r="BD6" s="5">
        <f t="shared" ref="BD6:BD49" si="14">AX6-SUM(AY6:BC6)</f>
        <v>1046651033.8296541</v>
      </c>
      <c r="BF6" s="5">
        <f t="shared" ref="BF6:BF49" si="15">W6</f>
        <v>1119457962.8635352</v>
      </c>
      <c r="BG6" s="5">
        <f t="shared" ref="BG6:BG51" si="16">AQ6</f>
        <v>22466311.602592204</v>
      </c>
      <c r="BH6" s="5">
        <f t="shared" ref="BH6:BH49" si="17">Y6</f>
        <v>2403816.6387434308</v>
      </c>
      <c r="BI6" s="5">
        <f t="shared" ref="BI6:BL49" si="18">AR6</f>
        <v>12001343.66081401</v>
      </c>
      <c r="BJ6" s="5">
        <f t="shared" si="8"/>
        <v>7597953.2254756577</v>
      </c>
      <c r="BK6" s="5">
        <f t="shared" si="8"/>
        <v>21582193.941036198</v>
      </c>
      <c r="BL6" s="5">
        <f t="shared" si="8"/>
        <v>7730005.16465089</v>
      </c>
      <c r="BM6" s="5">
        <f t="shared" ref="BM6:BM51" si="19">BF6-SUM(BG6:BL6)</f>
        <v>1045676338.6302228</v>
      </c>
      <c r="BO6" s="5">
        <f t="shared" ref="BO6:BO49" si="20">BM6-BD6</f>
        <v>-974695.19943130016</v>
      </c>
      <c r="BP6" s="12">
        <f t="shared" ref="BP6:BP49" si="21">BO6/BD6</f>
        <v>-9.3125136069940103E-4</v>
      </c>
    </row>
    <row r="7" spans="1:68" x14ac:dyDescent="0.25">
      <c r="A7" s="1">
        <v>3</v>
      </c>
      <c r="B7" s="1">
        <v>210003</v>
      </c>
      <c r="C7" s="4">
        <v>484325106.80000001</v>
      </c>
      <c r="D7" s="4">
        <f>SUM('Modeling - Base Estimates'!E7:G7)-SUM('Scenario 1 - increased MA % '!E7:F7)</f>
        <v>104212695.33500002</v>
      </c>
      <c r="E7" s="4">
        <f>((SUM('Modeling - Base Estimates'!F7:G7)/SUM('Modeling - Base Estimates'!E7:G7)+$E$63))*SUM('Modeling - Base Estimates'!E7:G7)*('Modeling - Base Estimates'!F7/SUM('Modeling - Base Estimates'!F7:G7))</f>
        <v>45790156.131940201</v>
      </c>
      <c r="F7" s="4">
        <f>((SUM('Modeling - Base Estimates'!F7:G7)/SUM('Modeling - Base Estimates'!E7:G7)+$E$63))*SUM('Modeling - Base Estimates'!E7:G7)*('Modeling - Base Estimates'!G7/SUM('Modeling - Base Estimates'!F7:G7))</f>
        <v>32824135.833059791</v>
      </c>
      <c r="G7" s="4">
        <v>27626914.899999999</v>
      </c>
      <c r="H7" s="4">
        <v>117325710.39999999</v>
      </c>
      <c r="I7" s="4">
        <v>30292846.5</v>
      </c>
      <c r="J7" s="4">
        <v>21023955.199999999</v>
      </c>
      <c r="K7" s="4">
        <v>1018742.4</v>
      </c>
      <c r="L7" s="4">
        <v>30929000</v>
      </c>
      <c r="M7" s="4">
        <f t="shared" si="0"/>
        <v>73280950.100000024</v>
      </c>
      <c r="N7" s="12">
        <f t="shared" si="1"/>
        <v>0.21517095412118334</v>
      </c>
      <c r="O7" s="12">
        <f t="shared" si="2"/>
        <v>9.4544254446113307E-2</v>
      </c>
      <c r="P7" s="12">
        <f t="shared" si="2"/>
        <v>6.7772938821885981E-2</v>
      </c>
      <c r="Q7" s="12">
        <f t="shared" si="9"/>
        <v>0.29928786111816735</v>
      </c>
      <c r="R7" s="12">
        <f t="shared" si="10"/>
        <v>6.2546512816873859E-2</v>
      </c>
      <c r="S7" s="12">
        <f t="shared" si="3"/>
        <v>4.340876594011004E-2</v>
      </c>
      <c r="T7" s="12">
        <f t="shared" si="3"/>
        <v>2.1034267802694882E-3</v>
      </c>
      <c r="U7" s="12">
        <f t="shared" si="3"/>
        <v>6.3859997274045927E-2</v>
      </c>
      <c r="V7" s="12">
        <f t="shared" si="11"/>
        <v>0.15130528868135074</v>
      </c>
      <c r="W7" s="4">
        <f>SUMIFS('Modeling - Base Estimates'!AK:AK,'Modeling - Base Estimates'!A:A,A7)</f>
        <v>265060938.83484814</v>
      </c>
      <c r="X7" s="4">
        <f>(W7*N7*(1-N$2))+(W7*O7*(1-'Modeling - Base Estimates'!$AA$51-N$2))+(W7*P7*(1-'Modeling - Base Estimates'!$AE$51))+(W7*Q7*(1-Q$2))+(W7*R7*(1-R$2))+(W7*S7*(1-S$2))+(W7*T7*(1-T$2))+(W7*U7*(1-U$2))+(W7*V7*(1-V$2))</f>
        <v>246785005.91297477</v>
      </c>
      <c r="Y7" s="5">
        <f>X7*N7*SUMIFS('Modeling - Base Estimates'!AN:AN,'Modeling - Base Estimates'!A:A,A7)</f>
        <v>737392.40482857265</v>
      </c>
      <c r="Z7" s="4">
        <f t="shared" si="4"/>
        <v>246047613.5081462</v>
      </c>
      <c r="AA7" s="4">
        <f>(((W7*N7*(1-N$2))/X7)*X7)-Y7-(((SUMIFS('Modeling - Base Estimates'!X:X,'Modeling - Base Estimates'!A:A,A7)*N7*(1-N$2))/SUMIFS('Modeling - Base Estimates'!Z:Z,'Modeling - Base Estimates'!A:A,A7))*SUMIFS('Modeling - Base Estimates'!Z:Z,'Modeling - Base Estimates'!A:A,A7))</f>
        <v>1058.5847869366407</v>
      </c>
      <c r="AB7" s="4"/>
      <c r="AC7" s="18">
        <f>1-((((W7*O7*(1-N$2-'Modeling - Base Estimates'!$AA$51))/X7)*X7)/('Modeling - Base Estimates'!X7*'Modeling - Base Estimates'!P7))</f>
        <v>7.2528069333368195E-2</v>
      </c>
      <c r="AD7" s="18">
        <f t="shared" ref="AD7:AD49" si="22">AC7-$N$2</f>
        <v>-4.4719306666318043E-3</v>
      </c>
      <c r="AE7" s="18">
        <f>1-((((W7*P7*(1-'Modeling - Base Estimates'!$AE$51))/X7)*X7)/(SUMIFS('Modeling - Base Estimates'!X:X,'Modeling - Base Estimates'!A:A,A7)*'Modeling - Base Estimates'!Q7))</f>
        <v>-4.8574072597308948E-2</v>
      </c>
      <c r="AF7" s="18">
        <f t="shared" ref="AF7:AF49" si="23">AE7-$N$2</f>
        <v>-0.12557407259730896</v>
      </c>
      <c r="AG7" s="18">
        <f>$N7*(1-$N$2)+$O7*(1-$N$2-'Modeling - Base Estimates'!$AA$51)+$P7*(1-'Modeling - Base Estimates'!$AE$51)+$Q7*(1-$Q$2)+$R7*(1-$R$2)+$S7*(1-$S$2)+$T7*(1-$T$2)+$U7*(1-$U$2)+$V7*(1-$V$2)</f>
        <v>0.93105007096779158</v>
      </c>
      <c r="AH7" s="18" t="e">
        <f>$O7*(1-$N$2-#REF!)+$P7*(1-#REF!)+$Q7*(1-$Q$2)+$R7*(1-$R$2)+$S7*(1-$S$2)+$T7*(1-$T$2)+$U7*(1-$U$2)+$V7*(1-$V$2)</f>
        <v>#REF!</v>
      </c>
      <c r="AJ7" s="7">
        <f>(SUMIFS('Modeling - Base Estimates'!$X:$X,'Modeling - Base Estimates'!$A:$A,$A7)*SUMIFS('Modeling - Base Estimates'!O:O,'Modeling - Base Estimates'!$A:$A,$A7)*($N$2))</f>
        <v>4709785.742409708</v>
      </c>
      <c r="AK7" s="7">
        <f>(SUMIFS('Modeling - Base Estimates'!$X:$X,'Modeling - Base Estimates'!$A:$A,$A7)*SUMIFS('Modeling - Base Estimates'!P:P,'Modeling - Base Estimates'!$A:$A,$A7)*($N$2))</f>
        <v>1681320.2384314812</v>
      </c>
      <c r="AL7" s="7">
        <f>(SUMIFS('Modeling - Base Estimates'!$X:$X,'Modeling - Base Estimates'!$A:$A,$A7)*SUMIFS('Modeling - Base Estimates'!Q:Q,'Modeling - Base Estimates'!$A:$A,$A7)*($N$2))</f>
        <v>1205234.6737173926</v>
      </c>
      <c r="AM7" s="7">
        <f>(SUMIFS('Modeling - Base Estimates'!$X:$X,'Modeling - Base Estimates'!$A:$A,$A7)*SUMIFS('Modeling - Base Estimates'!R:R,'Modeling - Base Estimates'!$A:$A,$A7)*($N$2))</f>
        <v>6022685.9109403845</v>
      </c>
      <c r="AN7" s="7">
        <f>(SUMIFS('Modeling - Base Estimates'!X:X,'Modeling - Base Estimates'!A:A,$A7)*$R7*($R$2))+(SUMIFS('Modeling - Base Estimates'!X:X,'Modeling - Base Estimates'!A:A,$A7)*$S7*($S$2))+(SUMIFS('Modeling - Base Estimates'!X:X,'Modeling - Base Estimates'!A:A,$A7)*$T7*($T$2))+(SUMIFS('Modeling - Base Estimates'!X:X,'Modeling - Base Estimates'!A:A,$A7)*$U7*($U$2))+(SUMIFS('Modeling - Base Estimates'!X:X,'Modeling - Base Estimates'!A:A,$A7)*$V7*($V$2))</f>
        <v>1396522.9605446386</v>
      </c>
      <c r="AO7" s="7">
        <f>SUM(AJ7:AN7)-(SUMIFS('Modeling - Base Estimates'!X:X,'Modeling - Base Estimates'!A:A,A7)-SUMIFS('Modeling - Base Estimates'!Z:Z,'Modeling - Base Estimates'!A:A,A7))</f>
        <v>0</v>
      </c>
      <c r="AQ7" s="7">
        <f t="shared" si="5"/>
        <v>4391572.9634200186</v>
      </c>
      <c r="AR7" s="7">
        <f>(W7*$O7*($N$2+'Modeling - Base Estimates'!$AA$51))</f>
        <v>4808335.2396427859</v>
      </c>
      <c r="AS7" s="7">
        <f>(W7*P7*('Modeling - Base Estimates'!$AE$51))</f>
        <v>1551259.697500692</v>
      </c>
      <c r="AT7" s="7">
        <f t="shared" si="6"/>
        <v>6108373.1516388403</v>
      </c>
      <c r="AU7" s="7">
        <f t="shared" si="7"/>
        <v>1416391.8696710027</v>
      </c>
      <c r="AV7" s="5">
        <f t="shared" si="12"/>
        <v>0</v>
      </c>
      <c r="AX7" s="7">
        <f>SUMIFS('Modeling - Base Estimates'!X:X,'Modeling - Base Estimates'!A:A,A7)</f>
        <v>261342708.15347484</v>
      </c>
      <c r="AY7" s="5">
        <f t="shared" si="13"/>
        <v>4709785.742409708</v>
      </c>
      <c r="AZ7" s="5">
        <f t="shared" si="13"/>
        <v>1681320.2384314812</v>
      </c>
      <c r="BA7" s="5">
        <f t="shared" si="13"/>
        <v>1205234.6737173926</v>
      </c>
      <c r="BB7" s="5">
        <f t="shared" si="13"/>
        <v>6022685.9109403845</v>
      </c>
      <c r="BC7" s="5">
        <f t="shared" si="13"/>
        <v>1396522.9605446386</v>
      </c>
      <c r="BD7" s="5">
        <f t="shared" si="14"/>
        <v>246327158.62743124</v>
      </c>
      <c r="BF7" s="5">
        <f t="shared" si="15"/>
        <v>265060938.83484814</v>
      </c>
      <c r="BG7" s="5">
        <f t="shared" si="16"/>
        <v>4391572.9634200186</v>
      </c>
      <c r="BH7" s="5">
        <f t="shared" si="17"/>
        <v>737392.40482857265</v>
      </c>
      <c r="BI7" s="5">
        <f t="shared" si="18"/>
        <v>4808335.2396427859</v>
      </c>
      <c r="BJ7" s="5">
        <f t="shared" si="8"/>
        <v>1551259.697500692</v>
      </c>
      <c r="BK7" s="5">
        <f t="shared" si="8"/>
        <v>6108373.1516388403</v>
      </c>
      <c r="BL7" s="5">
        <f t="shared" si="8"/>
        <v>1416391.8696710027</v>
      </c>
      <c r="BM7" s="5">
        <f t="shared" si="19"/>
        <v>246047613.50814623</v>
      </c>
      <c r="BO7" s="5">
        <f t="shared" si="20"/>
        <v>-279545.11928501725</v>
      </c>
      <c r="BP7" s="12">
        <f t="shared" si="21"/>
        <v>-1.1348530175993628E-3</v>
      </c>
    </row>
    <row r="8" spans="1:68" x14ac:dyDescent="0.25">
      <c r="A8" s="1">
        <v>4</v>
      </c>
      <c r="B8" s="1">
        <v>210004</v>
      </c>
      <c r="C8" s="4">
        <v>638008057</v>
      </c>
      <c r="D8" s="4">
        <f>SUM('Modeling - Base Estimates'!E8:G8)-SUM('Scenario 1 - increased MA % '!E8:F8)</f>
        <v>103986658.16499999</v>
      </c>
      <c r="E8" s="4">
        <f>((SUM('Modeling - Base Estimates'!F8:G8)/SUM('Modeling - Base Estimates'!E8:G8)+$E$63))*SUM('Modeling - Base Estimates'!E8:G8)*('Modeling - Base Estimates'!F8/SUM('Modeling - Base Estimates'!F8:G8))</f>
        <v>98113176.777132124</v>
      </c>
      <c r="F8" s="4">
        <f>((SUM('Modeling - Base Estimates'!F8:G8)/SUM('Modeling - Base Estimates'!E8:G8)+$E$63))*SUM('Modeling - Base Estimates'!E8:G8)*('Modeling - Base Estimates'!G8/SUM('Modeling - Base Estimates'!F8:G8))</f>
        <v>24032717.757867895</v>
      </c>
      <c r="G8" s="4">
        <v>38011102.5</v>
      </c>
      <c r="H8" s="4">
        <v>131463830.69999999</v>
      </c>
      <c r="I8" s="4">
        <v>38795590.100000001</v>
      </c>
      <c r="J8" s="4">
        <v>21621495.800000001</v>
      </c>
      <c r="K8" s="4">
        <v>4480781.6000000006</v>
      </c>
      <c r="L8" s="4">
        <v>38345457.699999996</v>
      </c>
      <c r="M8" s="4">
        <f t="shared" si="0"/>
        <v>139157245.89999998</v>
      </c>
      <c r="N8" s="12">
        <f t="shared" si="1"/>
        <v>0.1629864341431036</v>
      </c>
      <c r="O8" s="12">
        <f t="shared" si="2"/>
        <v>0.15378046672086482</v>
      </c>
      <c r="P8" s="12">
        <f t="shared" si="2"/>
        <v>3.7668360915178688E-2</v>
      </c>
      <c r="Q8" s="12">
        <f t="shared" si="9"/>
        <v>0.26563133700363284</v>
      </c>
      <c r="R8" s="12">
        <f t="shared" si="10"/>
        <v>6.0807367045523066E-2</v>
      </c>
      <c r="S8" s="12">
        <f t="shared" si="3"/>
        <v>3.3889063880583568E-2</v>
      </c>
      <c r="T8" s="12">
        <f t="shared" si="3"/>
        <v>7.0230799608851967E-3</v>
      </c>
      <c r="U8" s="12">
        <f t="shared" si="3"/>
        <v>6.0101839278183279E-2</v>
      </c>
      <c r="V8" s="12">
        <f t="shared" si="11"/>
        <v>0.2181120510520449</v>
      </c>
      <c r="W8" s="4">
        <f>SUMIFS('Modeling - Base Estimates'!AK:AK,'Modeling - Base Estimates'!A:A,A8)</f>
        <v>360144957.90650022</v>
      </c>
      <c r="X8" s="4">
        <f>(W8*N8*(1-N$2))+(W8*O8*(1-'Modeling - Base Estimates'!$AA$51-N$2))+(W8*P8*(1-'Modeling - Base Estimates'!$AE$51))+(W8*Q8*(1-Q$2))+(W8*R8*(1-R$2))+(W8*S8*(1-S$2))+(W8*T8*(1-T$2))+(W8*U8*(1-U$2))+(W8*V8*(1-V$2))</f>
        <v>334102389.38527298</v>
      </c>
      <c r="Y8" s="5">
        <f>X8*N8*SUMIFS('Modeling - Base Estimates'!AN:AN,'Modeling - Base Estimates'!A:A,A8)</f>
        <v>1140400.0581790186</v>
      </c>
      <c r="Z8" s="4">
        <f t="shared" si="4"/>
        <v>332961989.32709396</v>
      </c>
      <c r="AA8" s="4">
        <f>(((W8*N8*(1-N$2))/X8)*X8)-Y8-(((SUMIFS('Modeling - Base Estimates'!X:X,'Modeling - Base Estimates'!A:A,A8)*N8*(1-N$2))/SUMIFS('Modeling - Base Estimates'!Z:Z,'Modeling - Base Estimates'!A:A,A8))*SUMIFS('Modeling - Base Estimates'!Z:Z,'Modeling - Base Estimates'!A:A,A8))</f>
        <v>2050.2437818273902</v>
      </c>
      <c r="AB8" s="4"/>
      <c r="AC8" s="18">
        <f>1-((((W8*O8*(1-N$2-'Modeling - Base Estimates'!$AA$51))/X8)*X8)/('Modeling - Base Estimates'!X8*'Modeling - Base Estimates'!P8))</f>
        <v>9.0253111450151469E-2</v>
      </c>
      <c r="AD8" s="18">
        <f t="shared" si="22"/>
        <v>1.325311145015147E-2</v>
      </c>
      <c r="AE8" s="18">
        <f>1-((((W8*P8*(1-'Modeling - Base Estimates'!$AE$51))/X8)*X8)/(SUMIFS('Modeling - Base Estimates'!X:X,'Modeling - Base Estimates'!A:A,A8)*'Modeling - Base Estimates'!Q8))</f>
        <v>-2.853463098747433E-2</v>
      </c>
      <c r="AF8" s="18">
        <f t="shared" si="23"/>
        <v>-0.10553463098747433</v>
      </c>
      <c r="AG8" s="18">
        <f>$N8*(1-$N$2)+$O8*(1-$N$2-'Modeling - Base Estimates'!$AA$51)+$P8*(1-'Modeling - Base Estimates'!$AE$51)+$Q8*(1-$Q$2)+$R8*(1-$R$2)+$S8*(1-$S$2)+$T8*(1-$T$2)+$U8*(1-$U$2)+$V8*(1-$V$2)</f>
        <v>0.9276886488357049</v>
      </c>
      <c r="AH8" s="18" t="e">
        <f>$O8*(1-$N$2-#REF!)+$P8*(1-#REF!)+$Q8*(1-$Q$2)+$R8*(1-$R$2)+$S8*(1-$S$2)+$T8*(1-$T$2)+$U8*(1-$U$2)+$V8*(1-$V$2)</f>
        <v>#REF!</v>
      </c>
      <c r="AJ8" s="7">
        <f>(SUMIFS('Modeling - Base Estimates'!$X:$X,'Modeling - Base Estimates'!$A:$A,$A8)*SUMIFS('Modeling - Base Estimates'!O:O,'Modeling - Base Estimates'!$A:$A,$A8)*($N$2))</f>
        <v>4905577.9983093422</v>
      </c>
      <c r="AK8" s="7">
        <f>(SUMIFS('Modeling - Base Estimates'!$X:$X,'Modeling - Base Estimates'!$A:$A,$A8)*SUMIFS('Modeling - Base Estimates'!P:P,'Modeling - Base Estimates'!$A:$A,$A8)*($N$2))</f>
        <v>3788159.6767625152</v>
      </c>
      <c r="AL8" s="7">
        <f>(SUMIFS('Modeling - Base Estimates'!$X:$X,'Modeling - Base Estimates'!$A:$A,$A8)*SUMIFS('Modeling - Base Estimates'!Q:Q,'Modeling - Base Estimates'!$A:$A,$A8)*($N$2))</f>
        <v>927905.66286697658</v>
      </c>
      <c r="AM8" s="7">
        <f>(SUMIFS('Modeling - Base Estimates'!$X:$X,'Modeling - Base Estimates'!$A:$A,$A8)*SUMIFS('Modeling - Base Estimates'!R:R,'Modeling - Base Estimates'!$A:$A,$A8)*($N$2))</f>
        <v>7210935.9864463629</v>
      </c>
      <c r="AN8" s="7">
        <f>(SUMIFS('Modeling - Base Estimates'!X:X,'Modeling - Base Estimates'!A:A,$A8)*$R8*($R$2))+(SUMIFS('Modeling - Base Estimates'!X:X,'Modeling - Base Estimates'!A:A,$A8)*$S8*($S$2))+(SUMIFS('Modeling - Base Estimates'!X:X,'Modeling - Base Estimates'!A:A,$A8)*$T8*($T$2))+(SUMIFS('Modeling - Base Estimates'!X:X,'Modeling - Base Estimates'!A:A,$A8)*$U8*($U$2))+(SUMIFS('Modeling - Base Estimates'!X:X,'Modeling - Base Estimates'!A:A,$A8)*$V8*($V$2))</f>
        <v>2308731.1560566095</v>
      </c>
      <c r="AO8" s="7">
        <f>SUM(AJ8:AN8)-(SUMIFS('Modeling - Base Estimates'!X:X,'Modeling - Base Estimates'!A:A,A8)-SUMIFS('Modeling - Base Estimates'!Z:Z,'Modeling - Base Estimates'!A:A,A8))</f>
        <v>0</v>
      </c>
      <c r="AQ8" s="7">
        <f t="shared" si="5"/>
        <v>4519803.1697124932</v>
      </c>
      <c r="AR8" s="7">
        <f>(W8*$O8*($N$2+'Modeling - Base Estimates'!$AA$51))</f>
        <v>10626552.191109659</v>
      </c>
      <c r="AS8" s="7">
        <f>(W8*P8*('Modeling - Base Estimates'!$AE$51))</f>
        <v>1171484.4309042303</v>
      </c>
      <c r="AT8" s="7">
        <f t="shared" si="6"/>
        <v>7366265.5746541955</v>
      </c>
      <c r="AU8" s="7">
        <f t="shared" si="7"/>
        <v>2358463.1548466296</v>
      </c>
      <c r="AV8" s="5">
        <f t="shared" si="12"/>
        <v>-2.9802322387695313E-8</v>
      </c>
      <c r="AX8" s="7">
        <f>SUMIFS('Modeling - Base Estimates'!X:X,'Modeling - Base Estimates'!A:A,A8)</f>
        <v>352550720.71266001</v>
      </c>
      <c r="AY8" s="5">
        <f t="shared" si="13"/>
        <v>4905577.9983093422</v>
      </c>
      <c r="AZ8" s="5">
        <f t="shared" si="13"/>
        <v>3788159.6767625152</v>
      </c>
      <c r="BA8" s="5">
        <f t="shared" si="13"/>
        <v>927905.66286697658</v>
      </c>
      <c r="BB8" s="5">
        <f t="shared" si="13"/>
        <v>7210935.9864463629</v>
      </c>
      <c r="BC8" s="5">
        <f t="shared" si="13"/>
        <v>2308731.1560566095</v>
      </c>
      <c r="BD8" s="5">
        <f t="shared" si="14"/>
        <v>333409410.23221821</v>
      </c>
      <c r="BF8" s="5">
        <f t="shared" si="15"/>
        <v>360144957.90650022</v>
      </c>
      <c r="BG8" s="5">
        <f t="shared" si="16"/>
        <v>4519803.1697124932</v>
      </c>
      <c r="BH8" s="5">
        <f t="shared" si="17"/>
        <v>1140400.0581790186</v>
      </c>
      <c r="BI8" s="5">
        <f t="shared" si="18"/>
        <v>10626552.191109659</v>
      </c>
      <c r="BJ8" s="5">
        <f t="shared" si="8"/>
        <v>1171484.4309042303</v>
      </c>
      <c r="BK8" s="5">
        <f t="shared" si="8"/>
        <v>7366265.5746541955</v>
      </c>
      <c r="BL8" s="5">
        <f t="shared" si="8"/>
        <v>2358463.1548466296</v>
      </c>
      <c r="BM8" s="5">
        <f t="shared" si="19"/>
        <v>332961989.32709402</v>
      </c>
      <c r="BO8" s="5">
        <f t="shared" si="20"/>
        <v>-447420.90512418747</v>
      </c>
      <c r="BP8" s="12">
        <f t="shared" si="21"/>
        <v>-1.3419564397194452E-3</v>
      </c>
    </row>
    <row r="9" spans="1:68" x14ac:dyDescent="0.25">
      <c r="A9" s="1">
        <v>5</v>
      </c>
      <c r="B9" s="1">
        <v>210005</v>
      </c>
      <c r="C9" s="4">
        <v>464628200</v>
      </c>
      <c r="D9" s="4">
        <f>SUM('Modeling - Base Estimates'!E9:G9)-SUM('Scenario 1 - increased MA % '!E9:F9)</f>
        <v>151812410</v>
      </c>
      <c r="E9" s="4">
        <f>((SUM('Modeling - Base Estimates'!F9:G9)/SUM('Modeling - Base Estimates'!E9:G9)+$E$63))*SUM('Modeling - Base Estimates'!E9:G9)*('Modeling - Base Estimates'!F9/SUM('Modeling - Base Estimates'!F9:G9))</f>
        <v>21124889.982582722</v>
      </c>
      <c r="F9" s="4">
        <f>((SUM('Modeling - Base Estimates'!F9:G9)/SUM('Modeling - Base Estimates'!E9:G9)+$E$63))*SUM('Modeling - Base Estimates'!E9:G9)*('Modeling - Base Estimates'!G9/SUM('Modeling - Base Estimates'!F9:G9))</f>
        <v>38398500.017417274</v>
      </c>
      <c r="G9" s="4">
        <v>7748400</v>
      </c>
      <c r="H9" s="4">
        <v>62118500</v>
      </c>
      <c r="I9" s="4">
        <v>37567300</v>
      </c>
      <c r="J9" s="4">
        <v>37785400</v>
      </c>
      <c r="K9" s="4">
        <v>3671900</v>
      </c>
      <c r="L9" s="4">
        <v>30488500</v>
      </c>
      <c r="M9" s="4">
        <f t="shared" si="0"/>
        <v>73912400</v>
      </c>
      <c r="N9" s="12">
        <f t="shared" si="1"/>
        <v>0.32673955218387518</v>
      </c>
      <c r="O9" s="12">
        <f t="shared" si="2"/>
        <v>4.5466224354403631E-2</v>
      </c>
      <c r="P9" s="12">
        <f t="shared" si="2"/>
        <v>8.26434986456209E-2</v>
      </c>
      <c r="Q9" s="12">
        <f t="shared" si="9"/>
        <v>0.15037163047787458</v>
      </c>
      <c r="R9" s="12">
        <f t="shared" si="10"/>
        <v>8.0854541330035501E-2</v>
      </c>
      <c r="S9" s="12">
        <f t="shared" si="3"/>
        <v>8.1323948912270072E-2</v>
      </c>
      <c r="T9" s="12">
        <f t="shared" si="3"/>
        <v>7.9028780431321215E-3</v>
      </c>
      <c r="U9" s="12">
        <f t="shared" si="3"/>
        <v>6.561913375038364E-2</v>
      </c>
      <c r="V9" s="12">
        <f t="shared" si="11"/>
        <v>0.15907859230240437</v>
      </c>
      <c r="W9" s="4">
        <f>SUMIFS('Modeling - Base Estimates'!AK:AK,'Modeling - Base Estimates'!A:A,A9)</f>
        <v>257208789.33883423</v>
      </c>
      <c r="X9" s="4">
        <f>(W9*N9*(1-N$2))+(W9*O9*(1-'Modeling - Base Estimates'!$AA$51-N$2))+(W9*P9*(1-'Modeling - Base Estimates'!$AE$51))+(W9*Q9*(1-Q$2))+(W9*R9*(1-R$2))+(W9*S9*(1-S$2))+(W9*T9*(1-T$2))+(W9*U9*(1-U$2))+(W9*V9*(1-V$2))</f>
        <v>241934899.56898078</v>
      </c>
      <c r="Y9" s="5">
        <f>X9*N9*SUMIFS('Modeling - Base Estimates'!AN:AN,'Modeling - Base Estimates'!A:A,A9)</f>
        <v>613817.07160952734</v>
      </c>
      <c r="Z9" s="4">
        <f t="shared" si="4"/>
        <v>241321082.49737126</v>
      </c>
      <c r="AA9" s="4">
        <f>(((W9*N9*(1-N$2))/X9)*X9)-Y9-(((SUMIFS('Modeling - Base Estimates'!X:X,'Modeling - Base Estimates'!A:A,A9)*N9*(1-N$2))/SUMIFS('Modeling - Base Estimates'!Z:Z,'Modeling - Base Estimates'!A:A,A9))*SUMIFS('Modeling - Base Estimates'!Z:Z,'Modeling - Base Estimates'!A:A,A9))</f>
        <v>694.60074056684971</v>
      </c>
      <c r="AB9" s="4"/>
      <c r="AC9" s="18">
        <f>1-((((W9*O9*(1-N$2-'Modeling - Base Estimates'!$AA$51))/X9)*X9)/('Modeling - Base Estimates'!X9*'Modeling - Base Estimates'!P9))</f>
        <v>9.6008584234273942E-3</v>
      </c>
      <c r="AD9" s="18">
        <f t="shared" si="22"/>
        <v>-6.7399141576572605E-2</v>
      </c>
      <c r="AE9" s="18">
        <f>1-((((W9*P9*(1-'Modeling - Base Estimates'!$AE$51))/X9)*X9)/(SUMIFS('Modeling - Base Estimates'!X:X,'Modeling - Base Estimates'!A:A,A9)*'Modeling - Base Estimates'!Q9))</f>
        <v>-0.11971783408408454</v>
      </c>
      <c r="AF9" s="18">
        <f t="shared" si="23"/>
        <v>-0.19671783408408455</v>
      </c>
      <c r="AG9" s="18">
        <f>$N9*(1-$N$2)+$O9*(1-$N$2-'Modeling - Base Estimates'!$AA$51)+$P9*(1-'Modeling - Base Estimates'!$AE$51)+$Q9*(1-$Q$2)+$R9*(1-$R$2)+$S9*(1-$S$2)+$T9*(1-$T$2)+$U9*(1-$U$2)+$V9*(1-$V$2)</f>
        <v>0.94061676582236697</v>
      </c>
      <c r="AH9" s="18" t="e">
        <f>$O9*(1-$N$2-#REF!)+$P9*(1-#REF!)+$Q9*(1-$Q$2)+$R9*(1-$R$2)+$S9*(1-$S$2)+$T9*(1-$T$2)+$U9*(1-$U$2)+$V9*(1-$V$2)</f>
        <v>#REF!</v>
      </c>
      <c r="AJ9" s="7">
        <f>(SUMIFS('Modeling - Base Estimates'!$X:$X,'Modeling - Base Estimates'!$A:$A,$A9)*SUMIFS('Modeling - Base Estimates'!O:O,'Modeling - Base Estimates'!$A:$A,$A9)*($N$2))</f>
        <v>6866685.1238261079</v>
      </c>
      <c r="AK9" s="7">
        <f>(SUMIFS('Modeling - Base Estimates'!$X:$X,'Modeling - Base Estimates'!$A:$A,$A9)*SUMIFS('Modeling - Base Estimates'!P:P,'Modeling - Base Estimates'!$A:$A,$A9)*($N$2))</f>
        <v>734741.85911831295</v>
      </c>
      <c r="AL9" s="7">
        <f>(SUMIFS('Modeling - Base Estimates'!$X:$X,'Modeling - Base Estimates'!$A:$A,$A9)*SUMIFS('Modeling - Base Estimates'!Q:Q,'Modeling - Base Estimates'!$A:$A,$A9)*($N$2))</f>
        <v>1335532.8862499685</v>
      </c>
      <c r="AM9" s="7">
        <f>(SUMIFS('Modeling - Base Estimates'!$X:$X,'Modeling - Base Estimates'!$A:$A,$A9)*SUMIFS('Modeling - Base Estimates'!R:R,'Modeling - Base Estimates'!$A:$A,$A9)*($N$2))</f>
        <v>2954528.6765660029</v>
      </c>
      <c r="AN9" s="7">
        <f>(SUMIFS('Modeling - Base Estimates'!X:X,'Modeling - Base Estimates'!A:A,$A9)*$R9*($R$2))+(SUMIFS('Modeling - Base Estimates'!X:X,'Modeling - Base Estimates'!A:A,$A9)*$S9*($S$2))+(SUMIFS('Modeling - Base Estimates'!X:X,'Modeling - Base Estimates'!A:A,$A9)*$T9*($T$2))+(SUMIFS('Modeling - Base Estimates'!X:X,'Modeling - Base Estimates'!A:A,$A9)*$U9*($U$2))+(SUMIFS('Modeling - Base Estimates'!X:X,'Modeling - Base Estimates'!A:A,$A9)*$V9*($V$2))</f>
        <v>1731421.898078707</v>
      </c>
      <c r="AO9" s="7">
        <f>SUM(AJ9:AN9)-(SUMIFS('Modeling - Base Estimates'!X:X,'Modeling - Base Estimates'!A:A,A9)-SUMIFS('Modeling - Base Estimates'!Z:Z,'Modeling - Base Estimates'!A:A,A9))</f>
        <v>2.6077032089233398E-8</v>
      </c>
      <c r="AQ9" s="7">
        <f t="shared" si="5"/>
        <v>6471101.917767209</v>
      </c>
      <c r="AR9" s="7">
        <f>(W9*$O9*($N$2+'Modeling - Base Estimates'!$AA$51))</f>
        <v>2243822.8265344696</v>
      </c>
      <c r="AS9" s="7">
        <f>(W9*P9*('Modeling - Base Estimates'!$AE$51))</f>
        <v>1835595.3925880648</v>
      </c>
      <c r="AT9" s="7">
        <f t="shared" si="6"/>
        <v>2978121.6870112917</v>
      </c>
      <c r="AU9" s="7">
        <f t="shared" si="7"/>
        <v>1745247.9459524578</v>
      </c>
      <c r="AV9" s="5">
        <f t="shared" si="12"/>
        <v>5.029141902923584E-8</v>
      </c>
      <c r="AX9" s="7">
        <f>SUMIFS('Modeling - Base Estimates'!X:X,'Modeling - Base Estimates'!A:A,A9)</f>
        <v>255171152.77080637</v>
      </c>
      <c r="AY9" s="5">
        <f t="shared" si="13"/>
        <v>6866685.1238261079</v>
      </c>
      <c r="AZ9" s="5">
        <f t="shared" si="13"/>
        <v>734741.85911831295</v>
      </c>
      <c r="BA9" s="5">
        <f t="shared" si="13"/>
        <v>1335532.8862499685</v>
      </c>
      <c r="BB9" s="5">
        <f t="shared" si="13"/>
        <v>2954528.6765660029</v>
      </c>
      <c r="BC9" s="5">
        <f t="shared" si="13"/>
        <v>1731421.898078707</v>
      </c>
      <c r="BD9" s="5">
        <f t="shared" si="14"/>
        <v>241548242.32696727</v>
      </c>
      <c r="BF9" s="5">
        <f t="shared" si="15"/>
        <v>257208789.33883423</v>
      </c>
      <c r="BG9" s="5">
        <f t="shared" si="16"/>
        <v>6471101.917767209</v>
      </c>
      <c r="BH9" s="5">
        <f t="shared" si="17"/>
        <v>613817.07160952734</v>
      </c>
      <c r="BI9" s="5">
        <f t="shared" si="18"/>
        <v>2243822.8265344696</v>
      </c>
      <c r="BJ9" s="5">
        <f t="shared" si="8"/>
        <v>1835595.3925880648</v>
      </c>
      <c r="BK9" s="5">
        <f t="shared" si="8"/>
        <v>2978121.6870112917</v>
      </c>
      <c r="BL9" s="5">
        <f t="shared" si="8"/>
        <v>1745247.9459524578</v>
      </c>
      <c r="BM9" s="5">
        <f t="shared" si="19"/>
        <v>241321082.4973712</v>
      </c>
      <c r="BO9" s="5">
        <f t="shared" si="20"/>
        <v>-227159.82959607244</v>
      </c>
      <c r="BP9" s="12">
        <f t="shared" si="21"/>
        <v>-9.4043255048232471E-4</v>
      </c>
    </row>
    <row r="10" spans="1:68" x14ac:dyDescent="0.25">
      <c r="A10" s="1">
        <v>6</v>
      </c>
      <c r="B10" s="1">
        <v>210006</v>
      </c>
      <c r="C10" s="4">
        <v>38346876.100000001</v>
      </c>
      <c r="D10" s="4">
        <f>SUM('Modeling - Base Estimates'!E10:G10)-SUM('Scenario 1 - increased MA % '!E10:F10)</f>
        <v>8147968.3200000003</v>
      </c>
      <c r="E10" s="4">
        <f>((SUM('Modeling - Base Estimates'!F10:G10)/SUM('Modeling - Base Estimates'!E10:G10)+$E$63))*SUM('Modeling - Base Estimates'!E10:G10)*('Modeling - Base Estimates'!F10/SUM('Modeling - Base Estimates'!F10:G10))</f>
        <v>2002432.3812269538</v>
      </c>
      <c r="F10" s="4">
        <f>((SUM('Modeling - Base Estimates'!F10:G10)/SUM('Modeling - Base Estimates'!E10:G10)+$E$63))*SUM('Modeling - Base Estimates'!E10:G10)*('Modeling - Base Estimates'!G10/SUM('Modeling - Base Estimates'!F10:G10))</f>
        <v>2945200.8987730453</v>
      </c>
      <c r="G10" s="4">
        <v>517795.89999999997</v>
      </c>
      <c r="H10" s="4">
        <v>9066069.6000000015</v>
      </c>
      <c r="I10" s="4">
        <v>0</v>
      </c>
      <c r="J10" s="4">
        <v>5731495.5</v>
      </c>
      <c r="K10" s="4">
        <v>151462.6</v>
      </c>
      <c r="L10" s="4">
        <v>2527000</v>
      </c>
      <c r="M10" s="4">
        <f t="shared" si="0"/>
        <v>7257450.8999999985</v>
      </c>
      <c r="N10" s="12">
        <f t="shared" si="1"/>
        <v>0.21248062811562374</v>
      </c>
      <c r="O10" s="12">
        <f t="shared" si="2"/>
        <v>5.2218918067929755E-2</v>
      </c>
      <c r="P10" s="12">
        <f t="shared" si="2"/>
        <v>7.680419367388952E-2</v>
      </c>
      <c r="Q10" s="12">
        <f t="shared" si="9"/>
        <v>0.24992558650690197</v>
      </c>
      <c r="R10" s="12">
        <f t="shared" si="10"/>
        <v>0</v>
      </c>
      <c r="S10" s="12">
        <f t="shared" si="3"/>
        <v>0.14946446967553637</v>
      </c>
      <c r="T10" s="12">
        <f t="shared" si="3"/>
        <v>3.9498028367426783E-3</v>
      </c>
      <c r="U10" s="12">
        <f t="shared" si="3"/>
        <v>6.5898457892897305E-2</v>
      </c>
      <c r="V10" s="12">
        <f t="shared" si="11"/>
        <v>0.18925794323047865</v>
      </c>
      <c r="W10" s="4">
        <f>SUMIFS('Modeling - Base Estimates'!AK:AK,'Modeling - Base Estimates'!A:A,A10)</f>
        <v>16593177.879711792</v>
      </c>
      <c r="X10" s="4">
        <f>(W10*N10*(1-N$2))+(W10*O10*(1-'Modeling - Base Estimates'!$AA$51-N$2))+(W10*P10*(1-'Modeling - Base Estimates'!$AE$51))+(W10*Q10*(1-Q$2))+(W10*R10*(1-R$2))+(W10*S10*(1-S$2))+(W10*T10*(1-T$2))+(W10*U10*(1-U$2))+(W10*V10*(1-V$2))</f>
        <v>15612347.292513793</v>
      </c>
      <c r="Y10" s="5">
        <f>X10*N10*SUMIFS('Modeling - Base Estimates'!AN:AN,'Modeling - Base Estimates'!A:A,A10)</f>
        <v>25819.064580402097</v>
      </c>
      <c r="Z10" s="4">
        <f t="shared" si="4"/>
        <v>15586528.227933392</v>
      </c>
      <c r="AA10" s="4">
        <f>(((W10*N10*(1-N$2))/X10)*X10)-Y10-(((SUMIFS('Modeling - Base Estimates'!X:X,'Modeling - Base Estimates'!A:A,A10)*N10*(1-N$2))/SUMIFS('Modeling - Base Estimates'!Z:Z,'Modeling - Base Estimates'!A:A,A10))*SUMIFS('Modeling - Base Estimates'!Z:Z,'Modeling - Base Estimates'!A:A,A10))</f>
        <v>24.393451118376106</v>
      </c>
      <c r="AB10" s="4"/>
      <c r="AC10" s="18">
        <f>1-((((W10*O10*(1-N$2-'Modeling - Base Estimates'!$AA$51))/X10)*X10)/('Modeling - Base Estimates'!X10*'Modeling - Base Estimates'!P10))</f>
        <v>6.1155256636144295E-2</v>
      </c>
      <c r="AD10" s="18">
        <f t="shared" si="22"/>
        <v>-1.5844743363855704E-2</v>
      </c>
      <c r="AE10" s="18">
        <f>1-((((W10*P10*(1-'Modeling - Base Estimates'!$AE$51))/X10)*X10)/(SUMIFS('Modeling - Base Estimates'!X:X,'Modeling - Base Estimates'!A:A,A10)*'Modeling - Base Estimates'!Q10))</f>
        <v>-6.1431859590650006E-2</v>
      </c>
      <c r="AF10" s="18">
        <f t="shared" si="23"/>
        <v>-0.13843185959065002</v>
      </c>
      <c r="AG10" s="18">
        <f>$N10*(1-$N$2)+$O10*(1-$N$2-'Modeling - Base Estimates'!$AA$51)+$P10*(1-'Modeling - Base Estimates'!$AE$51)+$Q10*(1-$Q$2)+$R10*(1-$R$2)+$S10*(1-$S$2)+$T10*(1-$T$2)+$U10*(1-$U$2)+$V10*(1-$V$2)</f>
        <v>0.94088952735224751</v>
      </c>
      <c r="AH10" s="18" t="e">
        <f>$O10*(1-$N$2-#REF!)+$P10*(1-#REF!)+$Q10*(1-$Q$2)+$R10*(1-$R$2)+$S10*(1-$S$2)+$T10*(1-$T$2)+$U10*(1-$U$2)+$V10*(1-$V$2)</f>
        <v>#REF!</v>
      </c>
      <c r="AJ10" s="7">
        <f>(SUMIFS('Modeling - Base Estimates'!$X:$X,'Modeling - Base Estimates'!$A:$A,$A10)*SUMIFS('Modeling - Base Estimates'!O:O,'Modeling - Base Estimates'!$A:$A,$A10)*($N$2))</f>
        <v>290968.44666653126</v>
      </c>
      <c r="AK10" s="7">
        <f>(SUMIFS('Modeling - Base Estimates'!$X:$X,'Modeling - Base Estimates'!$A:$A,$A10)*SUMIFS('Modeling - Base Estimates'!P:P,'Modeling - Base Estimates'!$A:$A,$A10)*($N$2))</f>
        <v>57429.36330534381</v>
      </c>
      <c r="AL10" s="7">
        <f>(SUMIFS('Modeling - Base Estimates'!$X:$X,'Modeling - Base Estimates'!$A:$A,$A10)*SUMIFS('Modeling - Base Estimates'!Q:Q,'Modeling - Base Estimates'!$A:$A,$A10)*($N$2))</f>
        <v>84467.7772935455</v>
      </c>
      <c r="AM10" s="7">
        <f>(SUMIFS('Modeling - Base Estimates'!$X:$X,'Modeling - Base Estimates'!$A:$A,$A10)*SUMIFS('Modeling - Base Estimates'!R:R,'Modeling - Base Estimates'!$A:$A,$A10)*($N$2))</f>
        <v>316787.7043487872</v>
      </c>
      <c r="AN10" s="7">
        <f>(SUMIFS('Modeling - Base Estimates'!X:X,'Modeling - Base Estimates'!A:A,$A10)*$R10*($R$2))+(SUMIFS('Modeling - Base Estimates'!X:X,'Modeling - Base Estimates'!A:A,$A10)*$S10*($S$2))+(SUMIFS('Modeling - Base Estimates'!X:X,'Modeling - Base Estimates'!A:A,$A10)*$T10*($T$2))+(SUMIFS('Modeling - Base Estimates'!X:X,'Modeling - Base Estimates'!A:A,$A10)*$U10*($U$2))+(SUMIFS('Modeling - Base Estimates'!X:X,'Modeling - Base Estimates'!A:A,$A10)*$V10*($V$2))</f>
        <v>112817.31513941943</v>
      </c>
      <c r="AO10" s="7">
        <f>SUM(AJ10:AN10)-(SUMIFS('Modeling - Base Estimates'!X:X,'Modeling - Base Estimates'!A:A,A10)-SUMIFS('Modeling - Base Estimates'!Z:Z,'Modeling - Base Estimates'!A:A,A10))</f>
        <v>-1.6298145055770874E-9</v>
      </c>
      <c r="AQ10" s="7">
        <f t="shared" si="5"/>
        <v>271481.1220902885</v>
      </c>
      <c r="AR10" s="7">
        <f>(W10*$O10*($N$2+'Modeling - Base Estimates'!$AA$51))</f>
        <v>166253.6941878371</v>
      </c>
      <c r="AS10" s="7">
        <f>(W10*P10*('Modeling - Base Estimates'!$AE$51))</f>
        <v>110051.7523675555</v>
      </c>
      <c r="AT10" s="7">
        <f t="shared" si="6"/>
        <v>319323.59794722474</v>
      </c>
      <c r="AU10" s="7">
        <f t="shared" si="7"/>
        <v>113720.42060509106</v>
      </c>
      <c r="AV10" s="5">
        <f t="shared" si="12"/>
        <v>-1.6298145055770874E-9</v>
      </c>
      <c r="AX10" s="7">
        <f>SUMIFS('Modeling - Base Estimates'!X:X,'Modeling - Base Estimates'!A:A,A10)</f>
        <v>16461403.924284134</v>
      </c>
      <c r="AY10" s="5">
        <f t="shared" si="13"/>
        <v>290968.44666653126</v>
      </c>
      <c r="AZ10" s="5">
        <f t="shared" si="13"/>
        <v>57429.36330534381</v>
      </c>
      <c r="BA10" s="5">
        <f t="shared" si="13"/>
        <v>84467.7772935455</v>
      </c>
      <c r="BB10" s="5">
        <f t="shared" si="13"/>
        <v>316787.7043487872</v>
      </c>
      <c r="BC10" s="5">
        <f t="shared" si="13"/>
        <v>112817.31513941943</v>
      </c>
      <c r="BD10" s="5">
        <f t="shared" si="14"/>
        <v>15598933.317530507</v>
      </c>
      <c r="BF10" s="5">
        <f t="shared" si="15"/>
        <v>16593177.879711792</v>
      </c>
      <c r="BG10" s="5">
        <f t="shared" si="16"/>
        <v>271481.1220902885</v>
      </c>
      <c r="BH10" s="5">
        <f t="shared" si="17"/>
        <v>25819.064580402097</v>
      </c>
      <c r="BI10" s="5">
        <f t="shared" si="18"/>
        <v>166253.6941878371</v>
      </c>
      <c r="BJ10" s="5">
        <f t="shared" si="8"/>
        <v>110051.7523675555</v>
      </c>
      <c r="BK10" s="5">
        <f t="shared" si="8"/>
        <v>319323.59794722474</v>
      </c>
      <c r="BL10" s="5">
        <f t="shared" si="8"/>
        <v>113720.42060509106</v>
      </c>
      <c r="BM10" s="5">
        <f t="shared" si="19"/>
        <v>15586528.227933392</v>
      </c>
      <c r="BO10" s="5">
        <f t="shared" si="20"/>
        <v>-12405.089597115293</v>
      </c>
      <c r="BP10" s="12">
        <f t="shared" si="21"/>
        <v>-7.952524281371287E-4</v>
      </c>
    </row>
    <row r="11" spans="1:68" x14ac:dyDescent="0.25">
      <c r="A11" s="1">
        <v>8</v>
      </c>
      <c r="B11" s="1">
        <v>210008</v>
      </c>
      <c r="C11" s="7">
        <v>717488099.89999998</v>
      </c>
      <c r="D11" s="7">
        <f>SUM('Modeling - Base Estimates'!E11:G11)-SUM('Scenario 1 - increased MA % '!E11:F11)</f>
        <v>166661670</v>
      </c>
      <c r="E11" s="7">
        <f>((SUM('Modeling - Base Estimates'!F11:G11)/SUM('Modeling - Base Estimates'!E11:G11)+$E$63))*SUM('Modeling - Base Estimates'!E11:G11)*('Modeling - Base Estimates'!F11/SUM('Modeling - Base Estimates'!F11:G11))</f>
        <v>43738741.046144292</v>
      </c>
      <c r="F11" s="4">
        <f>((SUM('Modeling - Base Estimates'!F11:G11)/SUM('Modeling - Base Estimates'!E11:G11)+$E$63))*SUM('Modeling - Base Estimates'!E11:G11)*('Modeling - Base Estimates'!G11/SUM('Modeling - Base Estimates'!F11:G11))</f>
        <v>58472188.953855708</v>
      </c>
      <c r="G11" s="7">
        <v>13192500.200000001</v>
      </c>
      <c r="H11" s="7">
        <v>130626343.09999999</v>
      </c>
      <c r="I11" s="7">
        <v>43889363.799999997</v>
      </c>
      <c r="J11" s="7">
        <v>137689363.90000001</v>
      </c>
      <c r="K11" s="7">
        <v>-3066440</v>
      </c>
      <c r="L11" s="7">
        <v>33119277</v>
      </c>
      <c r="M11" s="7">
        <f t="shared" si="0"/>
        <v>93165091.899999976</v>
      </c>
      <c r="N11" s="12">
        <f t="shared" si="1"/>
        <v>0.2322849257335815</v>
      </c>
      <c r="O11" s="12">
        <f t="shared" si="2"/>
        <v>6.0960928902152364E-2</v>
      </c>
      <c r="P11" s="12">
        <f t="shared" si="2"/>
        <v>8.1495691652593655E-2</v>
      </c>
      <c r="Q11" s="12">
        <f t="shared" si="9"/>
        <v>0.20044770543238941</v>
      </c>
      <c r="R11" s="12">
        <f t="shared" si="10"/>
        <v>6.1170859567032658E-2</v>
      </c>
      <c r="S11" s="12">
        <f t="shared" si="3"/>
        <v>0.19190473531085808</v>
      </c>
      <c r="T11" s="12">
        <f t="shared" si="3"/>
        <v>-4.2738548561674899E-3</v>
      </c>
      <c r="U11" s="12">
        <f t="shared" si="3"/>
        <v>4.6160036667668783E-2</v>
      </c>
      <c r="V11" s="12">
        <f t="shared" si="11"/>
        <v>0.129848971589891</v>
      </c>
      <c r="W11" s="4">
        <f>SUMIFS('Modeling - Base Estimates'!AK:AK,'Modeling - Base Estimates'!A:A,A11)</f>
        <v>398012472.04715806</v>
      </c>
      <c r="X11" s="4">
        <f>(W11*N11*(1-N$2))+(W11*O11*(1-'Modeling - Base Estimates'!$AA$51-N$2))+(W11*P11*(1-'Modeling - Base Estimates'!$AE$51))+(W11*Q11*(1-Q$2))+(W11*R11*(1-R$2))+(W11*S11*(1-S$2))+(W11*T11*(1-T$2))+(W11*U11*(1-U$2))+(W11*V11*(1-V$2))</f>
        <v>374219051.93967187</v>
      </c>
      <c r="Y11" s="5">
        <f>X11*N11*SUMIFS('Modeling - Base Estimates'!AN:AN,'Modeling - Base Estimates'!A:A,A11)</f>
        <v>804726.04990013735</v>
      </c>
      <c r="Z11" s="4">
        <f t="shared" si="4"/>
        <v>373414325.88977176</v>
      </c>
      <c r="AA11" s="4">
        <f>(((W11*N11*(1-N$2))/X11)*X11)-Y11-(((SUMIFS('Modeling - Base Estimates'!X:X,'Modeling - Base Estimates'!A:A,A11)*N11*(1-N$2))/SUMIFS('Modeling - Base Estimates'!Z:Z,'Modeling - Base Estimates'!A:A,A11))*SUMIFS('Modeling - Base Estimates'!Z:Z,'Modeling - Base Estimates'!A:A,A11))</f>
        <v>874.14552867412567</v>
      </c>
      <c r="AB11" s="4"/>
      <c r="AC11" s="18">
        <f>1-((((W11*O11*(1-N$2-'Modeling - Base Estimates'!$AA$51))/X11)*X11)/('Modeling - Base Estimates'!X11*'Modeling - Base Estimates'!P11))</f>
        <v>6.0615417099354141E-2</v>
      </c>
      <c r="AD11" s="18">
        <f t="shared" si="22"/>
        <v>-1.6384582900645858E-2</v>
      </c>
      <c r="AE11" s="18">
        <f>1-((((W11*P11*(1-'Modeling - Base Estimates'!$AE$51))/X11)*X11)/(SUMIFS('Modeling - Base Estimates'!X:X,'Modeling - Base Estimates'!A:A,A11)*'Modeling - Base Estimates'!Q11))</f>
        <v>-6.2042187216666989E-2</v>
      </c>
      <c r="AF11" s="18">
        <f t="shared" si="23"/>
        <v>-0.139042187216667</v>
      </c>
      <c r="AG11" s="18">
        <f>$N11*(1-$N$2)+$O11*(1-$N$2-'Modeling - Base Estimates'!$AA$51)+$P11*(1-'Modeling - Base Estimates'!$AE$51)+$Q11*(1-$Q$2)+$R11*(1-$R$2)+$S11*(1-$S$2)+$T11*(1-$T$2)+$U11*(1-$U$2)+$V11*(1-$V$2)</f>
        <v>0.94021941075085969</v>
      </c>
      <c r="AH11" s="18" t="e">
        <f>$O11*(1-$N$2-#REF!)+$P11*(1-#REF!)+$Q11*(1-$Q$2)+$R11*(1-$R$2)+$S11*(1-$S$2)+$T11*(1-$T$2)+$U11*(1-$U$2)+$V11*(1-$V$2)</f>
        <v>#REF!</v>
      </c>
      <c r="AJ11" s="7">
        <f>(SUMIFS('Modeling - Base Estimates'!$X:$X,'Modeling - Base Estimates'!$A:$A,$A11)*SUMIFS('Modeling - Base Estimates'!O:O,'Modeling - Base Estimates'!$A:$A,$A11)*($N$2))</f>
        <v>7620434.1654740004</v>
      </c>
      <c r="AK11" s="7">
        <f>(SUMIFS('Modeling - Base Estimates'!$X:$X,'Modeling - Base Estimates'!$A:$A,$A11)*SUMIFS('Modeling - Base Estimates'!P:P,'Modeling - Base Estimates'!$A:$A,$A11)*($N$2))</f>
        <v>1607219.4194314892</v>
      </c>
      <c r="AL11" s="7">
        <f>(SUMIFS('Modeling - Base Estimates'!$X:$X,'Modeling - Base Estimates'!$A:$A,$A11)*SUMIFS('Modeling - Base Estimates'!Q:Q,'Modeling - Base Estimates'!$A:$A,$A11)*($N$2))</f>
        <v>2148613.2278969362</v>
      </c>
      <c r="AM11" s="7">
        <f>(SUMIFS('Modeling - Base Estimates'!$X:$X,'Modeling - Base Estimates'!$A:$A,$A11)*SUMIFS('Modeling - Base Estimates'!R:R,'Modeling - Base Estimates'!$A:$A,$A11)*($N$2))</f>
        <v>6085118.1343484698</v>
      </c>
      <c r="AN11" s="7">
        <f>(SUMIFS('Modeling - Base Estimates'!X:X,'Modeling - Base Estimates'!A:A,$A11)*$R11*($R$2))+(SUMIFS('Modeling - Base Estimates'!X:X,'Modeling - Base Estimates'!A:A,$A11)*$S11*($S$2))+(SUMIFS('Modeling - Base Estimates'!X:X,'Modeling - Base Estimates'!A:A,$A11)*$T11*($T$2))+(SUMIFS('Modeling - Base Estimates'!X:X,'Modeling - Base Estimates'!A:A,$A11)*$U11*($U$2))+(SUMIFS('Modeling - Base Estimates'!X:X,'Modeling - Base Estimates'!A:A,$A11)*$V11*($V$2))</f>
        <v>3045990.9472664027</v>
      </c>
      <c r="AO11" s="7">
        <f>SUM(AJ11:AN11)-(SUMIFS('Modeling - Base Estimates'!X:X,'Modeling - Base Estimates'!A:A,A11)-SUMIFS('Modeling - Base Estimates'!Z:Z,'Modeling - Base Estimates'!A:A,A11))</f>
        <v>0</v>
      </c>
      <c r="AQ11" s="7">
        <f t="shared" si="5"/>
        <v>7118826.908309523</v>
      </c>
      <c r="AR11" s="7">
        <f>(W11*$O11*($N$2+'Modeling - Base Estimates'!$AA$51))</f>
        <v>4655454.8943708977</v>
      </c>
      <c r="AS11" s="7">
        <f>(W11*P11*('Modeling - Base Estimates'!$AE$51))</f>
        <v>2801004.396642718</v>
      </c>
      <c r="AT11" s="7">
        <f t="shared" si="6"/>
        <v>6143112.8801600914</v>
      </c>
      <c r="AU11" s="7">
        <f t="shared" si="7"/>
        <v>3075021.0280028936</v>
      </c>
      <c r="AV11" s="5">
        <f t="shared" si="12"/>
        <v>-5.9604644775390625E-8</v>
      </c>
      <c r="AX11" s="7">
        <f>SUMIFS('Modeling - Base Estimates'!X:X,'Modeling - Base Estimates'!A:A,A11)</f>
        <v>394254990.68607509</v>
      </c>
      <c r="AY11" s="5">
        <f t="shared" si="13"/>
        <v>7620434.1654740004</v>
      </c>
      <c r="AZ11" s="5">
        <f t="shared" si="13"/>
        <v>1607219.4194314892</v>
      </c>
      <c r="BA11" s="5">
        <f t="shared" si="13"/>
        <v>2148613.2278969362</v>
      </c>
      <c r="BB11" s="5">
        <f t="shared" si="13"/>
        <v>6085118.1343484698</v>
      </c>
      <c r="BC11" s="5">
        <f t="shared" si="13"/>
        <v>3045990.9472664027</v>
      </c>
      <c r="BD11" s="5">
        <f t="shared" si="14"/>
        <v>373747614.79165781</v>
      </c>
      <c r="BF11" s="5">
        <f t="shared" si="15"/>
        <v>398012472.04715806</v>
      </c>
      <c r="BG11" s="5">
        <f t="shared" si="16"/>
        <v>7118826.908309523</v>
      </c>
      <c r="BH11" s="5">
        <f t="shared" si="17"/>
        <v>804726.04990013735</v>
      </c>
      <c r="BI11" s="5">
        <f t="shared" si="18"/>
        <v>4655454.8943708977</v>
      </c>
      <c r="BJ11" s="5">
        <f t="shared" si="8"/>
        <v>2801004.396642718</v>
      </c>
      <c r="BK11" s="5">
        <f t="shared" si="8"/>
        <v>6143112.8801600914</v>
      </c>
      <c r="BL11" s="5">
        <f t="shared" si="8"/>
        <v>3075021.0280028936</v>
      </c>
      <c r="BM11" s="5">
        <f t="shared" si="19"/>
        <v>373414325.88977182</v>
      </c>
      <c r="BO11" s="5">
        <f t="shared" si="20"/>
        <v>-333288.90188598633</v>
      </c>
      <c r="BP11" s="12">
        <f t="shared" si="21"/>
        <v>-8.9174857228660888E-4</v>
      </c>
    </row>
    <row r="12" spans="1:68" x14ac:dyDescent="0.25">
      <c r="A12" s="1">
        <v>9</v>
      </c>
      <c r="B12" s="1">
        <v>210009</v>
      </c>
      <c r="C12" s="4">
        <v>3311615589.4000001</v>
      </c>
      <c r="D12" s="4">
        <f>SUM('Modeling - Base Estimates'!E12:G12)-SUM('Scenario 1 - increased MA % '!E12:F12)</f>
        <v>860058420.20000017</v>
      </c>
      <c r="E12" s="4">
        <f>((SUM('Modeling - Base Estimates'!F12:G12)/SUM('Modeling - Base Estimates'!E12:G12)+$E$63))*SUM('Modeling - Base Estimates'!E12:G12)*('Modeling - Base Estimates'!F12/SUM('Modeling - Base Estimates'!F12:G12))</f>
        <v>66040447.972798921</v>
      </c>
      <c r="F12" s="4">
        <f>((SUM('Modeling - Base Estimates'!F12:G12)/SUM('Modeling - Base Estimates'!E12:G12)+$E$63))*SUM('Modeling - Base Estimates'!E12:G12)*('Modeling - Base Estimates'!G12/SUM('Modeling - Base Estimates'!F12:G12))</f>
        <v>58782073.827201076</v>
      </c>
      <c r="G12" s="4">
        <v>183425210.09999999</v>
      </c>
      <c r="H12" s="4">
        <v>483234508</v>
      </c>
      <c r="I12" s="4">
        <v>371266764.80000001</v>
      </c>
      <c r="J12" s="4">
        <v>314601087.69999999</v>
      </c>
      <c r="K12" s="4">
        <v>13732401.9</v>
      </c>
      <c r="L12" s="4">
        <v>90366000</v>
      </c>
      <c r="M12" s="4">
        <f t="shared" si="0"/>
        <v>870108674.9000001</v>
      </c>
      <c r="N12" s="12">
        <f t="shared" si="1"/>
        <v>0.2597096181552358</v>
      </c>
      <c r="O12" s="12">
        <f t="shared" si="2"/>
        <v>1.9942063379634035E-2</v>
      </c>
      <c r="P12" s="12">
        <f t="shared" si="2"/>
        <v>1.7750270899603789E-2</v>
      </c>
      <c r="Q12" s="12">
        <f t="shared" si="9"/>
        <v>0.20130951195962504</v>
      </c>
      <c r="R12" s="12">
        <f t="shared" si="10"/>
        <v>0.11211046535363915</v>
      </c>
      <c r="S12" s="12">
        <f t="shared" si="3"/>
        <v>9.4999277303498733E-2</v>
      </c>
      <c r="T12" s="12">
        <f t="shared" si="3"/>
        <v>4.1467379076108417E-3</v>
      </c>
      <c r="U12" s="12">
        <f t="shared" si="3"/>
        <v>2.7287587451046078E-2</v>
      </c>
      <c r="V12" s="12">
        <f t="shared" si="11"/>
        <v>0.26274446759010661</v>
      </c>
      <c r="W12" s="4">
        <f>SUMIFS('Modeling - Base Estimates'!AK:AK,'Modeling - Base Estimates'!A:A,A12)</f>
        <v>1856534933.3568177</v>
      </c>
      <c r="X12" s="4">
        <f>(W12*N12*(1-N$2))+(W12*O12*(1-'Modeling - Base Estimates'!$AA$51-N$2))+(W12*P12*(1-'Modeling - Base Estimates'!$AE$51))+(W12*Q12*(1-Q$2))+(W12*R12*(1-R$2))+(W12*S12*(1-S$2))+(W12*T12*(1-T$2))+(W12*U12*(1-U$2))+(W12*V12*(1-V$2))</f>
        <v>1762560999.2862859</v>
      </c>
      <c r="Y12" s="5">
        <f>X12*N12*SUMIFS('Modeling - Base Estimates'!AN:AN,'Modeling - Base Estimates'!A:A,A12)</f>
        <v>948429.17147161963</v>
      </c>
      <c r="Z12" s="4">
        <f t="shared" si="4"/>
        <v>1761612570.1148143</v>
      </c>
      <c r="AA12" s="4">
        <f>(((W12*N12*(1-N$2))/X12)*X12)-Y12-(((SUMIFS('Modeling - Base Estimates'!X:X,'Modeling - Base Estimates'!A:A,A12)*N12*(1-N$2))/SUMIFS('Modeling - Base Estimates'!Z:Z,'Modeling - Base Estimates'!A:A,A12))*SUMIFS('Modeling - Base Estimates'!Z:Z,'Modeling - Base Estimates'!A:A,A12))</f>
        <v>968.28154170513153</v>
      </c>
      <c r="AB12" s="4"/>
      <c r="AC12" s="18">
        <f>1-((((W12*O12*(1-N$2-'Modeling - Base Estimates'!$AA$51))/X12)*X12)/('Modeling - Base Estimates'!X12*'Modeling - Base Estimates'!P12))</f>
        <v>-0.33752504729730548</v>
      </c>
      <c r="AD12" s="18">
        <f t="shared" si="22"/>
        <v>-0.41452504729730549</v>
      </c>
      <c r="AE12" s="18">
        <f>1-((((W12*P12*(1-'Modeling - Base Estimates'!$AE$51))/X12)*X12)/(SUMIFS('Modeling - Base Estimates'!X:X,'Modeling - Base Estimates'!A:A,A12)*'Modeling - Base Estimates'!Q12))</f>
        <v>-0.51216876723954696</v>
      </c>
      <c r="AF12" s="18">
        <f t="shared" si="23"/>
        <v>-0.58916876723954692</v>
      </c>
      <c r="AG12" s="18">
        <f>$N12*(1-$N$2)+$O12*(1-$N$2-'Modeling - Base Estimates'!$AA$51)+$P12*(1-'Modeling - Base Estimates'!$AE$51)+$Q12*(1-$Q$2)+$R12*(1-$R$2)+$S12*(1-$S$2)+$T12*(1-$T$2)+$U12*(1-$U$2)+$V12*(1-$V$2)</f>
        <v>0.9493820814345697</v>
      </c>
      <c r="AH12" s="18" t="e">
        <f>$O12*(1-$N$2-#REF!)+$P12*(1-#REF!)+$Q12*(1-$Q$2)+$R12*(1-$R$2)+$S12*(1-$S$2)+$T12*(1-$T$2)+$U12*(1-$U$2)+$V12*(1-$V$2)</f>
        <v>#REF!</v>
      </c>
      <c r="AJ12" s="7">
        <f>(SUMIFS('Modeling - Base Estimates'!$X:$X,'Modeling - Base Estimates'!$A:$A,$A12)*SUMIFS('Modeling - Base Estimates'!O:O,'Modeling - Base Estimates'!$A:$A,$A12)*($N$2))</f>
        <v>39168309.223006472</v>
      </c>
      <c r="AK12" s="7">
        <f>(SUMIFS('Modeling - Base Estimates'!$X:$X,'Modeling - Base Estimates'!$A:$A,$A12)*SUMIFS('Modeling - Base Estimates'!P:P,'Modeling - Base Estimates'!$A:$A,$A12)*($N$2))</f>
        <v>1722430.2188872991</v>
      </c>
      <c r="AL12" s="7">
        <f>(SUMIFS('Modeling - Base Estimates'!$X:$X,'Modeling - Base Estimates'!$A:$A,$A12)*SUMIFS('Modeling - Base Estimates'!Q:Q,'Modeling - Base Estimates'!$A:$A,$A12)*($N$2))</f>
        <v>1533121.3430069082</v>
      </c>
      <c r="AM12" s="7">
        <f>(SUMIFS('Modeling - Base Estimates'!$X:$X,'Modeling - Base Estimates'!$A:$A,$A12)*SUMIFS('Modeling - Base Estimates'!R:R,'Modeling - Base Estimates'!$A:$A,$A12)*($N$2))</f>
        <v>28716444.664004404</v>
      </c>
      <c r="AN12" s="7">
        <f>(SUMIFS('Modeling - Base Estimates'!X:X,'Modeling - Base Estimates'!A:A,$A12)*$R12*($R$2))+(SUMIFS('Modeling - Base Estimates'!X:X,'Modeling - Base Estimates'!A:A,$A12)*$S12*($S$2))+(SUMIFS('Modeling - Base Estimates'!X:X,'Modeling - Base Estimates'!A:A,$A12)*$T12*($T$2))+(SUMIFS('Modeling - Base Estimates'!X:X,'Modeling - Base Estimates'!A:A,$A12)*$U12*($U$2))+(SUMIFS('Modeling - Base Estimates'!X:X,'Modeling - Base Estimates'!A:A,$A12)*$V12*($V$2))</f>
        <v>18081672.473679725</v>
      </c>
      <c r="AO12" s="7">
        <f>SUM(AJ12:AN12)-(SUMIFS('Modeling - Base Estimates'!X:X,'Modeling - Base Estimates'!A:A,A12)-SUMIFS('Modeling - Base Estimates'!Z:Z,'Modeling - Base Estimates'!A:A,A12))</f>
        <v>0</v>
      </c>
      <c r="AQ12" s="7">
        <f t="shared" si="5"/>
        <v>37126318.354814559</v>
      </c>
      <c r="AR12" s="7">
        <f>(W12*$O12*($N$2+'Modeling - Base Estimates'!$AA$51))</f>
        <v>7103740.4246031586</v>
      </c>
      <c r="AS12" s="7">
        <f>(W12*P12*('Modeling - Base Estimates'!$AE$51))</f>
        <v>2845709.5434354669</v>
      </c>
      <c r="AT12" s="7">
        <f t="shared" si="6"/>
        <v>28777836.88549431</v>
      </c>
      <c r="AU12" s="7">
        <f t="shared" si="7"/>
        <v>18120328.862184655</v>
      </c>
      <c r="AV12" s="5">
        <f t="shared" si="12"/>
        <v>3.1292438507080078E-7</v>
      </c>
      <c r="AX12" s="7">
        <f>SUMIFS('Modeling - Base Estimates'!X:X,'Modeling - Base Estimates'!A:A,A12)</f>
        <v>1852574357.5746317</v>
      </c>
      <c r="AY12" s="5">
        <f t="shared" si="13"/>
        <v>39168309.223006472</v>
      </c>
      <c r="AZ12" s="5">
        <f t="shared" si="13"/>
        <v>1722430.2188872991</v>
      </c>
      <c r="BA12" s="5">
        <f t="shared" si="13"/>
        <v>1533121.3430069082</v>
      </c>
      <c r="BB12" s="5">
        <f t="shared" si="13"/>
        <v>28716444.664004404</v>
      </c>
      <c r="BC12" s="5">
        <f t="shared" si="13"/>
        <v>18081672.473679725</v>
      </c>
      <c r="BD12" s="5">
        <f t="shared" si="14"/>
        <v>1763352379.6520469</v>
      </c>
      <c r="BF12" s="5">
        <f t="shared" si="15"/>
        <v>1856534933.3568177</v>
      </c>
      <c r="BG12" s="5">
        <f t="shared" si="16"/>
        <v>37126318.354814559</v>
      </c>
      <c r="BH12" s="5">
        <f t="shared" si="17"/>
        <v>948429.17147161963</v>
      </c>
      <c r="BI12" s="5">
        <f t="shared" si="18"/>
        <v>7103740.4246031586</v>
      </c>
      <c r="BJ12" s="5">
        <f t="shared" si="8"/>
        <v>2845709.5434354669</v>
      </c>
      <c r="BK12" s="5">
        <f t="shared" si="8"/>
        <v>28777836.88549431</v>
      </c>
      <c r="BL12" s="5">
        <f t="shared" si="8"/>
        <v>18120328.862184655</v>
      </c>
      <c r="BM12" s="5">
        <f t="shared" si="19"/>
        <v>1761612570.114814</v>
      </c>
      <c r="BO12" s="5">
        <f t="shared" si="20"/>
        <v>-1739809.5372328758</v>
      </c>
      <c r="BP12" s="12">
        <f t="shared" si="21"/>
        <v>-9.8664881580627878E-4</v>
      </c>
    </row>
    <row r="13" spans="1:68" x14ac:dyDescent="0.25">
      <c r="A13" s="1">
        <v>10</v>
      </c>
      <c r="B13" s="1">
        <v>210010</v>
      </c>
      <c r="C13" s="4">
        <v>17496640.699999999</v>
      </c>
      <c r="D13" s="4">
        <f>SUM('Modeling - Base Estimates'!E13:G13)-SUM('Scenario 1 - increased MA % '!E13:F13)</f>
        <v>3797239.0300000007</v>
      </c>
      <c r="E13" s="4">
        <f>((SUM('Modeling - Base Estimates'!F13:G13)/SUM('Modeling - Base Estimates'!E13:G13)+$E$63))*SUM('Modeling - Base Estimates'!E13:G13)*('Modeling - Base Estimates'!F13/SUM('Modeling - Base Estimates'!F13:G13))</f>
        <v>857141.31184364122</v>
      </c>
      <c r="F13" s="4">
        <f>((SUM('Modeling - Base Estimates'!F13:G13)/SUM('Modeling - Base Estimates'!E13:G13)+$E$63))*SUM('Modeling - Base Estimates'!E13:G13)*('Modeling - Base Estimates'!G13/SUM('Modeling - Base Estimates'!F13:G13))</f>
        <v>1285189.0581563583</v>
      </c>
      <c r="G13" s="4">
        <v>381171.89999999997</v>
      </c>
      <c r="H13" s="4">
        <v>5946729.7999999998</v>
      </c>
      <c r="I13" s="4">
        <v>0</v>
      </c>
      <c r="J13" s="4">
        <v>1684870.5999999999</v>
      </c>
      <c r="K13" s="4">
        <v>83712.900000000009</v>
      </c>
      <c r="L13" s="4">
        <v>1609000</v>
      </c>
      <c r="M13" s="4">
        <f t="shared" si="0"/>
        <v>1851586.0999999978</v>
      </c>
      <c r="N13" s="12">
        <f t="shared" si="1"/>
        <v>0.21702674788309512</v>
      </c>
      <c r="O13" s="12">
        <f t="shared" si="2"/>
        <v>4.8988907444595421E-2</v>
      </c>
      <c r="P13" s="12">
        <f t="shared" si="2"/>
        <v>7.3453474880830025E-2</v>
      </c>
      <c r="Q13" s="12">
        <f t="shared" si="9"/>
        <v>0.36166380784169616</v>
      </c>
      <c r="R13" s="12">
        <f t="shared" si="10"/>
        <v>0</v>
      </c>
      <c r="S13" s="12">
        <f t="shared" si="3"/>
        <v>9.6296805134713656E-2</v>
      </c>
      <c r="T13" s="12">
        <f t="shared" si="3"/>
        <v>4.7845127207761665E-3</v>
      </c>
      <c r="U13" s="12">
        <f t="shared" si="3"/>
        <v>9.196050988233416E-2</v>
      </c>
      <c r="V13" s="12">
        <f t="shared" si="11"/>
        <v>0.1058252342119592</v>
      </c>
      <c r="W13" s="4">
        <f>SUMIFS('Modeling - Base Estimates'!AK:AK,'Modeling - Base Estimates'!A:A,A13)</f>
        <v>9733268.2142226733</v>
      </c>
      <c r="X13" s="4">
        <f>(W13*N13*(1-N$2))+(W13*O13*(1-'Modeling - Base Estimates'!$AA$51-N$2))+(W13*P13*(1-'Modeling - Base Estimates'!$AE$51))+(W13*Q13*(1-Q$2))+(W13*R13*(1-R$2))+(W13*S13*(1-S$2))+(W13*T13*(1-T$2))+(W13*U13*(1-U$2))+(W13*V13*(1-V$2))</f>
        <v>9106056.8597845212</v>
      </c>
      <c r="Y13" s="5">
        <f>X13*N13*SUMIFS('Modeling - Base Estimates'!AN:AN,'Modeling - Base Estimates'!A:A,A13)</f>
        <v>14629.650428129506</v>
      </c>
      <c r="Z13" s="4">
        <f t="shared" si="4"/>
        <v>9091427.2093563918</v>
      </c>
      <c r="AA13" s="4">
        <f>(((W13*N13*(1-N$2))/X13)*X13)-Y13-(((SUMIFS('Modeling - Base Estimates'!X:X,'Modeling - Base Estimates'!A:A,A13)*N13*(1-N$2))/SUMIFS('Modeling - Base Estimates'!Z:Z,'Modeling - Base Estimates'!A:A,A13))*SUMIFS('Modeling - Base Estimates'!Z:Z,'Modeling - Base Estimates'!A:A,A13))</f>
        <v>13.688180543249473</v>
      </c>
      <c r="AB13" s="4"/>
      <c r="AC13" s="18">
        <f>1-((((W13*O13*(1-N$2-'Modeling - Base Estimates'!$AA$51))/X13)*X13)/('Modeling - Base Estimates'!X13*'Modeling - Base Estimates'!P13))</f>
        <v>5.471900559885412E-2</v>
      </c>
      <c r="AD13" s="18">
        <f t="shared" si="22"/>
        <v>-2.2280994401145879E-2</v>
      </c>
      <c r="AE13" s="18">
        <f>1-((((W13*P13*(1-'Modeling - Base Estimates'!$AE$51))/X13)*X13)/(SUMIFS('Modeling - Base Estimates'!X:X,'Modeling - Base Estimates'!A:A,A13)*'Modeling - Base Estimates'!Q13))</f>
        <v>-6.8708506720638107E-2</v>
      </c>
      <c r="AF13" s="18">
        <f t="shared" si="23"/>
        <v>-0.14570850672063812</v>
      </c>
      <c r="AG13" s="18">
        <f>$N13*(1-$N$2)+$O13*(1-$N$2-'Modeling - Base Estimates'!$AA$51)+$P13*(1-'Modeling - Base Estimates'!$AE$51)+$Q13*(1-$Q$2)+$R13*(1-$R$2)+$S13*(1-$S$2)+$T13*(1-$T$2)+$U13*(1-$U$2)+$V13*(1-$V$2)</f>
        <v>0.93556004615986599</v>
      </c>
      <c r="AH13" s="18" t="e">
        <f>$O13*(1-$N$2-#REF!)+$P13*(1-#REF!)+$Q13*(1-$Q$2)+$R13*(1-$R$2)+$S13*(1-$S$2)+$T13*(1-$T$2)+$U13*(1-$U$2)+$V13*(1-$V$2)</f>
        <v>#REF!</v>
      </c>
      <c r="AJ13" s="7">
        <f>(SUMIFS('Modeling - Base Estimates'!$X:$X,'Modeling - Base Estimates'!$A:$A,$A13)*SUMIFS('Modeling - Base Estimates'!O:O,'Modeling - Base Estimates'!$A:$A,$A13)*($N$2))</f>
        <v>174057.03937060674</v>
      </c>
      <c r="AK13" s="7">
        <f>(SUMIFS('Modeling - Base Estimates'!$X:$X,'Modeling - Base Estimates'!$A:$A,$A13)*SUMIFS('Modeling - Base Estimates'!P:P,'Modeling - Base Estimates'!$A:$A,$A13)*($N$2))</f>
        <v>31388.160242191647</v>
      </c>
      <c r="AL13" s="7">
        <f>(SUMIFS('Modeling - Base Estimates'!$X:$X,'Modeling - Base Estimates'!$A:$A,$A13)*SUMIFS('Modeling - Base Estimates'!Q:Q,'Modeling - Base Estimates'!$A:$A,$A13)*($N$2))</f>
        <v>47063.091629728689</v>
      </c>
      <c r="AM13" s="7">
        <f>(SUMIFS('Modeling - Base Estimates'!$X:$X,'Modeling - Base Estimates'!$A:$A,$A13)*SUMIFS('Modeling - Base Estimates'!R:R,'Modeling - Base Estimates'!$A:$A,$A13)*($N$2))</f>
        <v>269017.42160259665</v>
      </c>
      <c r="AN13" s="7">
        <f>(SUMIFS('Modeling - Base Estimates'!X:X,'Modeling - Base Estimates'!A:A,$A13)*$R13*($R$2))+(SUMIFS('Modeling - Base Estimates'!X:X,'Modeling - Base Estimates'!A:A,$A13)*$S13*($S$2))+(SUMIFS('Modeling - Base Estimates'!X:X,'Modeling - Base Estimates'!A:A,$A13)*$T13*($T$2))+(SUMIFS('Modeling - Base Estimates'!X:X,'Modeling - Base Estimates'!A:A,$A13)*$U13*($U$2))+(SUMIFS('Modeling - Base Estimates'!X:X,'Modeling - Base Estimates'!A:A,$A13)*$V13*($V$2))</f>
        <v>39975.036543769944</v>
      </c>
      <c r="AO13" s="7">
        <f>SUM(AJ13:AN13)-(SUMIFS('Modeling - Base Estimates'!X:X,'Modeling - Base Estimates'!A:A,A13)-SUMIFS('Modeling - Base Estimates'!Z:Z,'Modeling - Base Estimates'!A:A,A13))</f>
        <v>0</v>
      </c>
      <c r="AQ13" s="7">
        <f t="shared" si="5"/>
        <v>162653.22510411186</v>
      </c>
      <c r="AR13" s="7">
        <f>(W13*$O13*($N$2+'Modeling - Base Estimates'!$AA$51))</f>
        <v>91489.301314244251</v>
      </c>
      <c r="AS13" s="7">
        <f>(W13*P13*('Modeling - Base Estimates'!$AE$51))</f>
        <v>61738.133616021383</v>
      </c>
      <c r="AT13" s="7">
        <f t="shared" si="6"/>
        <v>271053.1550727245</v>
      </c>
      <c r="AU13" s="7">
        <f t="shared" si="7"/>
        <v>40277.539331050204</v>
      </c>
      <c r="AV13" s="5">
        <f t="shared" si="12"/>
        <v>0</v>
      </c>
      <c r="AX13" s="7">
        <f>SUMIFS('Modeling - Base Estimates'!X:X,'Modeling - Base Estimates'!A:A,A13)</f>
        <v>9660166.9073144104</v>
      </c>
      <c r="AY13" s="5">
        <f t="shared" si="13"/>
        <v>174057.03937060674</v>
      </c>
      <c r="AZ13" s="5">
        <f t="shared" si="13"/>
        <v>31388.160242191647</v>
      </c>
      <c r="BA13" s="5">
        <f t="shared" si="13"/>
        <v>47063.091629728689</v>
      </c>
      <c r="BB13" s="5">
        <f t="shared" si="13"/>
        <v>269017.42160259665</v>
      </c>
      <c r="BC13" s="5">
        <f t="shared" si="13"/>
        <v>39975.036543769944</v>
      </c>
      <c r="BD13" s="5">
        <f t="shared" si="14"/>
        <v>9098666.1579255164</v>
      </c>
      <c r="BF13" s="5">
        <f t="shared" si="15"/>
        <v>9733268.2142226733</v>
      </c>
      <c r="BG13" s="5">
        <f t="shared" si="16"/>
        <v>162653.22510411186</v>
      </c>
      <c r="BH13" s="5">
        <f t="shared" si="17"/>
        <v>14629.650428129506</v>
      </c>
      <c r="BI13" s="5">
        <f t="shared" si="18"/>
        <v>91489.301314244251</v>
      </c>
      <c r="BJ13" s="5">
        <f t="shared" si="8"/>
        <v>61738.133616021383</v>
      </c>
      <c r="BK13" s="5">
        <f t="shared" si="8"/>
        <v>271053.1550727245</v>
      </c>
      <c r="BL13" s="5">
        <f t="shared" si="8"/>
        <v>40277.539331050204</v>
      </c>
      <c r="BM13" s="5">
        <f t="shared" si="19"/>
        <v>9091427.2093563918</v>
      </c>
      <c r="BO13" s="5">
        <f t="shared" si="20"/>
        <v>-7238.9485691245645</v>
      </c>
      <c r="BP13" s="12">
        <f t="shared" si="21"/>
        <v>-7.956054704588738E-4</v>
      </c>
    </row>
    <row r="14" spans="1:68" x14ac:dyDescent="0.25">
      <c r="A14" s="1">
        <v>11</v>
      </c>
      <c r="B14" s="1">
        <v>210011</v>
      </c>
      <c r="C14" s="4">
        <v>568926838.29999995</v>
      </c>
      <c r="D14" s="4">
        <f>SUM('Modeling - Base Estimates'!E14:G14)-SUM('Scenario 1 - increased MA % '!E14:F14)</f>
        <v>152369164.19</v>
      </c>
      <c r="E14" s="4">
        <f>((SUM('Modeling - Base Estimates'!F14:G14)/SUM('Modeling - Base Estimates'!E14:G14)+$E$63))*SUM('Modeling - Base Estimates'!E14:G14)*('Modeling - Base Estimates'!F14/SUM('Modeling - Base Estimates'!F14:G14))</f>
        <v>50463850.591732159</v>
      </c>
      <c r="F14" s="4">
        <f>((SUM('Modeling - Base Estimates'!F14:G14)/SUM('Modeling - Base Estimates'!E14:G14)+$E$63))*SUM('Modeling - Base Estimates'!E14:G14)*('Modeling - Base Estimates'!G14/SUM('Modeling - Base Estimates'!F14:G14))</f>
        <v>61355881.418267846</v>
      </c>
      <c r="G14" s="4">
        <v>21979929.100000001</v>
      </c>
      <c r="H14" s="4">
        <v>107720681</v>
      </c>
      <c r="I14" s="4">
        <v>24642250.400000002</v>
      </c>
      <c r="J14" s="4">
        <v>47344357.799999997</v>
      </c>
      <c r="K14" s="4">
        <v>10656613.799999999</v>
      </c>
      <c r="L14" s="4">
        <v>31745187.900000002</v>
      </c>
      <c r="M14" s="4">
        <f t="shared" si="0"/>
        <v>60648922.099999964</v>
      </c>
      <c r="N14" s="12">
        <f t="shared" si="1"/>
        <v>0.26781855580111419</v>
      </c>
      <c r="O14" s="12">
        <f t="shared" si="2"/>
        <v>8.8700070368489356E-2</v>
      </c>
      <c r="P14" s="12">
        <f t="shared" si="2"/>
        <v>0.10784494119068851</v>
      </c>
      <c r="Q14" s="12">
        <f t="shared" si="9"/>
        <v>0.22797414600365146</v>
      </c>
      <c r="R14" s="12">
        <f t="shared" si="10"/>
        <v>4.3313566422060641E-2</v>
      </c>
      <c r="S14" s="12">
        <f t="shared" si="3"/>
        <v>8.3216952713056777E-2</v>
      </c>
      <c r="T14" s="12">
        <f t="shared" si="3"/>
        <v>1.8731079433416842E-2</v>
      </c>
      <c r="U14" s="12">
        <f t="shared" si="3"/>
        <v>5.5798365910909087E-2</v>
      </c>
      <c r="V14" s="12">
        <f t="shared" si="11"/>
        <v>0.10660232215661317</v>
      </c>
      <c r="W14" s="4">
        <f>SUMIFS('Modeling - Base Estimates'!AK:AK,'Modeling - Base Estimates'!A:A,A14)</f>
        <v>308301267.66126013</v>
      </c>
      <c r="X14" s="4">
        <f>(W14*N14*(1-N$2))+(W14*O14*(1-'Modeling - Base Estimates'!$AA$51-N$2))+(W14*P14*(1-'Modeling - Base Estimates'!$AE$51))+(W14*Q14*(1-Q$2))+(W14*R14*(1-R$2))+(W14*S14*(1-S$2))+(W14*T14*(1-T$2))+(W14*U14*(1-U$2))+(W14*V14*(1-V$2))</f>
        <v>286826977.25173527</v>
      </c>
      <c r="Y14" s="5">
        <f>X14*N14*SUMIFS('Modeling - Base Estimates'!AN:AN,'Modeling - Base Estimates'!A:A,A14)</f>
        <v>1120458.2014917512</v>
      </c>
      <c r="Z14" s="4">
        <f t="shared" si="4"/>
        <v>285706519.0502435</v>
      </c>
      <c r="AA14" s="4">
        <f>(((W14*N14*(1-N$2))/X14)*X14)-Y14-(((SUMIFS('Modeling - Base Estimates'!X:X,'Modeling - Base Estimates'!A:A,A14)*N14*(1-N$2))/SUMIFS('Modeling - Base Estimates'!Z:Z,'Modeling - Base Estimates'!A:A,A14))*SUMIFS('Modeling - Base Estimates'!Z:Z,'Modeling - Base Estimates'!A:A,A14))</f>
        <v>1593.1567773967981</v>
      </c>
      <c r="AB14" s="4"/>
      <c r="AC14" s="18">
        <f>1-((((W14*O14*(1-N$2-'Modeling - Base Estimates'!$AA$51))/X14)*X14)/('Modeling - Base Estimates'!X14*'Modeling - Base Estimates'!P14))</f>
        <v>6.9926057968350275E-2</v>
      </c>
      <c r="AD14" s="18">
        <f t="shared" si="22"/>
        <v>-7.0739420316497242E-3</v>
      </c>
      <c r="AE14" s="18">
        <f>1-((((W14*P14*(1-'Modeling - Base Estimates'!$AE$51))/X14)*X14)/(SUMIFS('Modeling - Base Estimates'!X:X,'Modeling - Base Estimates'!A:A,A14)*'Modeling - Base Estimates'!Q14))</f>
        <v>-5.1515834567399166E-2</v>
      </c>
      <c r="AF14" s="18">
        <f t="shared" si="23"/>
        <v>-0.12851583456739918</v>
      </c>
      <c r="AG14" s="18">
        <f>$N14*(1-$N$2)+$O14*(1-$N$2-'Modeling - Base Estimates'!$AA$51)+$P14*(1-'Modeling - Base Estimates'!$AE$51)+$Q14*(1-$Q$2)+$R14*(1-$R$2)+$S14*(1-$S$2)+$T14*(1-$T$2)+$U14*(1-$U$2)+$V14*(1-$V$2)</f>
        <v>0.93034640897708087</v>
      </c>
      <c r="AH14" s="18" t="e">
        <f>$O14*(1-$N$2-#REF!)+$P14*(1-#REF!)+$Q14*(1-$Q$2)+$R14*(1-$R$2)+$S14*(1-$S$2)+$T14*(1-$T$2)+$U14*(1-$U$2)+$V14*(1-$V$2)</f>
        <v>#REF!</v>
      </c>
      <c r="AJ14" s="7">
        <f>(SUMIFS('Modeling - Base Estimates'!$X:$X,'Modeling - Base Estimates'!$A:$A,$A14)*SUMIFS('Modeling - Base Estimates'!O:O,'Modeling - Base Estimates'!$A:$A,$A14)*($N$2))</f>
        <v>6807257.9462206326</v>
      </c>
      <c r="AK14" s="7">
        <f>(SUMIFS('Modeling - Base Estimates'!$X:$X,'Modeling - Base Estimates'!$A:$A,$A14)*SUMIFS('Modeling - Base Estimates'!P:P,'Modeling - Base Estimates'!$A:$A,$A14)*($N$2))</f>
        <v>1829583.1006328994</v>
      </c>
      <c r="AL14" s="7">
        <f>(SUMIFS('Modeling - Base Estimates'!$X:$X,'Modeling - Base Estimates'!$A:$A,$A14)*SUMIFS('Modeling - Base Estimates'!Q:Q,'Modeling - Base Estimates'!$A:$A,$A14)*($N$2))</f>
        <v>2224477.1742743426</v>
      </c>
      <c r="AM14" s="7">
        <f>(SUMIFS('Modeling - Base Estimates'!$X:$X,'Modeling - Base Estimates'!$A:$A,$A14)*SUMIFS('Modeling - Base Estimates'!R:R,'Modeling - Base Estimates'!$A:$A,$A14)*($N$2))</f>
        <v>5332243.7847807324</v>
      </c>
      <c r="AN14" s="7">
        <f>(SUMIFS('Modeling - Base Estimates'!X:X,'Modeling - Base Estimates'!A:A,$A14)*$R14*($R$2))+(SUMIFS('Modeling - Base Estimates'!X:X,'Modeling - Base Estimates'!A:A,$A14)*$S14*($S$2))+(SUMIFS('Modeling - Base Estimates'!X:X,'Modeling - Base Estimates'!A:A,$A14)*$T14*($T$2))+(SUMIFS('Modeling - Base Estimates'!X:X,'Modeling - Base Estimates'!A:A,$A14)*$U14*($U$2))+(SUMIFS('Modeling - Base Estimates'!X:X,'Modeling - Base Estimates'!A:A,$A14)*$V14*($V$2))</f>
        <v>1563027.1340084341</v>
      </c>
      <c r="AO14" s="7">
        <f>SUM(AJ14:AN14)-(SUMIFS('Modeling - Base Estimates'!X:X,'Modeling - Base Estimates'!A:A,A14)-SUMIFS('Modeling - Base Estimates'!Z:Z,'Modeling - Base Estimates'!A:A,A14))</f>
        <v>0</v>
      </c>
      <c r="AQ14" s="7">
        <f t="shared" si="5"/>
        <v>6357797.6197652407</v>
      </c>
      <c r="AR14" s="7">
        <f>(W14*$O14*($N$2+'Modeling - Base Estimates'!$AA$51))</f>
        <v>5247025.0884543601</v>
      </c>
      <c r="AS14" s="7">
        <f>(W14*P14*('Modeling - Base Estimates'!$AE$51))</f>
        <v>2871161.0100314249</v>
      </c>
      <c r="AT14" s="7">
        <f t="shared" si="6"/>
        <v>5411923.3019327587</v>
      </c>
      <c r="AU14" s="7">
        <f t="shared" si="7"/>
        <v>1586383.3893410903</v>
      </c>
      <c r="AV14" s="5">
        <f t="shared" si="12"/>
        <v>0</v>
      </c>
      <c r="AX14" s="7">
        <f>SUMIFS('Modeling - Base Estimates'!X:X,'Modeling - Base Estimates'!A:A,A14)</f>
        <v>303762161.17838854</v>
      </c>
      <c r="AY14" s="5">
        <f t="shared" si="13"/>
        <v>6807257.9462206326</v>
      </c>
      <c r="AZ14" s="5">
        <f t="shared" si="13"/>
        <v>1829583.1006328994</v>
      </c>
      <c r="BA14" s="5">
        <f t="shared" si="13"/>
        <v>2224477.1742743426</v>
      </c>
      <c r="BB14" s="5">
        <f t="shared" si="13"/>
        <v>5332243.7847807324</v>
      </c>
      <c r="BC14" s="5">
        <f t="shared" si="13"/>
        <v>1563027.1340084341</v>
      </c>
      <c r="BD14" s="5">
        <f t="shared" si="14"/>
        <v>286005572.03847152</v>
      </c>
      <c r="BF14" s="5">
        <f t="shared" si="15"/>
        <v>308301267.66126013</v>
      </c>
      <c r="BG14" s="5">
        <f t="shared" si="16"/>
        <v>6357797.6197652407</v>
      </c>
      <c r="BH14" s="5">
        <f t="shared" si="17"/>
        <v>1120458.2014917512</v>
      </c>
      <c r="BI14" s="5">
        <f t="shared" si="18"/>
        <v>5247025.0884543601</v>
      </c>
      <c r="BJ14" s="5">
        <f t="shared" si="8"/>
        <v>2871161.0100314249</v>
      </c>
      <c r="BK14" s="5">
        <f t="shared" si="8"/>
        <v>5411923.3019327587</v>
      </c>
      <c r="BL14" s="5">
        <f t="shared" si="8"/>
        <v>1586383.3893410903</v>
      </c>
      <c r="BM14" s="5">
        <f t="shared" si="19"/>
        <v>285706519.0502435</v>
      </c>
      <c r="BO14" s="5">
        <f t="shared" si="20"/>
        <v>-299052.98822802305</v>
      </c>
      <c r="BP14" s="12">
        <f t="shared" si="21"/>
        <v>-1.0456194475392826E-3</v>
      </c>
    </row>
    <row r="15" spans="1:68" x14ac:dyDescent="0.25">
      <c r="A15" s="1">
        <v>12</v>
      </c>
      <c r="B15" s="1">
        <v>210012</v>
      </c>
      <c r="C15" s="4">
        <v>994389579.10000002</v>
      </c>
      <c r="D15" s="4">
        <f>SUM('Modeling - Base Estimates'!E15:G15)-SUM('Scenario 1 - increased MA % '!E15:F15)</f>
        <v>309509081.505</v>
      </c>
      <c r="E15" s="4">
        <f>((SUM('Modeling - Base Estimates'!F15:G15)/SUM('Modeling - Base Estimates'!E15:G15)+$E$63))*SUM('Modeling - Base Estimates'!E15:G15)*('Modeling - Base Estimates'!F15/SUM('Modeling - Base Estimates'!F15:G15))</f>
        <v>65583063.262442999</v>
      </c>
      <c r="F15" s="4">
        <f>((SUM('Modeling - Base Estimates'!F15:G15)/SUM('Modeling - Base Estimates'!E15:G15)+$E$63))*SUM('Modeling - Base Estimates'!E15:G15)*('Modeling - Base Estimates'!G15/SUM('Modeling - Base Estimates'!F15:G15))</f>
        <v>108473163.13255697</v>
      </c>
      <c r="G15" s="4">
        <v>39331012.600000001</v>
      </c>
      <c r="H15" s="4">
        <v>192369486.5</v>
      </c>
      <c r="I15" s="4">
        <v>39762161.399999999</v>
      </c>
      <c r="J15" s="4">
        <v>58202310.700000003</v>
      </c>
      <c r="K15" s="4">
        <v>0</v>
      </c>
      <c r="L15" s="4">
        <v>30264900</v>
      </c>
      <c r="M15" s="4">
        <f t="shared" si="0"/>
        <v>150894400</v>
      </c>
      <c r="N15" s="12">
        <f t="shared" si="1"/>
        <v>0.31125535505423318</v>
      </c>
      <c r="O15" s="12">
        <f t="shared" si="2"/>
        <v>6.5953087844907596E-2</v>
      </c>
      <c r="P15" s="12">
        <f t="shared" si="2"/>
        <v>0.1090851768888544</v>
      </c>
      <c r="Q15" s="12">
        <f t="shared" si="9"/>
        <v>0.23300777076697343</v>
      </c>
      <c r="R15" s="12">
        <f t="shared" si="10"/>
        <v>3.9986502509396615E-2</v>
      </c>
      <c r="S15" s="12">
        <f t="shared" si="3"/>
        <v>5.85306925206091E-2</v>
      </c>
      <c r="T15" s="12">
        <f t="shared" si="3"/>
        <v>0</v>
      </c>
      <c r="U15" s="12">
        <f t="shared" si="3"/>
        <v>3.0435656845269929E-2</v>
      </c>
      <c r="V15" s="12">
        <f t="shared" si="11"/>
        <v>0.1517457575697557</v>
      </c>
      <c r="W15" s="4">
        <f>SUMIFS('Modeling - Base Estimates'!AK:AK,'Modeling - Base Estimates'!A:A,A15)</f>
        <v>553994723.11790848</v>
      </c>
      <c r="X15" s="4">
        <f>(W15*N15*(1-N$2))+(W15*O15*(1-'Modeling - Base Estimates'!$AA$51-N$2))+(W15*P15*(1-'Modeling - Base Estimates'!$AE$51))+(W15*Q15*(1-Q$2))+(W15*R15*(1-R$2))+(W15*S15*(1-S$2))+(W15*T15*(1-T$2))+(W15*U15*(1-U$2))+(W15*V15*(1-V$2))</f>
        <v>515720311.20853382</v>
      </c>
      <c r="Y15" s="5">
        <f>X15*N15*SUMIFS('Modeling - Base Estimates'!AN:AN,'Modeling - Base Estimates'!A:A,A15)</f>
        <v>1873269.9566147786</v>
      </c>
      <c r="Z15" s="4">
        <f t="shared" si="4"/>
        <v>513847041.25191903</v>
      </c>
      <c r="AA15" s="4">
        <f>(((W15*N15*(1-N$2))/X15)*X15)-Y15-(((SUMIFS('Modeling - Base Estimates'!X:X,'Modeling - Base Estimates'!A:A,A15)*N15*(1-N$2))/SUMIFS('Modeling - Base Estimates'!Z:Z,'Modeling - Base Estimates'!A:A,A15))*SUMIFS('Modeling - Base Estimates'!Z:Z,'Modeling - Base Estimates'!A:A,A15))</f>
        <v>2403.0048785805702</v>
      </c>
      <c r="AB15" s="4"/>
      <c r="AC15" s="18">
        <f>1-((((W15*O15*(1-N$2-'Modeling - Base Estimates'!$AA$51))/X15)*X15)/('Modeling - Base Estimates'!X15*'Modeling - Base Estimates'!P15))</f>
        <v>5.0314071743301159E-2</v>
      </c>
      <c r="AD15" s="18">
        <f t="shared" si="22"/>
        <v>-2.668592825669884E-2</v>
      </c>
      <c r="AE15" s="18">
        <f>1-((((W15*P15*(1-'Modeling - Base Estimates'!$AE$51))/X15)*X15)/(SUMIFS('Modeling - Base Estimates'!X:X,'Modeling - Base Estimates'!A:A,A15)*'Modeling - Base Estimates'!Q15))</f>
        <v>-7.3688602915160439E-2</v>
      </c>
      <c r="AF15" s="18">
        <f t="shared" si="23"/>
        <v>-0.15068860291516045</v>
      </c>
      <c r="AG15" s="18">
        <f>$N15*(1-$N$2)+$O15*(1-$N$2-'Modeling - Base Estimates'!$AA$51)+$P15*(1-'Modeling - Base Estimates'!$AE$51)+$Q15*(1-$Q$2)+$R15*(1-$R$2)+$S15*(1-$S$2)+$T15*(1-$T$2)+$U15*(1-$U$2)+$V15*(1-$V$2)</f>
        <v>0.93091195581437214</v>
      </c>
      <c r="AH15" s="18" t="e">
        <f>$O15*(1-$N$2-#REF!)+$P15*(1-#REF!)+$Q15*(1-$Q$2)+$R15*(1-$R$2)+$S15*(1-$S$2)+$T15*(1-$T$2)+$U15*(1-$U$2)+$V15*(1-$V$2)</f>
        <v>#REF!</v>
      </c>
      <c r="AJ15" s="7">
        <f>(SUMIFS('Modeling - Base Estimates'!$X:$X,'Modeling - Base Estimates'!$A:$A,$A15)*SUMIFS('Modeling - Base Estimates'!O:O,'Modeling - Base Estimates'!$A:$A,$A15)*($N$2))</f>
        <v>14145911.25794347</v>
      </c>
      <c r="AK15" s="7">
        <f>(SUMIFS('Modeling - Base Estimates'!$X:$X,'Modeling - Base Estimates'!$A:$A,$A15)*SUMIFS('Modeling - Base Estimates'!P:P,'Modeling - Base Estimates'!$A:$A,$A15)*($N$2))</f>
        <v>2394038.3372322423</v>
      </c>
      <c r="AL15" s="7">
        <f>(SUMIFS('Modeling - Base Estimates'!$X:$X,'Modeling - Base Estimates'!$A:$A,$A15)*SUMIFS('Modeling - Base Estimates'!Q:Q,'Modeling - Base Estimates'!$A:$A,$A15)*($N$2))</f>
        <v>3959694.7471177778</v>
      </c>
      <c r="AM15" s="7">
        <f>(SUMIFS('Modeling - Base Estimates'!$X:$X,'Modeling - Base Estimates'!$A:$A,$A15)*SUMIFS('Modeling - Base Estimates'!R:R,'Modeling - Base Estimates'!$A:$A,$A15)*($N$2))</f>
        <v>9822412.2944405563</v>
      </c>
      <c r="AN15" s="7">
        <f>(SUMIFS('Modeling - Base Estimates'!X:X,'Modeling - Base Estimates'!A:A,$A15)*$R15*($R$2))+(SUMIFS('Modeling - Base Estimates'!X:X,'Modeling - Base Estimates'!A:A,$A15)*$S15*($S$2))+(SUMIFS('Modeling - Base Estimates'!X:X,'Modeling - Base Estimates'!A:A,$A15)*$T15*($T$2))+(SUMIFS('Modeling - Base Estimates'!X:X,'Modeling - Base Estimates'!A:A,$A15)*$U15*($U$2))+(SUMIFS('Modeling - Base Estimates'!X:X,'Modeling - Base Estimates'!A:A,$A15)*$V15*($V$2))</f>
        <v>2794936.485492303</v>
      </c>
      <c r="AO15" s="7">
        <f>SUM(AJ15:AN15)-(SUMIFS('Modeling - Base Estimates'!X:X,'Modeling - Base Estimates'!A:A,A15)-SUMIFS('Modeling - Base Estimates'!Z:Z,'Modeling - Base Estimates'!A:A,A15))</f>
        <v>0</v>
      </c>
      <c r="AQ15" s="7">
        <f t="shared" si="5"/>
        <v>13277404.466652187</v>
      </c>
      <c r="AR15" s="7">
        <f>(W15*$O15*($N$2+'Modeling - Base Estimates'!$AA$51))</f>
        <v>7010590.9436116461</v>
      </c>
      <c r="AS15" s="7">
        <f>(W15*P15*('Modeling - Base Estimates'!$AE$51))</f>
        <v>5218597.8083234206</v>
      </c>
      <c r="AT15" s="7">
        <f t="shared" si="6"/>
        <v>9939550.8096785303</v>
      </c>
      <c r="AU15" s="7">
        <f t="shared" si="7"/>
        <v>2828267.8811088689</v>
      </c>
      <c r="AV15" s="5">
        <f t="shared" si="12"/>
        <v>0</v>
      </c>
      <c r="AX15" s="7">
        <f>SUMIFS('Modeling - Base Estimates'!X:X,'Modeling - Base Estimates'!A:A,A15)</f>
        <v>547465844.6445961</v>
      </c>
      <c r="AY15" s="5">
        <f t="shared" si="13"/>
        <v>14145911.25794347</v>
      </c>
      <c r="AZ15" s="5">
        <f t="shared" si="13"/>
        <v>2394038.3372322423</v>
      </c>
      <c r="BA15" s="5">
        <f t="shared" si="13"/>
        <v>3959694.7471177778</v>
      </c>
      <c r="BB15" s="5">
        <f t="shared" si="13"/>
        <v>9822412.2944405563</v>
      </c>
      <c r="BC15" s="5">
        <f t="shared" si="13"/>
        <v>2794936.485492303</v>
      </c>
      <c r="BD15" s="5">
        <f t="shared" si="14"/>
        <v>514348851.52236974</v>
      </c>
      <c r="BF15" s="5">
        <f t="shared" si="15"/>
        <v>553994723.11790848</v>
      </c>
      <c r="BG15" s="5">
        <f t="shared" si="16"/>
        <v>13277404.466652187</v>
      </c>
      <c r="BH15" s="5">
        <f t="shared" si="17"/>
        <v>1873269.9566147786</v>
      </c>
      <c r="BI15" s="5">
        <f t="shared" si="18"/>
        <v>7010590.9436116461</v>
      </c>
      <c r="BJ15" s="5">
        <f t="shared" si="8"/>
        <v>5218597.8083234206</v>
      </c>
      <c r="BK15" s="5">
        <f t="shared" si="8"/>
        <v>9939550.8096785303</v>
      </c>
      <c r="BL15" s="5">
        <f t="shared" si="8"/>
        <v>2828267.8811088689</v>
      </c>
      <c r="BM15" s="5">
        <f t="shared" si="19"/>
        <v>513847041.25191903</v>
      </c>
      <c r="BO15" s="5">
        <f t="shared" si="20"/>
        <v>-501810.27045071125</v>
      </c>
      <c r="BP15" s="12">
        <f t="shared" si="21"/>
        <v>-9.7562241845287141E-4</v>
      </c>
    </row>
    <row r="16" spans="1:68" x14ac:dyDescent="0.25">
      <c r="A16" s="1">
        <v>13</v>
      </c>
      <c r="B16" s="1">
        <v>210013</v>
      </c>
      <c r="C16" s="4">
        <v>34392900</v>
      </c>
      <c r="D16" s="4">
        <f>SUM('Modeling - Base Estimates'!E16:G16)-SUM('Scenario 1 - increased MA % '!E16:F16)</f>
        <v>5043250</v>
      </c>
      <c r="E16" s="4">
        <f>((SUM('Modeling - Base Estimates'!F16:G16)/SUM('Modeling - Base Estimates'!E16:G16)+$E$63))*SUM('Modeling - Base Estimates'!E16:G16)*('Modeling - Base Estimates'!F16/SUM('Modeling - Base Estimates'!F16:G16))</f>
        <v>2337803.2641257523</v>
      </c>
      <c r="F16" s="4">
        <f>((SUM('Modeling - Base Estimates'!F16:G16)/SUM('Modeling - Base Estimates'!E16:G16)+$E$63))*SUM('Modeling - Base Estimates'!E16:G16)*('Modeling - Base Estimates'!G16/SUM('Modeling - Base Estimates'!F16:G16))</f>
        <v>2935946.7358742477</v>
      </c>
      <c r="G16" s="4">
        <v>2279300</v>
      </c>
      <c r="H16" s="4">
        <v>16750800</v>
      </c>
      <c r="I16" s="4">
        <v>0</v>
      </c>
      <c r="J16" s="4">
        <v>925900</v>
      </c>
      <c r="K16" s="4">
        <v>0</v>
      </c>
      <c r="L16" s="4">
        <v>2838040</v>
      </c>
      <c r="M16" s="4">
        <f t="shared" si="0"/>
        <v>1281860</v>
      </c>
      <c r="N16" s="12">
        <f t="shared" si="1"/>
        <v>0.14663636971584251</v>
      </c>
      <c r="O16" s="12">
        <f t="shared" si="2"/>
        <v>6.7973426612055174E-2</v>
      </c>
      <c r="P16" s="12">
        <f t="shared" si="2"/>
        <v>8.5364907753467945E-2</v>
      </c>
      <c r="Q16" s="12">
        <f t="shared" si="9"/>
        <v>0.55331478299300141</v>
      </c>
      <c r="R16" s="12">
        <f t="shared" si="10"/>
        <v>0</v>
      </c>
      <c r="S16" s="12">
        <f t="shared" si="3"/>
        <v>2.6921254096048893E-2</v>
      </c>
      <c r="T16" s="12">
        <f t="shared" si="3"/>
        <v>0</v>
      </c>
      <c r="U16" s="12">
        <f t="shared" si="3"/>
        <v>8.2518194162167186E-2</v>
      </c>
      <c r="V16" s="12">
        <f t="shared" si="11"/>
        <v>3.7271064667416823E-2</v>
      </c>
      <c r="W16" s="4">
        <f>SUMIFS('Modeling - Base Estimates'!AK:AK,'Modeling - Base Estimates'!A:A,A16)</f>
        <v>19260533.131842174</v>
      </c>
      <c r="X16" s="4">
        <f>(W16*N16*(1-N$2))+(W16*O16*(1-'Modeling - Base Estimates'!$AA$51-N$2))+(W16*P16*(1-'Modeling - Base Estimates'!$AE$51))+(W16*Q16*(1-Q$2))+(W16*R16*(1-R$2))+(W16*S16*(1-S$2))+(W16*T16*(1-T$2))+(W16*U16*(1-U$2))+(W16*V16*(1-V$2))</f>
        <v>17804553.321283028</v>
      </c>
      <c r="Y16" s="5">
        <f>X16*N16*SUMIFS('Modeling - Base Estimates'!AN:AN,'Modeling - Base Estimates'!A:A,A16)</f>
        <v>25855.714943130635</v>
      </c>
      <c r="Z16" s="4">
        <f t="shared" si="4"/>
        <v>17778697.606339898</v>
      </c>
      <c r="AA16" s="4">
        <f>(((W16*N16*(1-N$2))/X16)*X16)-Y16-(((SUMIFS('Modeling - Base Estimates'!X:X,'Modeling - Base Estimates'!A:A,A16)*N16*(1-N$2))/SUMIFS('Modeling - Base Estimates'!Z:Z,'Modeling - Base Estimates'!A:A,A16))*SUMIFS('Modeling - Base Estimates'!Z:Z,'Modeling - Base Estimates'!A:A,A16))</f>
        <v>23.547246289439499</v>
      </c>
      <c r="AB16" s="4"/>
      <c r="AC16" s="18">
        <f>1-((((W16*O16*(1-N$2-'Modeling - Base Estimates'!$AA$51))/X16)*X16)/('Modeling - Base Estimates'!X16*'Modeling - Base Estimates'!P16))</f>
        <v>9.5274459706708226E-2</v>
      </c>
      <c r="AD16" s="18">
        <f t="shared" si="22"/>
        <v>1.8274459706708227E-2</v>
      </c>
      <c r="AE16" s="18">
        <f>1-((((W16*P16*(1-'Modeling - Base Estimates'!$AE$51))/X16)*X16)/(SUMIFS('Modeling - Base Estimates'!X:X,'Modeling - Base Estimates'!A:A,A16)*'Modeling - Base Estimates'!Q16))</f>
        <v>-2.2857633746681483E-2</v>
      </c>
      <c r="AF16" s="18">
        <f t="shared" si="23"/>
        <v>-9.9857633746681482E-2</v>
      </c>
      <c r="AG16" s="18">
        <f>$N16*(1-$N$2)+$O16*(1-$N$2-'Modeling - Base Estimates'!$AA$51)+$P16*(1-'Modeling - Base Estimates'!$AE$51)+$Q16*(1-$Q$2)+$R16*(1-$R$2)+$S16*(1-$S$2)+$T16*(1-$T$2)+$U16*(1-$U$2)+$V16*(1-$V$2)</f>
        <v>0.92440604833767193</v>
      </c>
      <c r="AH16" s="18" t="e">
        <f>$O16*(1-$N$2-#REF!)+$P16*(1-#REF!)+$Q16*(1-$Q$2)+$R16*(1-$R$2)+$S16*(1-$S$2)+$T16*(1-$T$2)+$U16*(1-$U$2)+$V16*(1-$V$2)</f>
        <v>#REF!</v>
      </c>
      <c r="AJ16" s="7">
        <f>(SUMIFS('Modeling - Base Estimates'!$X:$X,'Modeling - Base Estimates'!$A:$A,$A16)*SUMIFS('Modeling - Base Estimates'!O:O,'Modeling - Base Estimates'!$A:$A,$A16)*($N$2))</f>
        <v>237334.95905192691</v>
      </c>
      <c r="AK16" s="7">
        <f>(SUMIFS('Modeling - Base Estimates'!$X:$X,'Modeling - Base Estimates'!$A:$A,$A16)*SUMIFS('Modeling - Base Estimates'!P:P,'Modeling - Base Estimates'!$A:$A,$A16)*($N$2))</f>
        <v>90045.281393593759</v>
      </c>
      <c r="AL16" s="7">
        <f>(SUMIFS('Modeling - Base Estimates'!$X:$X,'Modeling - Base Estimates'!$A:$A,$A16)*SUMIFS('Modeling - Base Estimates'!Q:Q,'Modeling - Base Estimates'!$A:$A,$A16)*($N$2))</f>
        <v>113084.00242449965</v>
      </c>
      <c r="AM16" s="7">
        <f>(SUMIFS('Modeling - Base Estimates'!$X:$X,'Modeling - Base Estimates'!$A:$A,$A16)*SUMIFS('Modeling - Base Estimates'!R:R,'Modeling - Base Estimates'!$A:$A,$A16)*($N$2))</f>
        <v>812453.09569068265</v>
      </c>
      <c r="AN16" s="7">
        <f>(SUMIFS('Modeling - Base Estimates'!X:X,'Modeling - Base Estimates'!A:A,$A16)*$R16*($R$2))+(SUMIFS('Modeling - Base Estimates'!X:X,'Modeling - Base Estimates'!A:A,$A16)*$S16*($S$2))+(SUMIFS('Modeling - Base Estimates'!X:X,'Modeling - Base Estimates'!A:A,$A16)*$T16*($T$2))+(SUMIFS('Modeling - Base Estimates'!X:X,'Modeling - Base Estimates'!A:A,$A16)*$U16*($U$2))+(SUMIFS('Modeling - Base Estimates'!X:X,'Modeling - Base Estimates'!A:A,$A16)*$V16*($V$2))</f>
        <v>24482.082575567903</v>
      </c>
      <c r="AO16" s="7">
        <f>SUM(AJ16:AN16)-(SUMIFS('Modeling - Base Estimates'!X:X,'Modeling - Base Estimates'!A:A,A16)-SUMIFS('Modeling - Base Estimates'!Z:Z,'Modeling - Base Estimates'!A:A,A16))</f>
        <v>0</v>
      </c>
      <c r="AQ16" s="7">
        <f t="shared" si="5"/>
        <v>217470.68860786833</v>
      </c>
      <c r="AR16" s="7">
        <f>(W16*$O16*($N$2+'Modeling - Base Estimates'!$AA$51))</f>
        <v>251200.98262320663</v>
      </c>
      <c r="AS16" s="7">
        <f>(W16*P16*('Modeling - Base Estimates'!$AE$51))</f>
        <v>141980.96999754469</v>
      </c>
      <c r="AT16" s="7">
        <f t="shared" si="6"/>
        <v>820599.60368345689</v>
      </c>
      <c r="AU16" s="7">
        <f t="shared" si="7"/>
        <v>24727.565647070107</v>
      </c>
      <c r="AV16" s="5">
        <f t="shared" si="12"/>
        <v>0</v>
      </c>
      <c r="AX16" s="7">
        <f>SUMIFS('Modeling - Base Estimates'!X:X,'Modeling - Base Estimates'!A:A,A16)</f>
        <v>19069324.061792254</v>
      </c>
      <c r="AY16" s="5">
        <f t="shared" si="13"/>
        <v>237334.95905192691</v>
      </c>
      <c r="AZ16" s="5">
        <f t="shared" si="13"/>
        <v>90045.281393593759</v>
      </c>
      <c r="BA16" s="5">
        <f t="shared" si="13"/>
        <v>113084.00242449965</v>
      </c>
      <c r="BB16" s="5">
        <f t="shared" si="13"/>
        <v>812453.09569068265</v>
      </c>
      <c r="BC16" s="5">
        <f t="shared" si="13"/>
        <v>24482.082575567903</v>
      </c>
      <c r="BD16" s="5">
        <f t="shared" si="14"/>
        <v>17791924.640655983</v>
      </c>
      <c r="BF16" s="5">
        <f t="shared" si="15"/>
        <v>19260533.131842174</v>
      </c>
      <c r="BG16" s="5">
        <f t="shared" si="16"/>
        <v>217470.68860786833</v>
      </c>
      <c r="BH16" s="5">
        <f t="shared" si="17"/>
        <v>25855.714943130635</v>
      </c>
      <c r="BI16" s="5">
        <f t="shared" si="18"/>
        <v>251200.98262320663</v>
      </c>
      <c r="BJ16" s="5">
        <f t="shared" si="8"/>
        <v>141980.96999754469</v>
      </c>
      <c r="BK16" s="5">
        <f t="shared" si="8"/>
        <v>820599.60368345689</v>
      </c>
      <c r="BL16" s="5">
        <f t="shared" si="8"/>
        <v>24727.565647070107</v>
      </c>
      <c r="BM16" s="5">
        <f t="shared" si="19"/>
        <v>17778697.606339898</v>
      </c>
      <c r="BO16" s="5">
        <f t="shared" si="20"/>
        <v>-13227.034316085279</v>
      </c>
      <c r="BP16" s="12">
        <f t="shared" si="21"/>
        <v>-7.434290883775687E-4</v>
      </c>
    </row>
    <row r="17" spans="1:68" x14ac:dyDescent="0.25">
      <c r="A17" s="1">
        <v>15</v>
      </c>
      <c r="B17" s="1">
        <v>210015</v>
      </c>
      <c r="C17" s="4">
        <v>743866296.19999993</v>
      </c>
      <c r="D17" s="4">
        <f>SUM('Modeling - Base Estimates'!E17:G17)-SUM('Scenario 1 - increased MA % '!E17:F17)</f>
        <v>204930552.65500003</v>
      </c>
      <c r="E17" s="4">
        <f>((SUM('Modeling - Base Estimates'!F17:G17)/SUM('Modeling - Base Estimates'!E17:G17)+$E$63))*SUM('Modeling - Base Estimates'!E17:G17)*('Modeling - Base Estimates'!F17/SUM('Modeling - Base Estimates'!F17:G17))</f>
        <v>61251952.814282939</v>
      </c>
      <c r="F17" s="4">
        <f>((SUM('Modeling - Base Estimates'!F17:G17)/SUM('Modeling - Base Estimates'!E17:G17)+$E$63))*SUM('Modeling - Base Estimates'!E17:G17)*('Modeling - Base Estimates'!G17/SUM('Modeling - Base Estimates'!F17:G17))</f>
        <v>77665803.430717066</v>
      </c>
      <c r="G17" s="4">
        <v>23054440.399999999</v>
      </c>
      <c r="H17" s="4">
        <v>161792057.39999998</v>
      </c>
      <c r="I17" s="4">
        <v>28034823.799999997</v>
      </c>
      <c r="J17" s="4">
        <v>40255594.899999999</v>
      </c>
      <c r="K17" s="4">
        <v>4100608.4</v>
      </c>
      <c r="L17" s="4">
        <v>26996832.299999997</v>
      </c>
      <c r="M17" s="4">
        <f t="shared" si="0"/>
        <v>115783630.10000002</v>
      </c>
      <c r="N17" s="12">
        <f t="shared" si="1"/>
        <v>0.27549380003083418</v>
      </c>
      <c r="O17" s="12">
        <f t="shared" si="2"/>
        <v>8.2342691323945144E-2</v>
      </c>
      <c r="P17" s="12">
        <f t="shared" si="2"/>
        <v>0.10440828389116237</v>
      </c>
      <c r="Q17" s="12">
        <f t="shared" si="9"/>
        <v>0.24849425057201563</v>
      </c>
      <c r="R17" s="12">
        <f t="shared" si="10"/>
        <v>3.7687987670921984E-2</v>
      </c>
      <c r="S17" s="12">
        <f t="shared" si="3"/>
        <v>5.4116707674004713E-2</v>
      </c>
      <c r="T17" s="12">
        <f t="shared" si="3"/>
        <v>5.512561089200751E-3</v>
      </c>
      <c r="U17" s="12">
        <f t="shared" si="3"/>
        <v>3.6292587038708204E-2</v>
      </c>
      <c r="V17" s="12">
        <f t="shared" si="11"/>
        <v>0.15565113070920719</v>
      </c>
      <c r="W17" s="4">
        <f>SUMIFS('Modeling - Base Estimates'!AK:AK,'Modeling - Base Estimates'!A:A,A17)</f>
        <v>415039339.37903076</v>
      </c>
      <c r="X17" s="4">
        <f>(W17*N17*(1-N$2))+(W17*O17*(1-'Modeling - Base Estimates'!$AA$51-N$2))+(W17*P17*(1-'Modeling - Base Estimates'!$AE$51))+(W17*Q17*(1-Q$2))+(W17*R17*(1-R$2))+(W17*S17*(1-S$2))+(W17*T17*(1-T$2))+(W17*U17*(1-U$2))+(W17*V17*(1-V$2))</f>
        <v>385855400.08439678</v>
      </c>
      <c r="Y17" s="5">
        <f>X17*N17*SUMIFS('Modeling - Base Estimates'!AN:AN,'Modeling - Base Estimates'!A:A,A17)</f>
        <v>1454597.0470459217</v>
      </c>
      <c r="Z17" s="4">
        <f t="shared" si="4"/>
        <v>384400803.03735083</v>
      </c>
      <c r="AA17" s="4">
        <f>(((W17*N17*(1-N$2))/X17)*X17)-Y17-(((SUMIFS('Modeling - Base Estimates'!X:X,'Modeling - Base Estimates'!A:A,A17)*N17*(1-N$2))/SUMIFS('Modeling - Base Estimates'!Z:Z,'Modeling - Base Estimates'!A:A,A17))*SUMIFS('Modeling - Base Estimates'!Z:Z,'Modeling - Base Estimates'!A:A,A17))</f>
        <v>2020.7072748243809</v>
      </c>
      <c r="AB17" s="4"/>
      <c r="AC17" s="18">
        <f>1-((((W17*O17*(1-N$2-'Modeling - Base Estimates'!$AA$51))/X17)*X17)/('Modeling - Base Estimates'!X17*'Modeling - Base Estimates'!P17))</f>
        <v>6.4826328191818217E-2</v>
      </c>
      <c r="AD17" s="18">
        <f t="shared" si="22"/>
        <v>-1.2173671808181782E-2</v>
      </c>
      <c r="AE17" s="18">
        <f>1-((((W17*P17*(1-'Modeling - Base Estimates'!$AE$51))/X17)*X17)/(SUMIFS('Modeling - Base Estimates'!X:X,'Modeling - Base Estimates'!A:A,A17)*'Modeling - Base Estimates'!Q17))</f>
        <v>-5.7281447783403383E-2</v>
      </c>
      <c r="AF17" s="18">
        <f t="shared" si="23"/>
        <v>-0.1342814477834034</v>
      </c>
      <c r="AG17" s="18">
        <f>$N17*(1-$N$2)+$O17*(1-$N$2-'Modeling - Base Estimates'!$AA$51)+$P17*(1-'Modeling - Base Estimates'!$AE$51)+$Q17*(1-$Q$2)+$R17*(1-$R$2)+$S17*(1-$S$2)+$T17*(1-$T$2)+$U17*(1-$U$2)+$V17*(1-$V$2)</f>
        <v>0.92968392023199997</v>
      </c>
      <c r="AH17" s="18" t="e">
        <f>$O17*(1-$N$2-#REF!)+$P17*(1-#REF!)+$Q17*(1-$Q$2)+$R17*(1-$R$2)+$S17*(1-$S$2)+$T17*(1-$T$2)+$U17*(1-$U$2)+$V17*(1-$V$2)</f>
        <v>#REF!</v>
      </c>
      <c r="AJ17" s="7">
        <f>(SUMIFS('Modeling - Base Estimates'!$X:$X,'Modeling - Base Estimates'!$A:$A,$A17)*SUMIFS('Modeling - Base Estimates'!O:O,'Modeling - Base Estimates'!$A:$A,$A17)*($N$2))</f>
        <v>9411149.6890799068</v>
      </c>
      <c r="AK17" s="7">
        <f>(SUMIFS('Modeling - Base Estimates'!$X:$X,'Modeling - Base Estimates'!$A:$A,$A17)*SUMIFS('Modeling - Base Estimates'!P:P,'Modeling - Base Estimates'!$A:$A,$A17)*($N$2))</f>
        <v>2274010.1111082672</v>
      </c>
      <c r="AL17" s="7">
        <f>(SUMIFS('Modeling - Base Estimates'!$X:$X,'Modeling - Base Estimates'!$A:$A,$A17)*SUMIFS('Modeling - Base Estimates'!Q:Q,'Modeling - Base Estimates'!$A:$A,$A17)*($N$2))</f>
        <v>2883382.7196381981</v>
      </c>
      <c r="AM17" s="7">
        <f>(SUMIFS('Modeling - Base Estimates'!$X:$X,'Modeling - Base Estimates'!$A:$A,$A17)*SUMIFS('Modeling - Base Estimates'!R:R,'Modeling - Base Estimates'!$A:$A,$A17)*($N$2))</f>
        <v>7831779.2850435963</v>
      </c>
      <c r="AN17" s="7">
        <f>(SUMIFS('Modeling - Base Estimates'!X:X,'Modeling - Base Estimates'!A:A,$A17)*$R17*($R$2))+(SUMIFS('Modeling - Base Estimates'!X:X,'Modeling - Base Estimates'!A:A,$A17)*$S17*($S$2))+(SUMIFS('Modeling - Base Estimates'!X:X,'Modeling - Base Estimates'!A:A,$A17)*$T17*($T$2))+(SUMIFS('Modeling - Base Estimates'!X:X,'Modeling - Base Estimates'!A:A,$A17)*$U17*($U$2))+(SUMIFS('Modeling - Base Estimates'!X:X,'Modeling - Base Estimates'!A:A,$A17)*$V17*($V$2))</f>
        <v>2109419.9137473353</v>
      </c>
      <c r="AO17" s="7">
        <f>SUM(AJ17:AN17)-(SUMIFS('Modeling - Base Estimates'!X:X,'Modeling - Base Estimates'!A:A,A17)-SUMIFS('Modeling - Base Estimates'!Z:Z,'Modeling - Base Estimates'!A:A,A17))</f>
        <v>4.4703483581542969E-8</v>
      </c>
      <c r="AQ17" s="7">
        <f t="shared" si="5"/>
        <v>8804238.8871218488</v>
      </c>
      <c r="AR17" s="7">
        <f>(W17*$O17*($N$2+'Modeling - Base Estimates'!$AA$51))</f>
        <v>6557347.309339433</v>
      </c>
      <c r="AS17" s="7">
        <f>(W17*P17*('Modeling - Base Estimates'!$AE$51))</f>
        <v>3742024.9597730725</v>
      </c>
      <c r="AT17" s="7">
        <f t="shared" si="6"/>
        <v>7941386.4989610463</v>
      </c>
      <c r="AU17" s="7">
        <f t="shared" si="7"/>
        <v>2138941.6394386315</v>
      </c>
      <c r="AV17" s="5">
        <f t="shared" si="12"/>
        <v>4.8428773880004883E-8</v>
      </c>
      <c r="AX17" s="7">
        <f>SUMIFS('Modeling - Base Estimates'!X:X,'Modeling - Base Estimates'!A:A,A17)</f>
        <v>409310956.09716606</v>
      </c>
      <c r="AY17" s="5">
        <f t="shared" si="13"/>
        <v>9411149.6890799068</v>
      </c>
      <c r="AZ17" s="5">
        <f t="shared" si="13"/>
        <v>2274010.1111082672</v>
      </c>
      <c r="BA17" s="5">
        <f t="shared" si="13"/>
        <v>2883382.7196381981</v>
      </c>
      <c r="BB17" s="5">
        <f t="shared" si="13"/>
        <v>7831779.2850435963</v>
      </c>
      <c r="BC17" s="5">
        <f t="shared" si="13"/>
        <v>2109419.9137473353</v>
      </c>
      <c r="BD17" s="5">
        <f t="shared" si="14"/>
        <v>384801214.37854874</v>
      </c>
      <c r="BF17" s="5">
        <f t="shared" si="15"/>
        <v>415039339.37903076</v>
      </c>
      <c r="BG17" s="5">
        <f t="shared" si="16"/>
        <v>8804238.8871218488</v>
      </c>
      <c r="BH17" s="5">
        <f t="shared" si="17"/>
        <v>1454597.0470459217</v>
      </c>
      <c r="BI17" s="5">
        <f t="shared" si="18"/>
        <v>6557347.309339433</v>
      </c>
      <c r="BJ17" s="5">
        <f t="shared" si="8"/>
        <v>3742024.9597730725</v>
      </c>
      <c r="BK17" s="5">
        <f t="shared" si="8"/>
        <v>7941386.4989610463</v>
      </c>
      <c r="BL17" s="5">
        <f t="shared" si="8"/>
        <v>2138941.6394386315</v>
      </c>
      <c r="BM17" s="5">
        <f t="shared" si="19"/>
        <v>384400803.03735083</v>
      </c>
      <c r="BO17" s="5">
        <f t="shared" si="20"/>
        <v>-400411.34119790792</v>
      </c>
      <c r="BP17" s="12">
        <f t="shared" si="21"/>
        <v>-1.0405667296153663E-3</v>
      </c>
    </row>
    <row r="18" spans="1:68" x14ac:dyDescent="0.25">
      <c r="A18" s="1">
        <v>18</v>
      </c>
      <c r="B18" s="1">
        <v>210018</v>
      </c>
      <c r="C18" s="4">
        <v>241848933</v>
      </c>
      <c r="D18" s="4">
        <f>SUM('Modeling - Base Estimates'!E18:G18)-SUM('Scenario 1 - increased MA % '!E18:F18)</f>
        <v>85034143.590000004</v>
      </c>
      <c r="E18" s="4">
        <f>((SUM('Modeling - Base Estimates'!F18:G18)/SUM('Modeling - Base Estimates'!E18:G18)+$E$63))*SUM('Modeling - Base Estimates'!E18:G18)*('Modeling - Base Estimates'!F18/SUM('Modeling - Base Estimates'!F18:G18))</f>
        <v>13048101.921697972</v>
      </c>
      <c r="F18" s="4">
        <f>((SUM('Modeling - Base Estimates'!F18:G18)/SUM('Modeling - Base Estimates'!E18:G18)+$E$63))*SUM('Modeling - Base Estimates'!E18:G18)*('Modeling - Base Estimates'!G18/SUM('Modeling - Base Estimates'!F18:G18))</f>
        <v>19880282.688302033</v>
      </c>
      <c r="G18" s="4">
        <v>6165380</v>
      </c>
      <c r="H18" s="4">
        <v>31779251.599999998</v>
      </c>
      <c r="I18" s="4">
        <v>8106210</v>
      </c>
      <c r="J18" s="4">
        <v>17127791.199999999</v>
      </c>
      <c r="K18" s="4">
        <v>1048543.1000000001</v>
      </c>
      <c r="L18" s="4">
        <v>10355704.199999999</v>
      </c>
      <c r="M18" s="4">
        <f t="shared" si="0"/>
        <v>49303524.700000018</v>
      </c>
      <c r="N18" s="12">
        <f t="shared" si="1"/>
        <v>0.35160024290865904</v>
      </c>
      <c r="O18" s="12">
        <f t="shared" si="2"/>
        <v>5.3951455397564116E-2</v>
      </c>
      <c r="P18" s="12">
        <f t="shared" si="2"/>
        <v>8.2201242079914541E-2</v>
      </c>
      <c r="Q18" s="12">
        <f t="shared" si="9"/>
        <v>0.15689393841568031</v>
      </c>
      <c r="R18" s="12">
        <f t="shared" si="10"/>
        <v>3.3517658727896887E-2</v>
      </c>
      <c r="S18" s="12">
        <f t="shared" si="3"/>
        <v>7.0820205768697769E-2</v>
      </c>
      <c r="T18" s="12">
        <f t="shared" si="3"/>
        <v>4.3355291544742939E-3</v>
      </c>
      <c r="U18" s="12">
        <f t="shared" si="3"/>
        <v>4.2818895545840591E-2</v>
      </c>
      <c r="V18" s="12">
        <f t="shared" si="11"/>
        <v>0.20386083200127253</v>
      </c>
      <c r="W18" s="4">
        <f>SUMIFS('Modeling - Base Estimates'!AK:AK,'Modeling - Base Estimates'!A:A,A18)</f>
        <v>133350912.98823373</v>
      </c>
      <c r="X18" s="4">
        <f>(W18*N18*(1-N$2))+(W18*O18*(1-'Modeling - Base Estimates'!$AA$51-N$2))+(W18*P18*(1-'Modeling - Base Estimates'!$AE$51))+(W18*Q18*(1-Q$2))+(W18*R18*(1-R$2))+(W18*S18*(1-S$2))+(W18*T18*(1-T$2))+(W18*U18*(1-U$2))+(W18*V18*(1-V$2))</f>
        <v>124957971.30889028</v>
      </c>
      <c r="Y18" s="5">
        <f>X18*N18*SUMIFS('Modeling - Base Estimates'!AN:AN,'Modeling - Base Estimates'!A:A,A18)</f>
        <v>415073.74678212829</v>
      </c>
      <c r="Z18" s="4">
        <f t="shared" si="4"/>
        <v>124542897.56210816</v>
      </c>
      <c r="AA18" s="4">
        <f>(((W18*N18*(1-N$2))/X18)*X18)-Y18-(((SUMIFS('Modeling - Base Estimates'!X:X,'Modeling - Base Estimates'!A:A,A18)*N18*(1-N$2))/SUMIFS('Modeling - Base Estimates'!Z:Z,'Modeling - Base Estimates'!A:A,A18))*SUMIFS('Modeling - Base Estimates'!Z:Z,'Modeling - Base Estimates'!A:A,A18))</f>
        <v>552.73133482784033</v>
      </c>
      <c r="AB18" s="4"/>
      <c r="AC18" s="18">
        <f>1-((((W18*O18*(1-N$2-'Modeling - Base Estimates'!$AA$51))/X18)*X18)/('Modeling - Base Estimates'!X18*'Modeling - Base Estimates'!P18))</f>
        <v>5.9894093178495256E-3</v>
      </c>
      <c r="AD18" s="18">
        <f t="shared" si="22"/>
        <v>-7.1010590682150473E-2</v>
      </c>
      <c r="AE18" s="18">
        <f>1-((((W18*P18*(1-'Modeling - Base Estimates'!$AE$51))/X18)*X18)/(SUMIFS('Modeling - Base Estimates'!X:X,'Modeling - Base Estimates'!A:A,A18)*'Modeling - Base Estimates'!Q18))</f>
        <v>-0.12380083840087486</v>
      </c>
      <c r="AF18" s="18">
        <f t="shared" si="23"/>
        <v>-0.20080083840087487</v>
      </c>
      <c r="AG18" s="18">
        <f>$N18*(1-$N$2)+$O18*(1-$N$2-'Modeling - Base Estimates'!$AA$51)+$P18*(1-'Modeling - Base Estimates'!$AE$51)+$Q18*(1-$Q$2)+$R18*(1-$R$2)+$S18*(1-$S$2)+$T18*(1-$T$2)+$U18*(1-$U$2)+$V18*(1-$V$2)</f>
        <v>0.93706123571809374</v>
      </c>
      <c r="AH18" s="18" t="e">
        <f>$O18*(1-$N$2-#REF!)+$P18*(1-#REF!)+$Q18*(1-$Q$2)+$R18*(1-$R$2)+$S18*(1-$S$2)+$T18*(1-$T$2)+$U18*(1-$U$2)+$V18*(1-$V$2)</f>
        <v>#REF!</v>
      </c>
      <c r="AJ18" s="7">
        <f>(SUMIFS('Modeling - Base Estimates'!$X:$X,'Modeling - Base Estimates'!$A:$A,$A18)*SUMIFS('Modeling - Base Estimates'!O:O,'Modeling - Base Estimates'!$A:$A,$A18)*($N$2))</f>
        <v>3823573.2332788948</v>
      </c>
      <c r="AK18" s="7">
        <f>(SUMIFS('Modeling - Base Estimates'!$X:$X,'Modeling - Base Estimates'!$A:$A,$A18)*SUMIFS('Modeling - Base Estimates'!P:P,'Modeling - Base Estimates'!$A:$A,$A18)*($N$2))</f>
        <v>450379.36967988947</v>
      </c>
      <c r="AL18" s="7">
        <f>(SUMIFS('Modeling - Base Estimates'!$X:$X,'Modeling - Base Estimates'!$A:$A,$A18)*SUMIFS('Modeling - Base Estimates'!Q:Q,'Modeling - Base Estimates'!$A:$A,$A18)*($N$2))</f>
        <v>686204.7246370936</v>
      </c>
      <c r="AM18" s="7">
        <f>(SUMIFS('Modeling - Base Estimates'!$X:$X,'Modeling - Base Estimates'!$A:$A,$A18)*SUMIFS('Modeling - Base Estimates'!R:R,'Modeling - Base Estimates'!$A:$A,$A18)*($N$2))</f>
        <v>1595518.0458201307</v>
      </c>
      <c r="AN18" s="7">
        <f>(SUMIFS('Modeling - Base Estimates'!X:X,'Modeling - Base Estimates'!A:A,$A18)*$R18*($R$2))+(SUMIFS('Modeling - Base Estimates'!X:X,'Modeling - Base Estimates'!A:A,$A18)*$S18*($S$2))+(SUMIFS('Modeling - Base Estimates'!X:X,'Modeling - Base Estimates'!A:A,$A18)*$T18*($T$2))+(SUMIFS('Modeling - Base Estimates'!X:X,'Modeling - Base Estimates'!A:A,$A18)*$U18*($U$2))+(SUMIFS('Modeling - Base Estimates'!X:X,'Modeling - Base Estimates'!A:A,$A18)*$V18*($V$2))</f>
        <v>836595.85368258343</v>
      </c>
      <c r="AO18" s="7">
        <f>SUM(AJ18:AN18)-(SUMIFS('Modeling - Base Estimates'!X:X,'Modeling - Base Estimates'!A:A,A18)-SUMIFS('Modeling - Base Estimates'!Z:Z,'Modeling - Base Estimates'!A:A,A18))</f>
        <v>8.3819031715393066E-9</v>
      </c>
      <c r="AQ18" s="7">
        <f t="shared" si="5"/>
        <v>3610238.4317040914</v>
      </c>
      <c r="AR18" s="7">
        <f>(W18*$O18*($N$2+'Modeling - Base Estimates'!$AA$51))</f>
        <v>1380425.6617563989</v>
      </c>
      <c r="AS18" s="7">
        <f>(W18*P18*('Modeling - Base Estimates'!$AE$51))</f>
        <v>946578.92867137783</v>
      </c>
      <c r="AT18" s="7">
        <f t="shared" si="6"/>
        <v>1610990.1446139028</v>
      </c>
      <c r="AU18" s="7">
        <f t="shared" si="7"/>
        <v>844708.51259769069</v>
      </c>
      <c r="AV18" s="5">
        <f t="shared" si="12"/>
        <v>1.4901161193847656E-8</v>
      </c>
      <c r="AX18" s="7">
        <f>SUMIFS('Modeling - Base Estimates'!X:X,'Modeling - Base Estimates'!A:A,A18)</f>
        <v>132070198.44948146</v>
      </c>
      <c r="AY18" s="5">
        <f t="shared" si="13"/>
        <v>3823573.2332788948</v>
      </c>
      <c r="AZ18" s="5">
        <f t="shared" si="13"/>
        <v>450379.36967988947</v>
      </c>
      <c r="BA18" s="5">
        <f t="shared" si="13"/>
        <v>686204.7246370936</v>
      </c>
      <c r="BB18" s="5">
        <f t="shared" si="13"/>
        <v>1595518.0458201307</v>
      </c>
      <c r="BC18" s="5">
        <f t="shared" si="13"/>
        <v>836595.85368258343</v>
      </c>
      <c r="BD18" s="5">
        <f t="shared" si="14"/>
        <v>124677927.22238286</v>
      </c>
      <c r="BF18" s="5">
        <f t="shared" si="15"/>
        <v>133350912.98823373</v>
      </c>
      <c r="BG18" s="5">
        <f t="shared" si="16"/>
        <v>3610238.4317040914</v>
      </c>
      <c r="BH18" s="5">
        <f t="shared" si="17"/>
        <v>415073.74678212829</v>
      </c>
      <c r="BI18" s="5">
        <f t="shared" si="18"/>
        <v>1380425.6617563989</v>
      </c>
      <c r="BJ18" s="5">
        <f t="shared" si="8"/>
        <v>946578.92867137783</v>
      </c>
      <c r="BK18" s="5">
        <f t="shared" si="8"/>
        <v>1610990.1446139028</v>
      </c>
      <c r="BL18" s="5">
        <f t="shared" si="8"/>
        <v>844708.51259769069</v>
      </c>
      <c r="BM18" s="5">
        <f t="shared" si="19"/>
        <v>124542897.56210814</v>
      </c>
      <c r="BO18" s="5">
        <f t="shared" si="20"/>
        <v>-135029.66027471423</v>
      </c>
      <c r="BP18" s="12">
        <f t="shared" si="21"/>
        <v>-1.0830277923522696E-3</v>
      </c>
    </row>
    <row r="19" spans="1:68" x14ac:dyDescent="0.25">
      <c r="A19" s="1">
        <v>19</v>
      </c>
      <c r="B19" s="1">
        <v>210019</v>
      </c>
      <c r="C19" s="4">
        <v>650222000</v>
      </c>
      <c r="D19" s="4">
        <f>SUM('Modeling - Base Estimates'!E19:G19)-SUM('Scenario 1 - increased MA % '!E19:F19)</f>
        <v>227956060</v>
      </c>
      <c r="E19" s="4">
        <f>((SUM('Modeling - Base Estimates'!F19:G19)/SUM('Modeling - Base Estimates'!E19:G19)+$E$63))*SUM('Modeling - Base Estimates'!E19:G19)*('Modeling - Base Estimates'!F19/SUM('Modeling - Base Estimates'!F19:G19))</f>
        <v>45968968.984795503</v>
      </c>
      <c r="F19" s="4">
        <f>((SUM('Modeling - Base Estimates'!F19:G19)/SUM('Modeling - Base Estimates'!E19:G19)+$E$63))*SUM('Modeling - Base Estimates'!E19:G19)*('Modeling - Base Estimates'!G19/SUM('Modeling - Base Estimates'!F19:G19))</f>
        <v>70653771.015204489</v>
      </c>
      <c r="G19" s="4">
        <v>13782000</v>
      </c>
      <c r="H19" s="4">
        <v>107338400</v>
      </c>
      <c r="I19" s="4">
        <v>31344100</v>
      </c>
      <c r="J19" s="4">
        <v>40337600</v>
      </c>
      <c r="K19" s="4">
        <v>0</v>
      </c>
      <c r="L19" s="4">
        <v>30523300</v>
      </c>
      <c r="M19" s="4">
        <f t="shared" si="0"/>
        <v>82317800</v>
      </c>
      <c r="N19" s="12">
        <f t="shared" si="1"/>
        <v>0.3505818935686581</v>
      </c>
      <c r="O19" s="12">
        <f t="shared" si="2"/>
        <v>7.0697344883432892E-2</v>
      </c>
      <c r="P19" s="12">
        <f t="shared" si="2"/>
        <v>0.10866099734429854</v>
      </c>
      <c r="Q19" s="12">
        <f t="shared" si="9"/>
        <v>0.18627545669017659</v>
      </c>
      <c r="R19" s="12">
        <f t="shared" si="10"/>
        <v>4.8205228368157334E-2</v>
      </c>
      <c r="S19" s="12">
        <f t="shared" si="3"/>
        <v>6.2036658249028792E-2</v>
      </c>
      <c r="T19" s="12">
        <f t="shared" si="3"/>
        <v>0</v>
      </c>
      <c r="U19" s="12">
        <f t="shared" si="3"/>
        <v>4.6942890274398588E-2</v>
      </c>
      <c r="V19" s="12">
        <f t="shared" si="11"/>
        <v>0.12659953062184914</v>
      </c>
      <c r="W19" s="4">
        <f>SUMIFS('Modeling - Base Estimates'!AK:AK,'Modeling - Base Estimates'!A:A,A19)</f>
        <v>361925233.59871</v>
      </c>
      <c r="X19" s="4">
        <f>(W19*N19*(1-N$2))+(W19*O19*(1-'Modeling - Base Estimates'!$AA$51-N$2))+(W19*P19*(1-'Modeling - Base Estimates'!$AE$51))+(W19*Q19*(1-Q$2))+(W19*R19*(1-R$2))+(W19*S19*(1-S$2))+(W19*T19*(1-T$2))+(W19*U19*(1-U$2))+(W19*V19*(1-V$2))</f>
        <v>336900426.96396565</v>
      </c>
      <c r="Y19" s="5">
        <f>X19*N19*SUMIFS('Modeling - Base Estimates'!AN:AN,'Modeling - Base Estimates'!A:A,A19)</f>
        <v>1542949.2570468038</v>
      </c>
      <c r="Z19" s="4">
        <f t="shared" si="4"/>
        <v>335357477.70691884</v>
      </c>
      <c r="AA19" s="4">
        <f>(((W19*N19*(1-N$2))/X19)*X19)-Y19-(((SUMIFS('Modeling - Base Estimates'!X:X,'Modeling - Base Estimates'!A:A,A19)*N19*(1-N$2))/SUMIFS('Modeling - Base Estimates'!Z:Z,'Modeling - Base Estimates'!A:A,A19))*SUMIFS('Modeling - Base Estimates'!Z:Z,'Modeling - Base Estimates'!A:A,A19))</f>
        <v>2237.5764518529177</v>
      </c>
      <c r="AB19" s="4"/>
      <c r="AC19" s="18">
        <f>1-((((W19*O19*(1-N$2-'Modeling - Base Estimates'!$AA$51))/X19)*X19)/('Modeling - Base Estimates'!X19*'Modeling - Base Estimates'!P19))</f>
        <v>3.9114349808344162E-2</v>
      </c>
      <c r="AD19" s="18">
        <f t="shared" si="22"/>
        <v>-3.7885650191655837E-2</v>
      </c>
      <c r="AE19" s="18">
        <f>1-((((W19*P19*(1-'Modeling - Base Estimates'!$AE$51))/X19)*X19)/(SUMIFS('Modeling - Base Estimates'!X:X,'Modeling - Base Estimates'!A:A,A19)*'Modeling - Base Estimates'!Q19))</f>
        <v>-8.6350698287528393E-2</v>
      </c>
      <c r="AF19" s="18">
        <f t="shared" si="23"/>
        <v>-0.16335069828752841</v>
      </c>
      <c r="AG19" s="18">
        <f>$N19*(1-$N$2)+$O19*(1-$N$2-'Modeling - Base Estimates'!$AA$51)+$P19*(1-'Modeling - Base Estimates'!$AE$51)+$Q19*(1-$Q$2)+$R19*(1-$R$2)+$S19*(1-$S$2)+$T19*(1-$T$2)+$U19*(1-$U$2)+$V19*(1-$V$2)</f>
        <v>0.93085641919488016</v>
      </c>
      <c r="AH19" s="18" t="e">
        <f>$O19*(1-$N$2-#REF!)+$P19*(1-#REF!)+$Q19*(1-$Q$2)+$R19*(1-$R$2)+$S19*(1-$S$2)+$T19*(1-$T$2)+$U19*(1-$U$2)+$V19*(1-$V$2)</f>
        <v>#REF!</v>
      </c>
      <c r="AJ19" s="7">
        <f>(SUMIFS('Modeling - Base Estimates'!$X:$X,'Modeling - Base Estimates'!$A:$A,$A19)*SUMIFS('Modeling - Base Estimates'!O:O,'Modeling - Base Estimates'!$A:$A,$A19)*($N$2))</f>
        <v>10369878.825127259</v>
      </c>
      <c r="AK19" s="7">
        <f>(SUMIFS('Modeling - Base Estimates'!$X:$X,'Modeling - Base Estimates'!$A:$A,$A19)*SUMIFS('Modeling - Base Estimates'!P:P,'Modeling - Base Estimates'!$A:$A,$A19)*($N$2))</f>
        <v>1656992.7247240567</v>
      </c>
      <c r="AL19" s="7">
        <f>(SUMIFS('Modeling - Base Estimates'!$X:$X,'Modeling - Base Estimates'!$A:$A,$A19)*SUMIFS('Modeling - Base Estimates'!Q:Q,'Modeling - Base Estimates'!$A:$A,$A19)*($N$2))</f>
        <v>2546778.5580580621</v>
      </c>
      <c r="AM19" s="7">
        <f>(SUMIFS('Modeling - Base Estimates'!$X:$X,'Modeling - Base Estimates'!$A:$A,$A19)*SUMIFS('Modeling - Base Estimates'!R:R,'Modeling - Base Estimates'!$A:$A,$A19)*($N$2))</f>
        <v>5122678.2684542025</v>
      </c>
      <c r="AN19" s="7">
        <f>(SUMIFS('Modeling - Base Estimates'!X:X,'Modeling - Base Estimates'!A:A,$A19)*$R19*($R$2))+(SUMIFS('Modeling - Base Estimates'!X:X,'Modeling - Base Estimates'!A:A,$A19)*$S19*($S$2))+(SUMIFS('Modeling - Base Estimates'!X:X,'Modeling - Base Estimates'!A:A,$A19)*$T19*($T$2))+(SUMIFS('Modeling - Base Estimates'!X:X,'Modeling - Base Estimates'!A:A,$A19)*$U19*($U$2))+(SUMIFS('Modeling - Base Estimates'!X:X,'Modeling - Base Estimates'!A:A,$A19)*$V19*($V$2))</f>
        <v>1734799.743305963</v>
      </c>
      <c r="AO19" s="7">
        <f>SUM(AJ19:AN19)-(SUMIFS('Modeling - Base Estimates'!X:X,'Modeling - Base Estimates'!A:A,A19)-SUMIFS('Modeling - Base Estimates'!Z:Z,'Modeling - Base Estimates'!A:A,A19))</f>
        <v>0</v>
      </c>
      <c r="AQ19" s="7">
        <f t="shared" si="5"/>
        <v>9770101.3968492299</v>
      </c>
      <c r="AR19" s="7">
        <f>(W19*$O19*($N$2+'Modeling - Base Estimates'!$AA$51))</f>
        <v>4909483.8194162017</v>
      </c>
      <c r="AS19" s="7">
        <f>(W19*P19*('Modeling - Base Estimates'!$AE$51))</f>
        <v>3396057.3023575526</v>
      </c>
      <c r="AT19" s="7">
        <f t="shared" si="6"/>
        <v>5191169.6895749876</v>
      </c>
      <c r="AU19" s="7">
        <f t="shared" si="7"/>
        <v>1757994.4265463089</v>
      </c>
      <c r="AV19" s="5">
        <f t="shared" si="12"/>
        <v>-6.3329935073852539E-8</v>
      </c>
      <c r="AX19" s="7">
        <f>SUMIFS('Modeling - Base Estimates'!X:X,'Modeling - Base Estimates'!A:A,A19)</f>
        <v>357150052.84543407</v>
      </c>
      <c r="AY19" s="5">
        <f t="shared" si="13"/>
        <v>10369878.825127259</v>
      </c>
      <c r="AZ19" s="5">
        <f t="shared" si="13"/>
        <v>1656992.7247240567</v>
      </c>
      <c r="BA19" s="5">
        <f t="shared" si="13"/>
        <v>2546778.5580580621</v>
      </c>
      <c r="BB19" s="5">
        <f t="shared" si="13"/>
        <v>5122678.2684542025</v>
      </c>
      <c r="BC19" s="5">
        <f t="shared" si="13"/>
        <v>1734799.743305963</v>
      </c>
      <c r="BD19" s="5">
        <f t="shared" si="14"/>
        <v>335718924.72576451</v>
      </c>
      <c r="BF19" s="5">
        <f t="shared" si="15"/>
        <v>361925233.59871</v>
      </c>
      <c r="BG19" s="5">
        <f t="shared" si="16"/>
        <v>9770101.3968492299</v>
      </c>
      <c r="BH19" s="5">
        <f t="shared" si="17"/>
        <v>1542949.2570468038</v>
      </c>
      <c r="BI19" s="5">
        <f t="shared" si="18"/>
        <v>4909483.8194162017</v>
      </c>
      <c r="BJ19" s="5">
        <f t="shared" si="8"/>
        <v>3396057.3023575526</v>
      </c>
      <c r="BK19" s="5">
        <f t="shared" si="8"/>
        <v>5191169.6895749876</v>
      </c>
      <c r="BL19" s="5">
        <f t="shared" si="8"/>
        <v>1757994.4265463089</v>
      </c>
      <c r="BM19" s="5">
        <f t="shared" si="19"/>
        <v>335357477.7069189</v>
      </c>
      <c r="BO19" s="5">
        <f t="shared" si="20"/>
        <v>-361447.01884561777</v>
      </c>
      <c r="BP19" s="12">
        <f t="shared" si="21"/>
        <v>-1.0766358171225216E-3</v>
      </c>
    </row>
    <row r="20" spans="1:68" x14ac:dyDescent="0.25">
      <c r="A20" s="1">
        <v>22</v>
      </c>
      <c r="B20" s="1">
        <v>210022</v>
      </c>
      <c r="C20" s="4">
        <v>465603383.90000004</v>
      </c>
      <c r="D20" s="4">
        <f>SUM('Modeling - Base Estimates'!E20:G20)-SUM('Scenario 1 - increased MA % '!E20:F20)</f>
        <v>179739729.46500003</v>
      </c>
      <c r="E20" s="4">
        <f>((SUM('Modeling - Base Estimates'!F20:G20)/SUM('Modeling - Base Estimates'!E20:G20)+$E$63))*SUM('Modeling - Base Estimates'!E20:G20)*('Modeling - Base Estimates'!F20/SUM('Modeling - Base Estimates'!F20:G20))</f>
        <v>23538651.971726581</v>
      </c>
      <c r="F20" s="4">
        <f>((SUM('Modeling - Base Estimates'!F20:G20)/SUM('Modeling - Base Estimates'!E20:G20)+$E$63))*SUM('Modeling - Base Estimates'!E20:G20)*('Modeling - Base Estimates'!G20/SUM('Modeling - Base Estimates'!F20:G20))</f>
        <v>10936261.263273425</v>
      </c>
      <c r="G20" s="4">
        <v>9495691.4000000004</v>
      </c>
      <c r="H20" s="4">
        <v>29607100.600000001</v>
      </c>
      <c r="I20" s="4">
        <v>29703282.100000001</v>
      </c>
      <c r="J20" s="4">
        <v>39706360.899999999</v>
      </c>
      <c r="K20" s="4">
        <v>1919982.8</v>
      </c>
      <c r="L20" s="4">
        <v>17032436</v>
      </c>
      <c r="M20" s="4">
        <f t="shared" si="0"/>
        <v>123923887.39999998</v>
      </c>
      <c r="N20" s="12">
        <f t="shared" si="1"/>
        <v>0.3860361322107651</v>
      </c>
      <c r="O20" s="12">
        <f t="shared" si="2"/>
        <v>5.05551565681535E-2</v>
      </c>
      <c r="P20" s="12">
        <f t="shared" si="2"/>
        <v>2.3488362931705541E-2</v>
      </c>
      <c r="Q20" s="12">
        <f t="shared" si="9"/>
        <v>8.398304941958562E-2</v>
      </c>
      <c r="R20" s="12">
        <f t="shared" si="10"/>
        <v>6.3795245324891198E-2</v>
      </c>
      <c r="S20" s="12">
        <f t="shared" si="3"/>
        <v>8.5279364955233944E-2</v>
      </c>
      <c r="T20" s="12">
        <f t="shared" si="3"/>
        <v>4.123644428693337E-3</v>
      </c>
      <c r="U20" s="12">
        <f t="shared" si="3"/>
        <v>3.6581426572402535E-2</v>
      </c>
      <c r="V20" s="12">
        <f t="shared" si="11"/>
        <v>0.26615761758856915</v>
      </c>
      <c r="W20" s="4">
        <f>SUMIFS('Modeling - Base Estimates'!AK:AK,'Modeling - Base Estimates'!A:A,A20)</f>
        <v>259175192.68029818</v>
      </c>
      <c r="X20" s="4">
        <f>(W20*N20*(1-N$2))+(W20*O20*(1-'Modeling - Base Estimates'!$AA$51-N$2))+(W20*P20*(1-'Modeling - Base Estimates'!$AE$51))+(W20*Q20*(1-Q$2))+(W20*R20*(1-R$2))+(W20*S20*(1-S$2))+(W20*T20*(1-T$2))+(W20*U20*(1-U$2))+(W20*V20*(1-V$2))</f>
        <v>244540459.50707635</v>
      </c>
      <c r="Y20" s="5">
        <f>X20*N20*SUMIFS('Modeling - Base Estimates'!AN:AN,'Modeling - Base Estimates'!A:A,A20)</f>
        <v>671073.3805041468</v>
      </c>
      <c r="Z20" s="4">
        <f t="shared" si="4"/>
        <v>243869386.12657219</v>
      </c>
      <c r="AA20" s="4">
        <f>(((W20*N20*(1-N$2))/X20)*X20)-Y20-(((SUMIFS('Modeling - Base Estimates'!X:X,'Modeling - Base Estimates'!A:A,A20)*N20*(1-N$2))/SUMIFS('Modeling - Base Estimates'!Z:Z,'Modeling - Base Estimates'!A:A,A20))*SUMIFS('Modeling - Base Estimates'!Z:Z,'Modeling - Base Estimates'!A:A,A20))</f>
        <v>1331.8013295829296</v>
      </c>
      <c r="AB20" s="4"/>
      <c r="AC20" s="18">
        <f>1-((((W20*O20*(1-N$2-'Modeling - Base Estimates'!$AA$51))/X20)*X20)/('Modeling - Base Estimates'!X20*'Modeling - Base Estimates'!P20))</f>
        <v>-0.18095605074692855</v>
      </c>
      <c r="AD20" s="18">
        <f t="shared" si="22"/>
        <v>-0.25795605074692857</v>
      </c>
      <c r="AE20" s="18">
        <f>1-((((W20*P20*(1-'Modeling - Base Estimates'!$AE$51))/X20)*X20)/(SUMIFS('Modeling - Base Estimates'!X:X,'Modeling - Base Estimates'!A:A,A20)*'Modeling - Base Estimates'!Q20))</f>
        <v>-0.33515619691054499</v>
      </c>
      <c r="AF20" s="18">
        <f t="shared" si="23"/>
        <v>-0.412156196910545</v>
      </c>
      <c r="AG20" s="18">
        <f>$N20*(1-$N$2)+$O20*(1-$N$2-'Modeling - Base Estimates'!$AA$51)+$P20*(1-'Modeling - Base Estimates'!$AE$51)+$Q20*(1-$Q$2)+$R20*(1-$R$2)+$S20*(1-$S$2)+$T20*(1-$T$2)+$U20*(1-$U$2)+$V20*(1-$V$2)</f>
        <v>0.94353343380639709</v>
      </c>
      <c r="AH20" s="18" t="e">
        <f>$O20*(1-$N$2-#REF!)+$P20*(1-#REF!)+$Q20*(1-$Q$2)+$R20*(1-$R$2)+$S20*(1-$S$2)+$T20*(1-$T$2)+$U20*(1-$U$2)+$V20*(1-$V$2)</f>
        <v>#REF!</v>
      </c>
      <c r="AJ20" s="7">
        <f>(SUMIFS('Modeling - Base Estimates'!$X:$X,'Modeling - Base Estimates'!$A:$A,$A20)*SUMIFS('Modeling - Base Estimates'!O:O,'Modeling - Base Estimates'!$A:$A,$A20)*($N$2))</f>
        <v>8103567.7374740969</v>
      </c>
      <c r="AK20" s="7">
        <f>(SUMIFS('Modeling - Base Estimates'!$X:$X,'Modeling - Base Estimates'!$A:$A,$A20)*SUMIFS('Modeling - Base Estimates'!P:P,'Modeling - Base Estimates'!$A:$A,$A20)*($N$2))</f>
        <v>690391.59632901533</v>
      </c>
      <c r="AL20" s="7">
        <f>(SUMIFS('Modeling - Base Estimates'!$X:$X,'Modeling - Base Estimates'!$A:$A,$A20)*SUMIFS('Modeling - Base Estimates'!Q:Q,'Modeling - Base Estimates'!$A:$A,$A20)*($N$2))</f>
        <v>320761.90601278056</v>
      </c>
      <c r="AM20" s="7">
        <f>(SUMIFS('Modeling - Base Estimates'!$X:$X,'Modeling - Base Estimates'!$A:$A,$A20)*SUMIFS('Modeling - Base Estimates'!R:R,'Modeling - Base Estimates'!$A:$A,$A20)*($N$2))</f>
        <v>1663803.3903109229</v>
      </c>
      <c r="AN20" s="7">
        <f>(SUMIFS('Modeling - Base Estimates'!X:X,'Modeling - Base Estimates'!A:A,$A20)*$R20*($R$2))+(SUMIFS('Modeling - Base Estimates'!X:X,'Modeling - Base Estimates'!A:A,$A20)*$S20*($S$2))+(SUMIFS('Modeling - Base Estimates'!X:X,'Modeling - Base Estimates'!A:A,$A20)*$T20*($T$2))+(SUMIFS('Modeling - Base Estimates'!X:X,'Modeling - Base Estimates'!A:A,$A20)*$U20*($U$2))+(SUMIFS('Modeling - Base Estimates'!X:X,'Modeling - Base Estimates'!A:A,$A20)*$V20*($V$2))</f>
        <v>2198939.60257329</v>
      </c>
      <c r="AO20" s="7">
        <f>SUM(AJ20:AN20)-(SUMIFS('Modeling - Base Estimates'!X:X,'Modeling - Base Estimates'!A:A,A20)-SUMIFS('Modeling - Base Estimates'!Z:Z,'Modeling - Base Estimates'!A:A,A20))</f>
        <v>-3.3527612686157227E-8</v>
      </c>
      <c r="AQ20" s="7">
        <f t="shared" si="5"/>
        <v>7703926.1489407225</v>
      </c>
      <c r="AR20" s="7">
        <f>(W20*$O20*($N$2+'Modeling - Base Estimates'!$AA$51))</f>
        <v>2514043.3137600389</v>
      </c>
      <c r="AS20" s="7">
        <f>(W20*P20*('Modeling - Base Estimates'!$AE$51))</f>
        <v>525688.69576693547</v>
      </c>
      <c r="AT20" s="7">
        <f t="shared" si="6"/>
        <v>1676006.8721704083</v>
      </c>
      <c r="AU20" s="7">
        <f t="shared" si="7"/>
        <v>2215068.1425837129</v>
      </c>
      <c r="AV20" s="5">
        <f t="shared" si="12"/>
        <v>0</v>
      </c>
      <c r="AX20" s="7">
        <f>SUMIFS('Modeling - Base Estimates'!X:X,'Modeling - Base Estimates'!A:A,A20)</f>
        <v>257288064.52180392</v>
      </c>
      <c r="AY20" s="5">
        <f t="shared" si="13"/>
        <v>8103567.7374740969</v>
      </c>
      <c r="AZ20" s="5">
        <f t="shared" si="13"/>
        <v>690391.59632901533</v>
      </c>
      <c r="BA20" s="5">
        <f t="shared" si="13"/>
        <v>320761.90601278056</v>
      </c>
      <c r="BB20" s="5">
        <f t="shared" si="13"/>
        <v>1663803.3903109229</v>
      </c>
      <c r="BC20" s="5">
        <f t="shared" si="13"/>
        <v>2198939.60257329</v>
      </c>
      <c r="BD20" s="5">
        <f t="shared" si="14"/>
        <v>244310600.28910381</v>
      </c>
      <c r="BF20" s="5">
        <f t="shared" si="15"/>
        <v>259175192.68029818</v>
      </c>
      <c r="BG20" s="5">
        <f t="shared" si="16"/>
        <v>7703926.1489407225</v>
      </c>
      <c r="BH20" s="5">
        <f t="shared" si="17"/>
        <v>671073.3805041468</v>
      </c>
      <c r="BI20" s="5">
        <f t="shared" si="18"/>
        <v>2514043.3137600389</v>
      </c>
      <c r="BJ20" s="5">
        <f t="shared" si="8"/>
        <v>525688.69576693547</v>
      </c>
      <c r="BK20" s="5">
        <f t="shared" si="8"/>
        <v>1676006.8721704083</v>
      </c>
      <c r="BL20" s="5">
        <f t="shared" si="8"/>
        <v>2215068.1425837129</v>
      </c>
      <c r="BM20" s="5">
        <f t="shared" si="19"/>
        <v>243869386.12657222</v>
      </c>
      <c r="BO20" s="5">
        <f t="shared" si="20"/>
        <v>-441214.1625315845</v>
      </c>
      <c r="BP20" s="12">
        <f t="shared" si="21"/>
        <v>-1.8059558693297622E-3</v>
      </c>
    </row>
    <row r="21" spans="1:68" x14ac:dyDescent="0.25">
      <c r="A21" s="1">
        <v>23</v>
      </c>
      <c r="B21" s="1">
        <v>210023</v>
      </c>
      <c r="C21" s="4">
        <v>791316600</v>
      </c>
      <c r="D21" s="4">
        <f>SUM('Modeling - Base Estimates'!E21:G21)-SUM('Scenario 1 - increased MA % '!E21:F21)</f>
        <v>263428435</v>
      </c>
      <c r="E21" s="4">
        <f>((SUM('Modeling - Base Estimates'!F21:G21)/SUM('Modeling - Base Estimates'!E21:G21)+$E$63))*SUM('Modeling - Base Estimates'!E21:G21)*('Modeling - Base Estimates'!F21/SUM('Modeling - Base Estimates'!F21:G21))</f>
        <v>56262515.772064179</v>
      </c>
      <c r="F21" s="4">
        <f>((SUM('Modeling - Base Estimates'!F21:G21)/SUM('Modeling - Base Estimates'!E21:G21)+$E$63))*SUM('Modeling - Base Estimates'!E21:G21)*('Modeling - Base Estimates'!G21/SUM('Modeling - Base Estimates'!F21:G21))</f>
        <v>46698349.227935821</v>
      </c>
      <c r="G21" s="4">
        <v>15087400</v>
      </c>
      <c r="H21" s="4">
        <v>84652300</v>
      </c>
      <c r="I21" s="4">
        <v>43978500</v>
      </c>
      <c r="J21" s="4">
        <v>55897000</v>
      </c>
      <c r="K21" s="4">
        <v>2921510.4</v>
      </c>
      <c r="L21" s="4">
        <v>16774200</v>
      </c>
      <c r="M21" s="4">
        <f t="shared" si="0"/>
        <v>205616389.60000002</v>
      </c>
      <c r="N21" s="12">
        <f t="shared" si="1"/>
        <v>0.33289891176300357</v>
      </c>
      <c r="O21" s="12">
        <f t="shared" si="2"/>
        <v>7.1099880594017839E-2</v>
      </c>
      <c r="P21" s="12">
        <f t="shared" si="2"/>
        <v>5.9013483639716167E-2</v>
      </c>
      <c r="Q21" s="12">
        <f t="shared" si="9"/>
        <v>0.12604272423957744</v>
      </c>
      <c r="R21" s="12">
        <f t="shared" si="10"/>
        <v>5.5576364757165465E-2</v>
      </c>
      <c r="S21" s="12">
        <f t="shared" si="10"/>
        <v>7.063797220985886E-2</v>
      </c>
      <c r="T21" s="12">
        <f t="shared" si="10"/>
        <v>3.6919614728163166E-3</v>
      </c>
      <c r="U21" s="12">
        <f t="shared" si="10"/>
        <v>2.1197836618112142E-2</v>
      </c>
      <c r="V21" s="12">
        <f t="shared" si="11"/>
        <v>0.2598408647057322</v>
      </c>
      <c r="W21" s="4">
        <f>SUMIFS('Modeling - Base Estimates'!AK:AK,'Modeling - Base Estimates'!A:A,A21)</f>
        <v>445527282.30360097</v>
      </c>
      <c r="X21" s="4">
        <f>(W21*N21*(1-N$2))+(W21*O21*(1-'Modeling - Base Estimates'!$AA$51-N$2))+(W21*P21*(1-'Modeling - Base Estimates'!$AE$51))+(W21*Q21*(1-Q$2))+(W21*R21*(1-R$2))+(W21*S21*(1-S$2))+(W21*T21*(1-T$2))+(W21*U21*(1-U$2))+(W21*V21*(1-V$2))</f>
        <v>417899873.60137689</v>
      </c>
      <c r="Y21" s="5">
        <f>X21*N21*SUMIFS('Modeling - Base Estimates'!AN:AN,'Modeling - Base Estimates'!A:A,A21)</f>
        <v>1589803.2441848158</v>
      </c>
      <c r="Z21" s="4">
        <f t="shared" si="4"/>
        <v>416310070.3571921</v>
      </c>
      <c r="AA21" s="4">
        <f>(((W21*N21*(1-N$2))/X21)*X21)-Y21-(((SUMIFS('Modeling - Base Estimates'!X:X,'Modeling - Base Estimates'!A:A,A21)*N21*(1-N$2))/SUMIFS('Modeling - Base Estimates'!Z:Z,'Modeling - Base Estimates'!A:A,A21))*SUMIFS('Modeling - Base Estimates'!Z:Z,'Modeling - Base Estimates'!A:A,A21))</f>
        <v>2629.51752820611</v>
      </c>
      <c r="AB21" s="4"/>
      <c r="AC21" s="18">
        <f>1-((((W21*O21*(1-N$2-'Modeling - Base Estimates'!$AA$51))/X21)*X21)/('Modeling - Base Estimates'!X21*'Modeling - Base Estimates'!P21))</f>
        <v>5.3953136792576073E-3</v>
      </c>
      <c r="AD21" s="18">
        <f t="shared" si="22"/>
        <v>-7.1604686320742392E-2</v>
      </c>
      <c r="AE21" s="18">
        <f>1-((((W21*P21*(1-'Modeling - Base Estimates'!$AE$51))/X21)*X21)/(SUMIFS('Modeling - Base Estimates'!X:X,'Modeling - Base Estimates'!A:A,A21)*'Modeling - Base Estimates'!Q21))</f>
        <v>-0.12447250647262265</v>
      </c>
      <c r="AF21" s="18">
        <f t="shared" si="23"/>
        <v>-0.20147250647262266</v>
      </c>
      <c r="AG21" s="18">
        <f>$N21*(1-$N$2)+$O21*(1-$N$2-'Modeling - Base Estimates'!$AA$51)+$P21*(1-'Modeling - Base Estimates'!$AE$51)+$Q21*(1-$Q$2)+$R21*(1-$R$2)+$S21*(1-$S$2)+$T21*(1-$T$2)+$U21*(1-$U$2)+$V21*(1-$V$2)</f>
        <v>0.93798941209755671</v>
      </c>
      <c r="AH21" s="18" t="e">
        <f>$O21*(1-$N$2-#REF!)+$P21*(1-#REF!)+$Q21*(1-$Q$2)+$R21*(1-$R$2)+$S21*(1-$S$2)+$T21*(1-$T$2)+$U21*(1-$U$2)+$V21*(1-$V$2)</f>
        <v>#REF!</v>
      </c>
      <c r="AJ21" s="7">
        <f>(SUMIFS('Modeling - Base Estimates'!$X:$X,'Modeling - Base Estimates'!$A:$A,$A21)*SUMIFS('Modeling - Base Estimates'!O:O,'Modeling - Base Estimates'!$A:$A,$A21)*($N$2))</f>
        <v>12072407.888813168</v>
      </c>
      <c r="AK21" s="7">
        <f>(SUMIFS('Modeling - Base Estimates'!$X:$X,'Modeling - Base Estimates'!$A:$A,$A21)*SUMIFS('Modeling - Base Estimates'!P:P,'Modeling - Base Estimates'!$A:$A,$A21)*($N$2))</f>
        <v>1981814.5658354815</v>
      </c>
      <c r="AL21" s="7">
        <f>(SUMIFS('Modeling - Base Estimates'!$X:$X,'Modeling - Base Estimates'!$A:$A,$A21)*SUMIFS('Modeling - Base Estimates'!Q:Q,'Modeling - Base Estimates'!$A:$A,$A21)*($N$2))</f>
        <v>1644922.3329317877</v>
      </c>
      <c r="AM21" s="7">
        <f>(SUMIFS('Modeling - Base Estimates'!$X:$X,'Modeling - Base Estimates'!$A:$A,$A21)*SUMIFS('Modeling - Base Estimates'!R:R,'Modeling - Base Estimates'!$A:$A,$A21)*($N$2))</f>
        <v>4273672.8156904038</v>
      </c>
      <c r="AN21" s="7">
        <f>(SUMIFS('Modeling - Base Estimates'!X:X,'Modeling - Base Estimates'!A:A,$A21)*$R21*($R$2))+(SUMIFS('Modeling - Base Estimates'!X:X,'Modeling - Base Estimates'!A:A,$A21)*$S21*($S$2))+(SUMIFS('Modeling - Base Estimates'!X:X,'Modeling - Base Estimates'!A:A,$A21)*$T21*($T$2))+(SUMIFS('Modeling - Base Estimates'!X:X,'Modeling - Base Estimates'!A:A,$A21)*$U21*($U$2))+(SUMIFS('Modeling - Base Estimates'!X:X,'Modeling - Base Estimates'!A:A,$A21)*$V21*($V$2))</f>
        <v>3493643.7691864027</v>
      </c>
      <c r="AO21" s="7">
        <f>SUM(AJ21:AN21)-(SUMIFS('Modeling - Base Estimates'!X:X,'Modeling - Base Estimates'!A:A,A21)-SUMIFS('Modeling - Base Estimates'!Z:Z,'Modeling - Base Estimates'!A:A,A21))</f>
        <v>1.0058283805847168E-7</v>
      </c>
      <c r="AQ21" s="7">
        <f t="shared" si="5"/>
        <v>11420297.152848989</v>
      </c>
      <c r="AR21" s="7">
        <f>(W21*$O21*($N$2+'Modeling - Base Estimates'!$AA$51))</f>
        <v>6077948.8511025636</v>
      </c>
      <c r="AS21" s="7">
        <f>(W21*P21*('Modeling - Base Estimates'!$AE$51))</f>
        <v>2270429.4701460712</v>
      </c>
      <c r="AT21" s="7">
        <f t="shared" si="6"/>
        <v>4323971.3736142879</v>
      </c>
      <c r="AU21" s="7">
        <f t="shared" si="7"/>
        <v>3534761.8545121392</v>
      </c>
      <c r="AV21" s="5">
        <f t="shared" si="12"/>
        <v>0</v>
      </c>
      <c r="AX21" s="7">
        <f>SUMIFS('Modeling - Base Estimates'!X:X,'Modeling - Base Estimates'!A:A,A21)</f>
        <v>440344690.21884191</v>
      </c>
      <c r="AY21" s="5">
        <f t="shared" si="13"/>
        <v>12072407.888813168</v>
      </c>
      <c r="AZ21" s="5">
        <f t="shared" si="13"/>
        <v>1981814.5658354815</v>
      </c>
      <c r="BA21" s="5">
        <f t="shared" si="13"/>
        <v>1644922.3329317877</v>
      </c>
      <c r="BB21" s="5">
        <f t="shared" si="13"/>
        <v>4273672.8156904038</v>
      </c>
      <c r="BC21" s="5">
        <f t="shared" si="13"/>
        <v>3493643.7691864027</v>
      </c>
      <c r="BD21" s="5">
        <f t="shared" si="14"/>
        <v>416878228.84638464</v>
      </c>
      <c r="BF21" s="5">
        <f t="shared" si="15"/>
        <v>445527282.30360097</v>
      </c>
      <c r="BG21" s="5">
        <f t="shared" si="16"/>
        <v>11420297.152848989</v>
      </c>
      <c r="BH21" s="5">
        <f t="shared" si="17"/>
        <v>1589803.2441848158</v>
      </c>
      <c r="BI21" s="5">
        <f t="shared" si="18"/>
        <v>6077948.8511025636</v>
      </c>
      <c r="BJ21" s="5">
        <f t="shared" si="18"/>
        <v>2270429.4701460712</v>
      </c>
      <c r="BK21" s="5">
        <f t="shared" si="18"/>
        <v>4323971.3736142879</v>
      </c>
      <c r="BL21" s="5">
        <f t="shared" si="18"/>
        <v>3534761.8545121392</v>
      </c>
      <c r="BM21" s="5">
        <f t="shared" si="19"/>
        <v>416310070.3571921</v>
      </c>
      <c r="BO21" s="5">
        <f t="shared" si="20"/>
        <v>-568158.48919254541</v>
      </c>
      <c r="BP21" s="12">
        <f t="shared" si="21"/>
        <v>-1.3628883685406032E-3</v>
      </c>
    </row>
    <row r="22" spans="1:68" x14ac:dyDescent="0.25">
      <c r="A22" s="1">
        <v>24</v>
      </c>
      <c r="B22" s="1">
        <v>210024</v>
      </c>
      <c r="C22" s="4">
        <v>524653145.69999999</v>
      </c>
      <c r="D22" s="4">
        <f>SUM('Modeling - Base Estimates'!E22:G22)-SUM('Scenario 1 - increased MA % '!E22:F22)</f>
        <v>176526175.125</v>
      </c>
      <c r="E22" s="4">
        <f>((SUM('Modeling - Base Estimates'!F22:G22)/SUM('Modeling - Base Estimates'!E22:G22)+$E$63))*SUM('Modeling - Base Estimates'!E22:G22)*('Modeling - Base Estimates'!F22/SUM('Modeling - Base Estimates'!F22:G22))</f>
        <v>40935505.954548948</v>
      </c>
      <c r="F22" s="4">
        <f>((SUM('Modeling - Base Estimates'!F22:G22)/SUM('Modeling - Base Estimates'!E22:G22)+$E$63))*SUM('Modeling - Base Estimates'!E22:G22)*('Modeling - Base Estimates'!G22/SUM('Modeling - Base Estimates'!F22:G22))</f>
        <v>65360156.420451052</v>
      </c>
      <c r="G22" s="4">
        <v>19240376.5</v>
      </c>
      <c r="H22" s="4">
        <v>77195497.299999997</v>
      </c>
      <c r="I22" s="4">
        <v>15617665.699999999</v>
      </c>
      <c r="J22" s="4">
        <v>26523327</v>
      </c>
      <c r="K22" s="4">
        <v>3803650</v>
      </c>
      <c r="L22" s="4">
        <v>19534045</v>
      </c>
      <c r="M22" s="4">
        <f t="shared" si="0"/>
        <v>79916746.699999988</v>
      </c>
      <c r="N22" s="12">
        <f t="shared" si="1"/>
        <v>0.33646262596877441</v>
      </c>
      <c r="O22" s="12">
        <f t="shared" si="2"/>
        <v>7.8023940750287873E-2</v>
      </c>
      <c r="P22" s="12">
        <f t="shared" si="2"/>
        <v>0.1245778414865817</v>
      </c>
      <c r="Q22" s="12">
        <f t="shared" si="9"/>
        <v>0.1838088165302694</v>
      </c>
      <c r="R22" s="12">
        <f t="shared" si="10"/>
        <v>2.9767601372450894E-2</v>
      </c>
      <c r="S22" s="12">
        <f t="shared" si="10"/>
        <v>5.0554022628821152E-2</v>
      </c>
      <c r="T22" s="12">
        <f t="shared" si="10"/>
        <v>7.24983740433904E-3</v>
      </c>
      <c r="U22" s="12">
        <f t="shared" si="10"/>
        <v>3.7232303208508143E-2</v>
      </c>
      <c r="V22" s="12">
        <f t="shared" si="11"/>
        <v>0.15232301064996739</v>
      </c>
      <c r="W22" s="4">
        <f>SUMIFS('Modeling - Base Estimates'!AK:AK,'Modeling - Base Estimates'!A:A,A22)</f>
        <v>288656169.42362332</v>
      </c>
      <c r="X22" s="4">
        <f>(W22*N22*(1-N$2))+(W22*O22*(1-'Modeling - Base Estimates'!$AA$51-N$2))+(W22*P22*(1-'Modeling - Base Estimates'!$AE$51))+(W22*Q22*(1-Q$2))+(W22*R22*(1-R$2))+(W22*S22*(1-S$2))+(W22*T22*(1-T$2))+(W22*U22*(1-U$2))+(W22*V22*(1-V$2))</f>
        <v>268259236.07890242</v>
      </c>
      <c r="Y22" s="5">
        <f>X22*N22*SUMIFS('Modeling - Base Estimates'!AN:AN,'Modeling - Base Estimates'!A:A,A22)</f>
        <v>1305146.0891510462</v>
      </c>
      <c r="Z22" s="4">
        <f t="shared" si="4"/>
        <v>266954089.98975137</v>
      </c>
      <c r="AA22" s="4">
        <f>(((W22*N22*(1-N$2))/X22)*X22)-Y22-(((SUMIFS('Modeling - Base Estimates'!X:X,'Modeling - Base Estimates'!A:A,A22)*N22*(1-N$2))/SUMIFS('Modeling - Base Estimates'!Z:Z,'Modeling - Base Estimates'!A:A,A22))*SUMIFS('Modeling - Base Estimates'!Z:Z,'Modeling - Base Estimates'!A:A,A22))</f>
        <v>1892.2678486257792</v>
      </c>
      <c r="AB22" s="4"/>
      <c r="AC22" s="18">
        <f>1-((((W22*O22*(1-N$2-'Modeling - Base Estimates'!$AA$51))/X22)*X22)/('Modeling - Base Estimates'!X22*'Modeling - Base Estimates'!P22))</f>
        <v>5.4074186892364096E-2</v>
      </c>
      <c r="AD22" s="18">
        <f t="shared" si="22"/>
        <v>-2.2925813107635903E-2</v>
      </c>
      <c r="AE22" s="18">
        <f>1-((((W22*P22*(1-'Modeling - Base Estimates'!$AE$51))/X22)*X22)/(SUMIFS('Modeling - Base Estimates'!X:X,'Modeling - Base Estimates'!A:A,A22)*'Modeling - Base Estimates'!Q22))</f>
        <v>-6.9437520887854376E-2</v>
      </c>
      <c r="AF22" s="18">
        <f t="shared" si="23"/>
        <v>-0.14643752088785439</v>
      </c>
      <c r="AG22" s="18">
        <f>$N22*(1-$N$2)+$O22*(1-$N$2-'Modeling - Base Estimates'!$AA$51)+$P22*(1-'Modeling - Base Estimates'!$AE$51)+$Q22*(1-$Q$2)+$R22*(1-$R$2)+$S22*(1-$S$2)+$T22*(1-$T$2)+$U22*(1-$U$2)+$V22*(1-$V$2)</f>
        <v>0.92933830797571881</v>
      </c>
      <c r="AH22" s="18" t="e">
        <f>$O22*(1-$N$2-#REF!)+$P22*(1-#REF!)+$Q22*(1-$Q$2)+$R22*(1-$R$2)+$S22*(1-$S$2)+$T22*(1-$T$2)+$U22*(1-$U$2)+$V22*(1-$V$2)</f>
        <v>#REF!</v>
      </c>
      <c r="AJ22" s="7">
        <f>(SUMIFS('Modeling - Base Estimates'!$X:$X,'Modeling - Base Estimates'!$A:$A,$A22)*SUMIFS('Modeling - Base Estimates'!O:O,'Modeling - Base Estimates'!$A:$A,$A22)*($N$2))</f>
        <v>7959698.7778001623</v>
      </c>
      <c r="AK22" s="7">
        <f>(SUMIFS('Modeling - Base Estimates'!$X:$X,'Modeling - Base Estimates'!$A:$A,$A22)*SUMIFS('Modeling - Base Estimates'!P:P,'Modeling - Base Estimates'!$A:$A,$A22)*($N$2))</f>
        <v>1481569.3697092482</v>
      </c>
      <c r="AL22" s="7">
        <f>(SUMIFS('Modeling - Base Estimates'!$X:$X,'Modeling - Base Estimates'!$A:$A,$A22)*SUMIFS('Modeling - Base Estimates'!Q:Q,'Modeling - Base Estimates'!$A:$A,$A22)*($N$2))</f>
        <v>2365565.1370099825</v>
      </c>
      <c r="AM22" s="7">
        <f>(SUMIFS('Modeling - Base Estimates'!$X:$X,'Modeling - Base Estimates'!$A:$A,$A22)*SUMIFS('Modeling - Base Estimates'!R:R,'Modeling - Base Estimates'!$A:$A,$A22)*($N$2))</f>
        <v>4025864.1081898483</v>
      </c>
      <c r="AN22" s="7">
        <f>(SUMIFS('Modeling - Base Estimates'!X:X,'Modeling - Base Estimates'!A:A,$A22)*$R22*($R$2))+(SUMIFS('Modeling - Base Estimates'!X:X,'Modeling - Base Estimates'!A:A,$A22)*$S22*($S$2))+(SUMIFS('Modeling - Base Estimates'!X:X,'Modeling - Base Estimates'!A:A,$A22)*$T22*($T$2))+(SUMIFS('Modeling - Base Estimates'!X:X,'Modeling - Base Estimates'!A:A,$A22)*$U22*($U$2))+(SUMIFS('Modeling - Base Estimates'!X:X,'Modeling - Base Estimates'!A:A,$A22)*$V22*($V$2))</f>
        <v>1385915.720813574</v>
      </c>
      <c r="AO22" s="7">
        <f>SUM(AJ22:AN22)-(SUMIFS('Modeling - Base Estimates'!X:X,'Modeling - Base Estimates'!A:A,A22)-SUMIFS('Modeling - Base Estimates'!Z:Z,'Modeling - Base Estimates'!A:A,A22))</f>
        <v>0</v>
      </c>
      <c r="AQ22" s="7">
        <f t="shared" si="5"/>
        <v>7478394.9830097007</v>
      </c>
      <c r="AR22" s="7">
        <f>(W22*$O22*($N$2+'Modeling - Base Estimates'!$AA$51))</f>
        <v>4321381.3315139981</v>
      </c>
      <c r="AS22" s="7">
        <f>(W22*P22*('Modeling - Base Estimates'!$AE$51))</f>
        <v>3105303.8741294588</v>
      </c>
      <c r="AT22" s="7">
        <f t="shared" si="6"/>
        <v>4085431.2642156198</v>
      </c>
      <c r="AU22" s="7">
        <f t="shared" si="7"/>
        <v>1406421.8918520673</v>
      </c>
      <c r="AV22" s="5">
        <f t="shared" si="12"/>
        <v>-5.5879354476928711E-8</v>
      </c>
      <c r="AX22" s="7">
        <f>SUMIFS('Modeling - Base Estimates'!X:X,'Modeling - Base Estimates'!A:A,A22)</f>
        <v>284447451.67270559</v>
      </c>
      <c r="AY22" s="5">
        <f t="shared" si="13"/>
        <v>7959698.7778001623</v>
      </c>
      <c r="AZ22" s="5">
        <f t="shared" si="13"/>
        <v>1481569.3697092482</v>
      </c>
      <c r="BA22" s="5">
        <f t="shared" si="13"/>
        <v>2365565.1370099825</v>
      </c>
      <c r="BB22" s="5">
        <f t="shared" si="13"/>
        <v>4025864.1081898483</v>
      </c>
      <c r="BC22" s="5">
        <f t="shared" si="13"/>
        <v>1385915.720813574</v>
      </c>
      <c r="BD22" s="5">
        <f t="shared" si="14"/>
        <v>267228838.55918276</v>
      </c>
      <c r="BF22" s="5">
        <f t="shared" si="15"/>
        <v>288656169.42362332</v>
      </c>
      <c r="BG22" s="5">
        <f t="shared" si="16"/>
        <v>7478394.9830097007</v>
      </c>
      <c r="BH22" s="5">
        <f t="shared" si="17"/>
        <v>1305146.0891510462</v>
      </c>
      <c r="BI22" s="5">
        <f t="shared" si="18"/>
        <v>4321381.3315139981</v>
      </c>
      <c r="BJ22" s="5">
        <f t="shared" si="18"/>
        <v>3105303.8741294588</v>
      </c>
      <c r="BK22" s="5">
        <f t="shared" si="18"/>
        <v>4085431.2642156198</v>
      </c>
      <c r="BL22" s="5">
        <f t="shared" si="18"/>
        <v>1406421.8918520673</v>
      </c>
      <c r="BM22" s="5">
        <f t="shared" si="19"/>
        <v>266954089.98975143</v>
      </c>
      <c r="BO22" s="5">
        <f t="shared" si="20"/>
        <v>-274748.56943133473</v>
      </c>
      <c r="BP22" s="12">
        <f t="shared" si="21"/>
        <v>-1.0281396682809238E-3</v>
      </c>
    </row>
    <row r="23" spans="1:68" x14ac:dyDescent="0.25">
      <c r="A23" s="1">
        <v>28</v>
      </c>
      <c r="B23" s="1">
        <v>210028</v>
      </c>
      <c r="C23" s="4">
        <v>256129029.40000001</v>
      </c>
      <c r="D23" s="4">
        <f>SUM('Modeling - Base Estimates'!E23:G23)-SUM('Scenario 1 - increased MA % '!E23:F23)</f>
        <v>84444032.189999983</v>
      </c>
      <c r="E23" s="4">
        <f>((SUM('Modeling - Base Estimates'!F23:G23)/SUM('Modeling - Base Estimates'!E23:G23)+$E$63))*SUM('Modeling - Base Estimates'!E23:G23)*('Modeling - Base Estimates'!F23/SUM('Modeling - Base Estimates'!F23:G23))</f>
        <v>11079268.443346698</v>
      </c>
      <c r="F23" s="4">
        <f>((SUM('Modeling - Base Estimates'!F23:G23)/SUM('Modeling - Base Estimates'!E23:G23)+$E$63))*SUM('Modeling - Base Estimates'!E23:G23)*('Modeling - Base Estimates'!G23/SUM('Modeling - Base Estimates'!F23:G23))</f>
        <v>18688705.566653304</v>
      </c>
      <c r="G23" s="4">
        <v>4452601.5999999996</v>
      </c>
      <c r="H23" s="4">
        <v>35609712</v>
      </c>
      <c r="I23" s="4">
        <v>8729617.5999999996</v>
      </c>
      <c r="J23" s="4">
        <v>22577486.700000003</v>
      </c>
      <c r="K23" s="4">
        <v>1180952.6000000001</v>
      </c>
      <c r="L23" s="4">
        <v>10697469</v>
      </c>
      <c r="M23" s="4">
        <f t="shared" si="0"/>
        <v>58669183.700000048</v>
      </c>
      <c r="N23" s="12">
        <f t="shared" si="1"/>
        <v>0.32969332835023024</v>
      </c>
      <c r="O23" s="12">
        <f t="shared" si="2"/>
        <v>4.3256590122957371E-2</v>
      </c>
      <c r="P23" s="12">
        <f t="shared" si="2"/>
        <v>7.2965979726831012E-2</v>
      </c>
      <c r="Q23" s="12">
        <f t="shared" si="9"/>
        <v>0.15641457625419791</v>
      </c>
      <c r="R23" s="12">
        <f t="shared" si="10"/>
        <v>3.4082890254375824E-2</v>
      </c>
      <c r="S23" s="12">
        <f t="shared" si="10"/>
        <v>8.8148878527706642E-2</v>
      </c>
      <c r="T23" s="12">
        <f t="shared" si="10"/>
        <v>4.6107721673191958E-3</v>
      </c>
      <c r="U23" s="12">
        <f t="shared" si="10"/>
        <v>4.1765937367816378E-2</v>
      </c>
      <c r="V23" s="12">
        <f t="shared" si="11"/>
        <v>0.22906104722856552</v>
      </c>
      <c r="W23" s="4">
        <f>SUMIFS('Modeling - Base Estimates'!AK:AK,'Modeling - Base Estimates'!A:A,A23)</f>
        <v>144555155.22922888</v>
      </c>
      <c r="X23" s="4">
        <f>(W23*N23*(1-N$2))+(W23*O23*(1-'Modeling - Base Estimates'!$AA$51-N$2))+(W23*P23*(1-'Modeling - Base Estimates'!$AE$51))+(W23*Q23*(1-Q$2))+(W23*R23*(1-R$2))+(W23*S23*(1-S$2))+(W23*T23*(1-T$2))+(W23*U23*(1-U$2))+(W23*V23*(1-V$2))</f>
        <v>135992537.0634394</v>
      </c>
      <c r="Y23" s="5">
        <f>X23*N23*SUMIFS('Modeling - Base Estimates'!AN:AN,'Modeling - Base Estimates'!A:A,A23)</f>
        <v>323647.99492776062</v>
      </c>
      <c r="Z23" s="4">
        <f t="shared" si="4"/>
        <v>135668889.06851164</v>
      </c>
      <c r="AA23" s="4">
        <f>(((W23*N23*(1-N$2))/X23)*X23)-Y23-(((SUMIFS('Modeling - Base Estimates'!X:X,'Modeling - Base Estimates'!A:A,A23)*N23*(1-N$2))/SUMIFS('Modeling - Base Estimates'!Z:Z,'Modeling - Base Estimates'!A:A,A23))*SUMIFS('Modeling - Base Estimates'!Z:Z,'Modeling - Base Estimates'!A:A,A23))</f>
        <v>372.98431760072708</v>
      </c>
      <c r="AB23" s="4"/>
      <c r="AC23" s="18">
        <f>1-((((W23*O23*(1-N$2-'Modeling - Base Estimates'!$AA$51))/X23)*X23)/('Modeling - Base Estimates'!X23*'Modeling - Base Estimates'!P23))</f>
        <v>-7.3757771832028141E-3</v>
      </c>
      <c r="AD23" s="18">
        <f t="shared" si="22"/>
        <v>-8.4375777183202813E-2</v>
      </c>
      <c r="AE23" s="18">
        <f>1-((((W23*P23*(1-'Modeling - Base Estimates'!$AE$51))/X23)*X23)/(SUMIFS('Modeling - Base Estimates'!X:X,'Modeling - Base Estimates'!A:A,A23)*'Modeling - Base Estimates'!Q23))</f>
        <v>-0.13891114802540261</v>
      </c>
      <c r="AF23" s="18">
        <f t="shared" si="23"/>
        <v>-0.21591114802540262</v>
      </c>
      <c r="AG23" s="18">
        <f>$N23*(1-$N$2)+$O23*(1-$N$2-'Modeling - Base Estimates'!$AA$51)+$P23*(1-'Modeling - Base Estimates'!$AE$51)+$Q23*(1-$Q$2)+$R23*(1-$R$2)+$S23*(1-$S$2)+$T23*(1-$T$2)+$U23*(1-$U$2)+$V23*(1-$V$2)</f>
        <v>0.94076573642627104</v>
      </c>
      <c r="AH23" s="18" t="e">
        <f>$O23*(1-$N$2-#REF!)+$P23*(1-#REF!)+$Q23*(1-$Q$2)+$R23*(1-$R$2)+$S23*(1-$S$2)+$T23*(1-$T$2)+$U23*(1-$U$2)+$V23*(1-$V$2)</f>
        <v>#REF!</v>
      </c>
      <c r="AJ23" s="7">
        <f>(SUMIFS('Modeling - Base Estimates'!$X:$X,'Modeling - Base Estimates'!$A:$A,$A23)*SUMIFS('Modeling - Base Estimates'!O:O,'Modeling - Base Estimates'!$A:$A,$A23)*($N$2))</f>
        <v>3889042.8636914631</v>
      </c>
      <c r="AK23" s="7">
        <f>(SUMIFS('Modeling - Base Estimates'!$X:$X,'Modeling - Base Estimates'!$A:$A,$A23)*SUMIFS('Modeling - Base Estimates'!P:P,'Modeling - Base Estimates'!$A:$A,$A23)*($N$2))</f>
        <v>386246.63086322136</v>
      </c>
      <c r="AL23" s="7">
        <f>(SUMIFS('Modeling - Base Estimates'!$X:$X,'Modeling - Base Estimates'!$A:$A,$A23)*SUMIFS('Modeling - Base Estimates'!Q:Q,'Modeling - Base Estimates'!$A:$A,$A23)*($N$2))</f>
        <v>651527.63444858836</v>
      </c>
      <c r="AM23" s="7">
        <f>(SUMIFS('Modeling - Base Estimates'!$X:$X,'Modeling - Base Estimates'!$A:$A,$A23)*SUMIFS('Modeling - Base Estimates'!R:R,'Modeling - Base Estimates'!$A:$A,$A23)*($N$2))</f>
        <v>1728186.8994258223</v>
      </c>
      <c r="AN23" s="7">
        <f>(SUMIFS('Modeling - Base Estimates'!X:X,'Modeling - Base Estimates'!A:A,$A23)*$R23*($R$2))+(SUMIFS('Modeling - Base Estimates'!X:X,'Modeling - Base Estimates'!A:A,$A23)*$S23*($S$2))+(SUMIFS('Modeling - Base Estimates'!X:X,'Modeling - Base Estimates'!A:A,$A23)*$T23*($T$2))+(SUMIFS('Modeling - Base Estimates'!X:X,'Modeling - Base Estimates'!A:A,$A23)*$U23*($U$2))+(SUMIFS('Modeling - Base Estimates'!X:X,'Modeling - Base Estimates'!A:A,$A23)*$V23*($V$2))</f>
        <v>1033601.1805770602</v>
      </c>
      <c r="AO23" s="7">
        <f>SUM(AJ23:AN23)-(SUMIFS('Modeling - Base Estimates'!X:X,'Modeling - Base Estimates'!A:A,A23)-SUMIFS('Modeling - Base Estimates'!Z:Z,'Modeling - Base Estimates'!A:A,A23))</f>
        <v>0</v>
      </c>
      <c r="AQ23" s="7">
        <f t="shared" si="5"/>
        <v>3669733.0098435669</v>
      </c>
      <c r="AR23" s="7">
        <f>(W23*$O23*($N$2+'Modeling - Base Estimates'!$AA$51))</f>
        <v>1199774.7888692678</v>
      </c>
      <c r="AS23" s="7">
        <f>(W23*P23*('Modeling - Base Estimates'!$AE$51))</f>
        <v>910828.18664253107</v>
      </c>
      <c r="AT23" s="7">
        <f t="shared" si="6"/>
        <v>1741011.0679915519</v>
      </c>
      <c r="AU23" s="7">
        <f t="shared" si="7"/>
        <v>1041271.1124425672</v>
      </c>
      <c r="AV23" s="5">
        <f t="shared" si="12"/>
        <v>0</v>
      </c>
      <c r="AX23" s="7">
        <f>SUMIFS('Modeling - Base Estimates'!X:X,'Modeling - Base Estimates'!A:A,A23)</f>
        <v>143490371.83308229</v>
      </c>
      <c r="AY23" s="5">
        <f t="shared" si="13"/>
        <v>3889042.8636914631</v>
      </c>
      <c r="AZ23" s="5">
        <f t="shared" si="13"/>
        <v>386246.63086322136</v>
      </c>
      <c r="BA23" s="5">
        <f t="shared" si="13"/>
        <v>651527.63444858836</v>
      </c>
      <c r="BB23" s="5">
        <f t="shared" si="13"/>
        <v>1728186.8994258223</v>
      </c>
      <c r="BC23" s="5">
        <f t="shared" si="13"/>
        <v>1033601.1805770602</v>
      </c>
      <c r="BD23" s="5">
        <f t="shared" si="14"/>
        <v>135801766.62407613</v>
      </c>
      <c r="BF23" s="5">
        <f t="shared" si="15"/>
        <v>144555155.22922888</v>
      </c>
      <c r="BG23" s="5">
        <f t="shared" si="16"/>
        <v>3669733.0098435669</v>
      </c>
      <c r="BH23" s="5">
        <f t="shared" si="17"/>
        <v>323647.99492776062</v>
      </c>
      <c r="BI23" s="5">
        <f t="shared" si="18"/>
        <v>1199774.7888692678</v>
      </c>
      <c r="BJ23" s="5">
        <f t="shared" si="18"/>
        <v>910828.18664253107</v>
      </c>
      <c r="BK23" s="5">
        <f t="shared" si="18"/>
        <v>1741011.0679915519</v>
      </c>
      <c r="BL23" s="5">
        <f t="shared" si="18"/>
        <v>1041271.1124425672</v>
      </c>
      <c r="BM23" s="5">
        <f t="shared" si="19"/>
        <v>135668889.06851164</v>
      </c>
      <c r="BO23" s="5">
        <f t="shared" si="20"/>
        <v>-132877.55556449294</v>
      </c>
      <c r="BP23" s="12">
        <f t="shared" si="21"/>
        <v>-9.7846706171593532E-4</v>
      </c>
    </row>
    <row r="24" spans="1:68" x14ac:dyDescent="0.25">
      <c r="A24" s="1">
        <v>29</v>
      </c>
      <c r="B24" s="1">
        <v>210029</v>
      </c>
      <c r="C24" s="4">
        <v>867460832.9000001</v>
      </c>
      <c r="D24" s="4">
        <f>SUM('Modeling - Base Estimates'!E24:G24)-SUM('Scenario 1 - increased MA % '!E24:F24)</f>
        <v>268754152.51499999</v>
      </c>
      <c r="E24" s="4">
        <f>((SUM('Modeling - Base Estimates'!F24:G24)/SUM('Modeling - Base Estimates'!E24:G24)+$E$63))*SUM('Modeling - Base Estimates'!E24:G24)*('Modeling - Base Estimates'!F24/SUM('Modeling - Base Estimates'!F24:G24))</f>
        <v>30442287.744874489</v>
      </c>
      <c r="F24" s="4">
        <f>((SUM('Modeling - Base Estimates'!F24:G24)/SUM('Modeling - Base Estimates'!E24:G24)+$E$63))*SUM('Modeling - Base Estimates'!E24:G24)*('Modeling - Base Estimates'!G24/SUM('Modeling - Base Estimates'!F24:G24))</f>
        <v>20754431.440125506</v>
      </c>
      <c r="G24" s="4">
        <v>73115404.299999997</v>
      </c>
      <c r="H24" s="4">
        <v>143235366.59999999</v>
      </c>
      <c r="I24" s="4">
        <v>52084129.100000001</v>
      </c>
      <c r="J24" s="4">
        <v>63113180.5</v>
      </c>
      <c r="K24" s="4">
        <v>4608850.4000000004</v>
      </c>
      <c r="L24" s="4">
        <v>35708000</v>
      </c>
      <c r="M24" s="4">
        <f t="shared" si="0"/>
        <v>175645030.30000007</v>
      </c>
      <c r="N24" s="12">
        <f t="shared" si="1"/>
        <v>0.30981704570629492</v>
      </c>
      <c r="O24" s="12">
        <f t="shared" si="2"/>
        <v>3.5093558798618224E-2</v>
      </c>
      <c r="P24" s="12">
        <f t="shared" si="2"/>
        <v>2.3925496867381969E-2</v>
      </c>
      <c r="Q24" s="12">
        <f t="shared" si="9"/>
        <v>0.24940696189904016</v>
      </c>
      <c r="R24" s="12">
        <f t="shared" si="10"/>
        <v>6.0042052764362905E-2</v>
      </c>
      <c r="S24" s="12">
        <f t="shared" si="10"/>
        <v>7.2756230721111551E-2</v>
      </c>
      <c r="T24" s="12">
        <f t="shared" si="10"/>
        <v>5.3130357304919419E-3</v>
      </c>
      <c r="U24" s="12">
        <f t="shared" si="10"/>
        <v>4.1163818175657479E-2</v>
      </c>
      <c r="V24" s="12">
        <f t="shared" si="11"/>
        <v>0.20248179933704077</v>
      </c>
      <c r="W24" s="4">
        <f>SUMIFS('Modeling - Base Estimates'!AK:AK,'Modeling - Base Estimates'!A:A,A24)</f>
        <v>462520915.89248353</v>
      </c>
      <c r="X24" s="4">
        <f>(W24*N24*(1-N$2))+(W24*O24*(1-'Modeling - Base Estimates'!$AA$51-N$2))+(W24*P24*(1-'Modeling - Base Estimates'!$AE$51))+(W24*Q24*(1-Q$2))+(W24*R24*(1-R$2))+(W24*S24*(1-S$2))+(W24*T24*(1-T$2))+(W24*U24*(1-U$2))+(W24*V24*(1-V$2))</f>
        <v>435314610.08810461</v>
      </c>
      <c r="Y24" s="5">
        <f>X24*N24*SUMIFS('Modeling - Base Estimates'!AN:AN,'Modeling - Base Estimates'!A:A,A24)</f>
        <v>602607.17363095097</v>
      </c>
      <c r="Z24" s="4">
        <f t="shared" si="4"/>
        <v>434712002.91447365</v>
      </c>
      <c r="AA24" s="4">
        <f>(((W24*N24*(1-N$2))/X24)*X24)-Y24-(((SUMIFS('Modeling - Base Estimates'!X:X,'Modeling - Base Estimates'!A:A,A24)*N24*(1-N$2))/SUMIFS('Modeling - Base Estimates'!Z:Z,'Modeling - Base Estimates'!A:A,A24))*SUMIFS('Modeling - Base Estimates'!Z:Z,'Modeling - Base Estimates'!A:A,A24))</f>
        <v>851.30174525082111</v>
      </c>
      <c r="AB24" s="4"/>
      <c r="AC24" s="18">
        <f>1-((((W24*O24*(1-N$2-'Modeling - Base Estimates'!$AA$51))/X24)*X24)/('Modeling - Base Estimates'!X24*'Modeling - Base Estimates'!P24))</f>
        <v>-0.18079712461101405</v>
      </c>
      <c r="AD24" s="18">
        <f t="shared" si="22"/>
        <v>-0.25779712461101406</v>
      </c>
      <c r="AE24" s="18">
        <f>1-((((W24*P24*(1-'Modeling - Base Estimates'!$AE$51))/X24)*X24)/(SUMIFS('Modeling - Base Estimates'!X:X,'Modeling - Base Estimates'!A:A,A24)*'Modeling - Base Estimates'!Q24))</f>
        <v>-0.33497651942374684</v>
      </c>
      <c r="AF24" s="18">
        <f t="shared" si="23"/>
        <v>-0.41197651942374686</v>
      </c>
      <c r="AG24" s="18">
        <f>$N24*(1-$N$2)+$O24*(1-$N$2-'Modeling - Base Estimates'!$AA$51)+$P24*(1-'Modeling - Base Estimates'!$AE$51)+$Q24*(1-$Q$2)+$R24*(1-$R$2)+$S24*(1-$S$2)+$T24*(1-$T$2)+$U24*(1-$U$2)+$V24*(1-$V$2)</f>
        <v>0.94117821514756494</v>
      </c>
      <c r="AH24" s="18" t="e">
        <f>$O24*(1-$N$2-#REF!)+$P24*(1-#REF!)+$Q24*(1-$Q$2)+$R24*(1-$R$2)+$S24*(1-$S$2)+$T24*(1-$T$2)+$U24*(1-$U$2)+$V24*(1-$V$2)</f>
        <v>#REF!</v>
      </c>
      <c r="AJ24" s="7">
        <f>(SUMIFS('Modeling - Base Estimates'!$X:$X,'Modeling - Base Estimates'!$A:$A,$A24)*SUMIFS('Modeling - Base Estimates'!O:O,'Modeling - Base Estimates'!$A:$A,$A24)*($N$2))</f>
        <v>11637307.662438799</v>
      </c>
      <c r="AK24" s="7">
        <f>(SUMIFS('Modeling - Base Estimates'!$X:$X,'Modeling - Base Estimates'!$A:$A,$A24)*SUMIFS('Modeling - Base Estimates'!P:P,'Modeling - Base Estimates'!$A:$A,$A24)*($N$2))</f>
        <v>855369.66449953266</v>
      </c>
      <c r="AL24" s="7">
        <f>(SUMIFS('Modeling - Base Estimates'!$X:$X,'Modeling - Base Estimates'!$A:$A,$A24)*SUMIFS('Modeling - Base Estimates'!Q:Q,'Modeling - Base Estimates'!$A:$A,$A24)*($N$2))</f>
        <v>583159.55773749948</v>
      </c>
      <c r="AM24" s="7">
        <f>(SUMIFS('Modeling - Base Estimates'!$X:$X,'Modeling - Base Estimates'!$A:$A,$A24)*SUMIFS('Modeling - Base Estimates'!R:R,'Modeling - Base Estimates'!$A:$A,$A24)*($N$2))</f>
        <v>8841880.5522581395</v>
      </c>
      <c r="AN24" s="7">
        <f>(SUMIFS('Modeling - Base Estimates'!X:X,'Modeling - Base Estimates'!A:A,$A24)*$R24*($R$2))+(SUMIFS('Modeling - Base Estimates'!X:X,'Modeling - Base Estimates'!A:A,$A24)*$S24*($S$2))+(SUMIFS('Modeling - Base Estimates'!X:X,'Modeling - Base Estimates'!A:A,$A24)*$T24*($T$2))+(SUMIFS('Modeling - Base Estimates'!X:X,'Modeling - Base Estimates'!A:A,$A24)*$U24*($U$2))+(SUMIFS('Modeling - Base Estimates'!X:X,'Modeling - Base Estimates'!A:A,$A24)*$V24*($V$2))</f>
        <v>3205363.8749964684</v>
      </c>
      <c r="AO24" s="7">
        <f>SUM(AJ24:AN24)-(SUMIFS('Modeling - Base Estimates'!X:X,'Modeling - Base Estimates'!A:A,A24)-SUMIFS('Modeling - Base Estimates'!Z:Z,'Modeling - Base Estimates'!A:A,A24))</f>
        <v>0</v>
      </c>
      <c r="AQ24" s="7">
        <f t="shared" si="5"/>
        <v>11033858.50791678</v>
      </c>
      <c r="AR24" s="7">
        <f>(W24*$O24*($N$2+'Modeling - Base Estimates'!$AA$51))</f>
        <v>3114387.5507034184</v>
      </c>
      <c r="AS24" s="7">
        <f>(W24*P24*('Modeling - Base Estimates'!$AE$51))</f>
        <v>955597.05341284245</v>
      </c>
      <c r="AT24" s="7">
        <f t="shared" si="6"/>
        <v>8882407.1064579468</v>
      </c>
      <c r="AU24" s="7">
        <f t="shared" si="7"/>
        <v>3220055.5858878773</v>
      </c>
      <c r="AV24" s="5">
        <f t="shared" si="12"/>
        <v>-5.9604644775390625E-8</v>
      </c>
      <c r="AX24" s="7">
        <f>SUMIFS('Modeling - Base Estimates'!X:X,'Modeling - Base Estimates'!A:A,A24)</f>
        <v>460410634.44041717</v>
      </c>
      <c r="AY24" s="5">
        <f t="shared" si="13"/>
        <v>11637307.662438799</v>
      </c>
      <c r="AZ24" s="5">
        <f t="shared" si="13"/>
        <v>855369.66449953266</v>
      </c>
      <c r="BA24" s="5">
        <f t="shared" si="13"/>
        <v>583159.55773749948</v>
      </c>
      <c r="BB24" s="5">
        <f t="shared" si="13"/>
        <v>8841880.5522581395</v>
      </c>
      <c r="BC24" s="5">
        <f t="shared" si="13"/>
        <v>3205363.8749964684</v>
      </c>
      <c r="BD24" s="5">
        <f t="shared" si="14"/>
        <v>435287553.12848675</v>
      </c>
      <c r="BF24" s="5">
        <f t="shared" si="15"/>
        <v>462520915.89248353</v>
      </c>
      <c r="BG24" s="5">
        <f t="shared" si="16"/>
        <v>11033858.50791678</v>
      </c>
      <c r="BH24" s="5">
        <f t="shared" si="17"/>
        <v>602607.17363095097</v>
      </c>
      <c r="BI24" s="5">
        <f t="shared" si="18"/>
        <v>3114387.5507034184</v>
      </c>
      <c r="BJ24" s="5">
        <f t="shared" si="18"/>
        <v>955597.05341284245</v>
      </c>
      <c r="BK24" s="5">
        <f t="shared" si="18"/>
        <v>8882407.1064579468</v>
      </c>
      <c r="BL24" s="5">
        <f t="shared" si="18"/>
        <v>3220055.5858878773</v>
      </c>
      <c r="BM24" s="5">
        <f t="shared" si="19"/>
        <v>434712002.91447371</v>
      </c>
      <c r="BO24" s="5">
        <f t="shared" si="20"/>
        <v>-575550.21401304007</v>
      </c>
      <c r="BP24" s="12">
        <f t="shared" si="21"/>
        <v>-1.3222298911982698E-3</v>
      </c>
    </row>
    <row r="25" spans="1:68" x14ac:dyDescent="0.25">
      <c r="A25" s="1">
        <v>30</v>
      </c>
      <c r="B25" s="1">
        <v>210030</v>
      </c>
      <c r="C25" s="4">
        <v>59088059.300000004</v>
      </c>
      <c r="D25" s="4">
        <f>SUM('Modeling - Base Estimates'!E25:G25)-SUM('Scenario 1 - increased MA % '!E25:F25)</f>
        <v>24412287.335000001</v>
      </c>
      <c r="E25" s="4">
        <f>((SUM('Modeling - Base Estimates'!F25:G25)/SUM('Modeling - Base Estimates'!E25:G25)+$E$63))*SUM('Modeling - Base Estimates'!E25:G25)*('Modeling - Base Estimates'!F25/SUM('Modeling - Base Estimates'!F25:G25))</f>
        <v>3063293.0818534181</v>
      </c>
      <c r="F25" s="4">
        <f>((SUM('Modeling - Base Estimates'!F25:G25)/SUM('Modeling - Base Estimates'!E25:G25)+$E$63))*SUM('Modeling - Base Estimates'!E25:G25)*('Modeling - Base Estimates'!G25/SUM('Modeling - Base Estimates'!F25:G25))</f>
        <v>5072558.8831465822</v>
      </c>
      <c r="G25" s="4">
        <v>464068.5</v>
      </c>
      <c r="H25" s="4">
        <v>9357654.5999999996</v>
      </c>
      <c r="I25" s="4">
        <v>652338.9</v>
      </c>
      <c r="J25" s="4">
        <v>6483227.5</v>
      </c>
      <c r="K25" s="4">
        <v>333066.59999999998</v>
      </c>
      <c r="L25" s="4">
        <v>3116000</v>
      </c>
      <c r="M25" s="4">
        <f t="shared" si="0"/>
        <v>6133563.8999999985</v>
      </c>
      <c r="N25" s="12">
        <f t="shared" si="1"/>
        <v>0.41315094156426285</v>
      </c>
      <c r="O25" s="12">
        <f t="shared" si="2"/>
        <v>5.1842844698969798E-2</v>
      </c>
      <c r="P25" s="12">
        <f t="shared" si="2"/>
        <v>8.5847444360836911E-2</v>
      </c>
      <c r="Q25" s="12">
        <f t="shared" si="9"/>
        <v>0.16622179195518103</v>
      </c>
      <c r="R25" s="12">
        <f t="shared" si="10"/>
        <v>1.1040113818732239E-2</v>
      </c>
      <c r="S25" s="12">
        <f t="shared" si="10"/>
        <v>0.10972144925396118</v>
      </c>
      <c r="T25" s="12">
        <f t="shared" si="10"/>
        <v>5.6367835387682117E-3</v>
      </c>
      <c r="U25" s="12">
        <f t="shared" si="10"/>
        <v>5.2734850948133946E-2</v>
      </c>
      <c r="V25" s="12">
        <f t="shared" si="11"/>
        <v>0.10380377986115374</v>
      </c>
      <c r="W25" s="4">
        <f>SUMIFS('Modeling - Base Estimates'!AK:AK,'Modeling - Base Estimates'!A:A,A25)</f>
        <v>31856446.545124717</v>
      </c>
      <c r="X25" s="4">
        <f>(W25*N25*(1-N$2))+(W25*O25*(1-'Modeling - Base Estimates'!$AA$51-N$2))+(W25*P25*(1-'Modeling - Base Estimates'!$AE$51))+(W25*Q25*(1-Q$2))+(W25*R25*(1-R$2))+(W25*S25*(1-S$2))+(W25*T25*(1-T$2))+(W25*U25*(1-U$2))+(W25*V25*(1-V$2))</f>
        <v>29734684.378030509</v>
      </c>
      <c r="Y25" s="5">
        <f>X25*N25*SUMIFS('Modeling - Base Estimates'!AN:AN,'Modeling - Base Estimates'!A:A,A25)</f>
        <v>123260.97999155581</v>
      </c>
      <c r="Z25" s="4">
        <f t="shared" si="4"/>
        <v>29611423.398038954</v>
      </c>
      <c r="AA25" s="4">
        <f>(((W25*N25*(1-N$2))/X25)*X25)-Y25-(((SUMIFS('Modeling - Base Estimates'!X:X,'Modeling - Base Estimates'!A:A,A25)*N25*(1-N$2))/SUMIFS('Modeling - Base Estimates'!Z:Z,'Modeling - Base Estimates'!A:A,A25))*SUMIFS('Modeling - Base Estimates'!Z:Z,'Modeling - Base Estimates'!A:A,A25))</f>
        <v>178.52295793779194</v>
      </c>
      <c r="AB25" s="4"/>
      <c r="AC25" s="18">
        <f>1-((((W25*O25*(1-N$2-'Modeling - Base Estimates'!$AA$51))/X25)*X25)/('Modeling - Base Estimates'!X25*'Modeling - Base Estimates'!P25))</f>
        <v>-2.0565672742618668E-2</v>
      </c>
      <c r="AD25" s="18">
        <f t="shared" si="22"/>
        <v>-9.7565672742618667E-2</v>
      </c>
      <c r="AE25" s="18">
        <f>1-((((W25*P25*(1-'Modeling - Base Estimates'!$AE$51))/X25)*X25)/(SUMIFS('Modeling - Base Estimates'!X:X,'Modeling - Base Estimates'!A:A,A25)*'Modeling - Base Estimates'!Q25))</f>
        <v>-0.15382327856710942</v>
      </c>
      <c r="AF25" s="18">
        <f t="shared" si="23"/>
        <v>-0.23082327856710944</v>
      </c>
      <c r="AG25" s="18">
        <f>$N25*(1-$N$2)+$O25*(1-$N$2-'Modeling - Base Estimates'!$AA$51)+$P25*(1-'Modeling - Base Estimates'!$AE$51)+$Q25*(1-$Q$2)+$R25*(1-$R$2)+$S25*(1-$S$2)+$T25*(1-$T$2)+$U25*(1-$U$2)+$V25*(1-$V$2)</f>
        <v>0.93339614435374241</v>
      </c>
      <c r="AH25" s="18" t="e">
        <f>$O25*(1-$N$2-#REF!)+$P25*(1-#REF!)+$Q25*(1-$Q$2)+$R25*(1-$R$2)+$S25*(1-$S$2)+$T25*(1-$T$2)+$U25*(1-$U$2)+$V25*(1-$V$2)</f>
        <v>#REF!</v>
      </c>
      <c r="AJ25" s="7">
        <f>(SUMIFS('Modeling - Base Estimates'!$X:$X,'Modeling - Base Estimates'!$A:$A,$A25)*SUMIFS('Modeling - Base Estimates'!O:O,'Modeling - Base Estimates'!$A:$A,$A25)*($N$2))</f>
        <v>1070012.0536303369</v>
      </c>
      <c r="AK25" s="7">
        <f>(SUMIFS('Modeling - Base Estimates'!$X:$X,'Modeling - Base Estimates'!$A:$A,$A25)*SUMIFS('Modeling - Base Estimates'!P:P,'Modeling - Base Estimates'!$A:$A,$A25)*($N$2))</f>
        <v>100696.76998151351</v>
      </c>
      <c r="AL25" s="7">
        <f>(SUMIFS('Modeling - Base Estimates'!$X:$X,'Modeling - Base Estimates'!$A:$A,$A25)*SUMIFS('Modeling - Base Estimates'!Q:Q,'Modeling - Base Estimates'!$A:$A,$A25)*($N$2))</f>
        <v>166745.48645043309</v>
      </c>
      <c r="AM25" s="7">
        <f>(SUMIFS('Modeling - Base Estimates'!$X:$X,'Modeling - Base Estimates'!$A:$A,$A25)*SUMIFS('Modeling - Base Estimates'!R:R,'Modeling - Base Estimates'!$A:$A,$A25)*($N$2))</f>
        <v>403590.0722697624</v>
      </c>
      <c r="AN25" s="7">
        <f>(SUMIFS('Modeling - Base Estimates'!X:X,'Modeling - Base Estimates'!A:A,$A25)*$R25*($R$2))+(SUMIFS('Modeling - Base Estimates'!X:X,'Modeling - Base Estimates'!A:A,$A25)*$S25*($S$2))+(SUMIFS('Modeling - Base Estimates'!X:X,'Modeling - Base Estimates'!A:A,$A25)*$T25*($T$2))+(SUMIFS('Modeling - Base Estimates'!X:X,'Modeling - Base Estimates'!A:A,$A25)*$U25*($U$2))+(SUMIFS('Modeling - Base Estimates'!X:X,'Modeling - Base Estimates'!A:A,$A25)*$V25*($V$2))</f>
        <v>146048.41543042666</v>
      </c>
      <c r="AO25" s="7">
        <f>SUM(AJ25:AN25)-(SUMIFS('Modeling - Base Estimates'!X:X,'Modeling - Base Estimates'!A:A,A25)-SUMIFS('Modeling - Base Estimates'!Z:Z,'Modeling - Base Estimates'!A:A,A25))</f>
        <v>3.9581209421157837E-9</v>
      </c>
      <c r="AQ25" s="7">
        <f t="shared" si="5"/>
        <v>1013437.1081457611</v>
      </c>
      <c r="AR25" s="7">
        <f>(W25*$O25*($N$2+'Modeling - Base Estimates'!$AA$51))</f>
        <v>316883.78753380297</v>
      </c>
      <c r="AS25" s="7">
        <f>(W25*P25*('Modeling - Base Estimates'!$AE$51))</f>
        <v>236160.44618012503</v>
      </c>
      <c r="AT25" s="7">
        <f t="shared" si="6"/>
        <v>407733.1435142401</v>
      </c>
      <c r="AU25" s="7">
        <f t="shared" si="7"/>
        <v>147547.68172027456</v>
      </c>
      <c r="AV25" s="5">
        <f t="shared" si="12"/>
        <v>-4.6566128730773926E-9</v>
      </c>
      <c r="AX25" s="7">
        <f>SUMIFS('Modeling - Base Estimates'!X:X,'Modeling - Base Estimates'!A:A,A25)</f>
        <v>31532745.787087768</v>
      </c>
      <c r="AY25" s="5">
        <f t="shared" si="13"/>
        <v>1070012.0536303369</v>
      </c>
      <c r="AZ25" s="5">
        <f t="shared" si="13"/>
        <v>100696.76998151351</v>
      </c>
      <c r="BA25" s="5">
        <f t="shared" si="13"/>
        <v>166745.48645043309</v>
      </c>
      <c r="BB25" s="5">
        <f t="shared" si="13"/>
        <v>403590.0722697624</v>
      </c>
      <c r="BC25" s="5">
        <f t="shared" si="13"/>
        <v>146048.41543042666</v>
      </c>
      <c r="BD25" s="5">
        <f t="shared" si="14"/>
        <v>29645652.989325296</v>
      </c>
      <c r="BF25" s="5">
        <f t="shared" si="15"/>
        <v>31856446.545124717</v>
      </c>
      <c r="BG25" s="5">
        <f t="shared" si="16"/>
        <v>1013437.1081457611</v>
      </c>
      <c r="BH25" s="5">
        <f t="shared" si="17"/>
        <v>123260.97999155581</v>
      </c>
      <c r="BI25" s="5">
        <f t="shared" si="18"/>
        <v>316883.78753380297</v>
      </c>
      <c r="BJ25" s="5">
        <f t="shared" si="18"/>
        <v>236160.44618012503</v>
      </c>
      <c r="BK25" s="5">
        <f t="shared" si="18"/>
        <v>407733.1435142401</v>
      </c>
      <c r="BL25" s="5">
        <f t="shared" si="18"/>
        <v>147547.68172027456</v>
      </c>
      <c r="BM25" s="5">
        <f t="shared" si="19"/>
        <v>29611423.398038957</v>
      </c>
      <c r="BO25" s="5">
        <f t="shared" si="20"/>
        <v>-34229.591286338866</v>
      </c>
      <c r="BP25" s="12">
        <f t="shared" si="21"/>
        <v>-1.1546242984988098E-3</v>
      </c>
    </row>
    <row r="26" spans="1:68" x14ac:dyDescent="0.25">
      <c r="A26" s="1">
        <v>32</v>
      </c>
      <c r="B26" s="1">
        <v>210032</v>
      </c>
      <c r="C26" s="4">
        <v>210231969.60000002</v>
      </c>
      <c r="D26" s="4">
        <f>SUM('Modeling - Base Estimates'!E26:G26)-SUM('Scenario 1 - increased MA % '!E26:F26)</f>
        <v>63912564.93499998</v>
      </c>
      <c r="E26" s="4">
        <f>((SUM('Modeling - Base Estimates'!F26:G26)/SUM('Modeling - Base Estimates'!E26:G26)+$E$63))*SUM('Modeling - Base Estimates'!E26:G26)*('Modeling - Base Estimates'!F26/SUM('Modeling - Base Estimates'!F26:G26))</f>
        <v>9140866.885780694</v>
      </c>
      <c r="F26" s="4">
        <f>((SUM('Modeling - Base Estimates'!F26:G26)/SUM('Modeling - Base Estimates'!E26:G26)+$E$63))*SUM('Modeling - Base Estimates'!E26:G26)*('Modeling - Base Estimates'!G26/SUM('Modeling - Base Estimates'!F26:G26))</f>
        <v>24607327.479219306</v>
      </c>
      <c r="G26" s="4">
        <v>3940451.9</v>
      </c>
      <c r="H26" s="4">
        <v>35025342.700000003</v>
      </c>
      <c r="I26" s="4">
        <v>5256184.9000000004</v>
      </c>
      <c r="J26" s="4">
        <v>11583044.9</v>
      </c>
      <c r="K26" s="4">
        <v>0</v>
      </c>
      <c r="L26" s="4">
        <v>10422600</v>
      </c>
      <c r="M26" s="4">
        <f t="shared" si="0"/>
        <v>46343585.900000036</v>
      </c>
      <c r="N26" s="12">
        <f t="shared" si="1"/>
        <v>0.30400973294691508</v>
      </c>
      <c r="O26" s="12">
        <f t="shared" si="2"/>
        <v>4.3479908898597375E-2</v>
      </c>
      <c r="P26" s="12">
        <f t="shared" si="2"/>
        <v>0.11704845616981416</v>
      </c>
      <c r="Q26" s="12">
        <f t="shared" si="9"/>
        <v>0.18534666575278091</v>
      </c>
      <c r="R26" s="12">
        <f t="shared" si="10"/>
        <v>2.500183444982575E-2</v>
      </c>
      <c r="S26" s="12">
        <f t="shared" si="10"/>
        <v>5.509649613252731E-2</v>
      </c>
      <c r="T26" s="12">
        <f t="shared" si="10"/>
        <v>0</v>
      </c>
      <c r="U26" s="12">
        <f t="shared" si="10"/>
        <v>4.9576665337011612E-2</v>
      </c>
      <c r="V26" s="12">
        <f t="shared" si="11"/>
        <v>0.22044024031252776</v>
      </c>
      <c r="W26" s="4">
        <f>SUMIFS('Modeling - Base Estimates'!AK:AK,'Modeling - Base Estimates'!A:A,A26)</f>
        <v>121954466.1521114</v>
      </c>
      <c r="X26" s="4">
        <f>(W26*N26*(1-N$2))+(W26*O26*(1-'Modeling - Base Estimates'!$AA$51-N$2))+(W26*P26*(1-'Modeling - Base Estimates'!$AE$51))+(W26*Q26*(1-Q$2))+(W26*R26*(1-R$2))+(W26*S26*(1-S$2))+(W26*T26*(1-T$2))+(W26*U26*(1-U$2))+(W26*V26*(1-V$2))</f>
        <v>114368417.65586179</v>
      </c>
      <c r="Y26" s="5">
        <f>X26*N26*SUMIFS('Modeling - Base Estimates'!AN:AN,'Modeling - Base Estimates'!A:A,A26)</f>
        <v>278078.92631249427</v>
      </c>
      <c r="Z26" s="4">
        <f t="shared" si="4"/>
        <v>114090338.7295493</v>
      </c>
      <c r="AA26" s="4">
        <f>(((W26*N26*(1-N$2))/X26)*X26)-Y26-(((SUMIFS('Modeling - Base Estimates'!X:X,'Modeling - Base Estimates'!A:A,A26)*N26*(1-N$2))/SUMIFS('Modeling - Base Estimates'!Z:Z,'Modeling - Base Estimates'!A:A,A26))*SUMIFS('Modeling - Base Estimates'!Z:Z,'Modeling - Base Estimates'!A:A,A26))</f>
        <v>261.26644653081894</v>
      </c>
      <c r="AB26" s="4"/>
      <c r="AC26" s="18">
        <f>1-((((W26*O26*(1-N$2-'Modeling - Base Estimates'!$AA$51))/X26)*X26)/('Modeling - Base Estimates'!X26*'Modeling - Base Estimates'!P26))</f>
        <v>4.7416365221719214E-2</v>
      </c>
      <c r="AD26" s="18">
        <f t="shared" si="22"/>
        <v>-2.9583634778280785E-2</v>
      </c>
      <c r="AE26" s="18">
        <f>1-((((W26*P26*(1-'Modeling - Base Estimates'!$AE$51))/X26)*X26)/(SUMIFS('Modeling - Base Estimates'!X:X,'Modeling - Base Estimates'!A:A,A26)*'Modeling - Base Estimates'!Q26))</f>
        <v>-7.6964669638110106E-2</v>
      </c>
      <c r="AF26" s="18">
        <f t="shared" si="23"/>
        <v>-0.15396466963811012</v>
      </c>
      <c r="AG26" s="18">
        <f>$N26*(1-$N$2)+$O26*(1-$N$2-'Modeling - Base Estimates'!$AA$51)+$P26*(1-'Modeling - Base Estimates'!$AE$51)+$Q26*(1-$Q$2)+$R26*(1-$R$2)+$S26*(1-$S$2)+$T26*(1-$T$2)+$U26*(1-$U$2)+$V26*(1-$V$2)</f>
        <v>0.93779605835191271</v>
      </c>
      <c r="AH26" s="18" t="e">
        <f>$O26*(1-$N$2-#REF!)+$P26*(1-#REF!)+$Q26*(1-$Q$2)+$R26*(1-$R$2)+$S26*(1-$S$2)+$T26*(1-$T$2)+$U26*(1-$U$2)+$V26*(1-$V$2)</f>
        <v>#REF!</v>
      </c>
      <c r="AJ26" s="7">
        <f>(SUMIFS('Modeling - Base Estimates'!$X:$X,'Modeling - Base Estimates'!$A:$A,$A26)*SUMIFS('Modeling - Base Estimates'!O:O,'Modeling - Base Estimates'!$A:$A,$A26)*($N$2))</f>
        <v>3047919.4413826535</v>
      </c>
      <c r="AK26" s="7">
        <f>(SUMIFS('Modeling - Base Estimates'!$X:$X,'Modeling - Base Estimates'!$A:$A,$A26)*SUMIFS('Modeling - Base Estimates'!P:P,'Modeling - Base Estimates'!$A:$A,$A26)*($N$2))</f>
        <v>346380.6006504317</v>
      </c>
      <c r="AL26" s="7">
        <f>(SUMIFS('Modeling - Base Estimates'!$X:$X,'Modeling - Base Estimates'!$A:$A,$A26)*SUMIFS('Modeling - Base Estimates'!Q:Q,'Modeling - Base Estimates'!$A:$A,$A26)*($N$2))</f>
        <v>932460.89010581747</v>
      </c>
      <c r="AM26" s="7">
        <f>(SUMIFS('Modeling - Base Estimates'!$X:$X,'Modeling - Base Estimates'!$A:$A,$A26)*SUMIFS('Modeling - Base Estimates'!R:R,'Modeling - Base Estimates'!$A:$A,$A26)*($N$2))</f>
        <v>1726340.0261626784</v>
      </c>
      <c r="AN26" s="7">
        <f>(SUMIFS('Modeling - Base Estimates'!X:X,'Modeling - Base Estimates'!A:A,$A26)*$R26*($R$2))+(SUMIFS('Modeling - Base Estimates'!X:X,'Modeling - Base Estimates'!A:A,$A26)*$S26*($S$2))+(SUMIFS('Modeling - Base Estimates'!X:X,'Modeling - Base Estimates'!A:A,$A26)*$T26*($T$2))+(SUMIFS('Modeling - Base Estimates'!X:X,'Modeling - Base Estimates'!A:A,$A26)*$U26*($U$2))+(SUMIFS('Modeling - Base Estimates'!X:X,'Modeling - Base Estimates'!A:A,$A26)*$V26*($V$2))</f>
        <v>734638.78899953701</v>
      </c>
      <c r="AO26" s="7">
        <f>SUM(AJ26:AN26)-(SUMIFS('Modeling - Base Estimates'!X:X,'Modeling - Base Estimates'!A:A,A26)-SUMIFS('Modeling - Base Estimates'!Z:Z,'Modeling - Base Estimates'!A:A,A26))</f>
        <v>1.6763806343078613E-8</v>
      </c>
      <c r="AQ26" s="7">
        <f t="shared" si="5"/>
        <v>2854801.5408671973</v>
      </c>
      <c r="AR26" s="7">
        <f>(W26*$O26*($N$2+'Modeling - Base Estimates'!$AA$51))</f>
        <v>1017419.8367166942</v>
      </c>
      <c r="AS26" s="7">
        <f>(W26*P26*('Modeling - Base Estimates'!$AE$51))</f>
        <v>1232667.2528292765</v>
      </c>
      <c r="AT26" s="7">
        <f t="shared" si="6"/>
        <v>1740496.7329714752</v>
      </c>
      <c r="AU26" s="7">
        <f t="shared" si="7"/>
        <v>740663.13286495348</v>
      </c>
      <c r="AV26" s="5">
        <f t="shared" si="12"/>
        <v>0</v>
      </c>
      <c r="AX26" s="7">
        <f>SUMIFS('Modeling - Base Estimates'!X:X,'Modeling - Base Estimates'!A:A,A26)</f>
        <v>120962523.11157995</v>
      </c>
      <c r="AY26" s="5">
        <f t="shared" si="13"/>
        <v>3047919.4413826535</v>
      </c>
      <c r="AZ26" s="5">
        <f t="shared" si="13"/>
        <v>346380.6006504317</v>
      </c>
      <c r="BA26" s="5">
        <f t="shared" si="13"/>
        <v>932460.89010581747</v>
      </c>
      <c r="BB26" s="5">
        <f t="shared" si="13"/>
        <v>1726340.0261626784</v>
      </c>
      <c r="BC26" s="5">
        <f t="shared" si="13"/>
        <v>734638.78899953701</v>
      </c>
      <c r="BD26" s="5">
        <f t="shared" si="14"/>
        <v>114174783.36427884</v>
      </c>
      <c r="BF26" s="5">
        <f t="shared" si="15"/>
        <v>121954466.1521114</v>
      </c>
      <c r="BG26" s="5">
        <f t="shared" si="16"/>
        <v>2854801.5408671973</v>
      </c>
      <c r="BH26" s="5">
        <f t="shared" si="17"/>
        <v>278078.92631249427</v>
      </c>
      <c r="BI26" s="5">
        <f t="shared" si="18"/>
        <v>1017419.8367166942</v>
      </c>
      <c r="BJ26" s="5">
        <f t="shared" si="18"/>
        <v>1232667.2528292765</v>
      </c>
      <c r="BK26" s="5">
        <f t="shared" si="18"/>
        <v>1740496.7329714752</v>
      </c>
      <c r="BL26" s="5">
        <f t="shared" si="18"/>
        <v>740663.13286495348</v>
      </c>
      <c r="BM26" s="5">
        <f t="shared" si="19"/>
        <v>114090338.7295493</v>
      </c>
      <c r="BO26" s="5">
        <f t="shared" si="20"/>
        <v>-84444.634729534388</v>
      </c>
      <c r="BP26" s="12">
        <f t="shared" si="21"/>
        <v>-7.3960845154494997E-4</v>
      </c>
    </row>
    <row r="27" spans="1:68" x14ac:dyDescent="0.25">
      <c r="A27" s="1">
        <v>33</v>
      </c>
      <c r="B27" s="1">
        <v>210033</v>
      </c>
      <c r="C27" s="4">
        <v>290567423</v>
      </c>
      <c r="D27" s="4">
        <f>SUM('Modeling - Base Estimates'!E27:G27)-SUM('Scenario 1 - increased MA % '!E27:F27)</f>
        <v>113914201.73500001</v>
      </c>
      <c r="E27" s="4">
        <f>((SUM('Modeling - Base Estimates'!F27:G27)/SUM('Modeling - Base Estimates'!E27:G27)+$E$63))*SUM('Modeling - Base Estimates'!E27:G27)*('Modeling - Base Estimates'!F27/SUM('Modeling - Base Estimates'!F27:G27))</f>
        <v>12634228.689922353</v>
      </c>
      <c r="F27" s="4">
        <f>((SUM('Modeling - Base Estimates'!F27:G27)/SUM('Modeling - Base Estimates'!E27:G27)+$E$63))*SUM('Modeling - Base Estimates'!E27:G27)*('Modeling - Base Estimates'!G27/SUM('Modeling - Base Estimates'!F27:G27))</f>
        <v>27844830.87507765</v>
      </c>
      <c r="G27" s="4">
        <v>3967476.9</v>
      </c>
      <c r="H27" s="4">
        <v>38578485.600000001</v>
      </c>
      <c r="I27" s="4">
        <v>11622343.199999999</v>
      </c>
      <c r="J27" s="4">
        <v>13522623.9</v>
      </c>
      <c r="K27" s="4">
        <v>0</v>
      </c>
      <c r="L27" s="4">
        <v>9762159.5</v>
      </c>
      <c r="M27" s="4">
        <f t="shared" si="0"/>
        <v>58721072.599999994</v>
      </c>
      <c r="N27" s="12">
        <f t="shared" si="1"/>
        <v>0.39204051355406078</v>
      </c>
      <c r="O27" s="12">
        <f t="shared" si="2"/>
        <v>4.3481229105034096E-2</v>
      </c>
      <c r="P27" s="12">
        <f t="shared" si="2"/>
        <v>9.582915588950125E-2</v>
      </c>
      <c r="Q27" s="12">
        <f t="shared" si="9"/>
        <v>0.1464237183257808</v>
      </c>
      <c r="R27" s="12">
        <f t="shared" si="10"/>
        <v>3.999878265775169E-2</v>
      </c>
      <c r="S27" s="12">
        <f t="shared" si="10"/>
        <v>4.6538678563425882E-2</v>
      </c>
      <c r="T27" s="12">
        <f t="shared" si="10"/>
        <v>0</v>
      </c>
      <c r="U27" s="12">
        <f t="shared" si="10"/>
        <v>3.3596882263019552E-2</v>
      </c>
      <c r="V27" s="12">
        <f t="shared" si="11"/>
        <v>0.202091039641426</v>
      </c>
      <c r="W27" s="4">
        <f>SUMIFS('Modeling - Base Estimates'!AK:AK,'Modeling - Base Estimates'!A:A,A27)</f>
        <v>163856552.6691218</v>
      </c>
      <c r="X27" s="4">
        <f>(W27*N27*(1-N$2))+(W27*O27*(1-'Modeling - Base Estimates'!$AA$51-N$2))+(W27*P27*(1-'Modeling - Base Estimates'!$AE$51))+(W27*Q27*(1-Q$2))+(W27*R27*(1-R$2))+(W27*S27*(1-S$2))+(W27*T27*(1-T$2))+(W27*U27*(1-U$2))+(W27*V27*(1-V$2))</f>
        <v>153377529.98167679</v>
      </c>
      <c r="Y27" s="5">
        <f>X27*N27*SUMIFS('Modeling - Base Estimates'!AN:AN,'Modeling - Base Estimates'!A:A,A27)</f>
        <v>509391.40726926015</v>
      </c>
      <c r="Z27" s="4">
        <f t="shared" si="4"/>
        <v>152868138.57440752</v>
      </c>
      <c r="AA27" s="4">
        <f>(((W27*N27*(1-N$2))/X27)*X27)-Y27-(((SUMIFS('Modeling - Base Estimates'!X:X,'Modeling - Base Estimates'!A:A,A27)*N27*(1-N$2))/SUMIFS('Modeling - Base Estimates'!Z:Z,'Modeling - Base Estimates'!A:A,A27))*SUMIFS('Modeling - Base Estimates'!Z:Z,'Modeling - Base Estimates'!A:A,A27))</f>
        <v>611.40046814829111</v>
      </c>
      <c r="AB27" s="4"/>
      <c r="AC27" s="18">
        <f>1-((((W27*O27*(1-N$2-'Modeling - Base Estimates'!$AA$51))/X27)*X27)/('Modeling - Base Estimates'!X27*'Modeling - Base Estimates'!P27))</f>
        <v>-7.2236109276020422E-3</v>
      </c>
      <c r="AD27" s="18">
        <f t="shared" si="22"/>
        <v>-8.4223610927602041E-2</v>
      </c>
      <c r="AE27" s="18">
        <f>1-((((W27*P27*(1-'Modeling - Base Estimates'!$AE$51))/X27)*X27)/(SUMIFS('Modeling - Base Estimates'!X:X,'Modeling - Base Estimates'!A:A,A27)*'Modeling - Base Estimates'!Q27))</f>
        <v>-0.13873911307202924</v>
      </c>
      <c r="AF27" s="18">
        <f t="shared" si="23"/>
        <v>-0.21573911307202925</v>
      </c>
      <c r="AG27" s="18">
        <f>$N27*(1-$N$2)+$O27*(1-$N$2-'Modeling - Base Estimates'!$AA$51)+$P27*(1-'Modeling - Base Estimates'!$AE$51)+$Q27*(1-$Q$2)+$R27*(1-$R$2)+$S27*(1-$S$2)+$T27*(1-$T$2)+$U27*(1-$U$2)+$V27*(1-$V$2)</f>
        <v>0.93604758237160368</v>
      </c>
      <c r="AH27" s="18" t="e">
        <f>$O27*(1-$N$2-#REF!)+$P27*(1-#REF!)+$Q27*(1-$Q$2)+$R27*(1-$R$2)+$S27*(1-$S$2)+$T27*(1-$T$2)+$U27*(1-$U$2)+$V27*(1-$V$2)</f>
        <v>#REF!</v>
      </c>
      <c r="AJ27" s="7">
        <f>(SUMIFS('Modeling - Base Estimates'!$X:$X,'Modeling - Base Estimates'!$A:$A,$A27)*SUMIFS('Modeling - Base Estimates'!O:O,'Modeling - Base Estimates'!$A:$A,$A27)*($N$2))</f>
        <v>5236129.3222629419</v>
      </c>
      <c r="AK27" s="7">
        <f>(SUMIFS('Modeling - Base Estimates'!$X:$X,'Modeling - Base Estimates'!$A:$A,$A27)*SUMIFS('Modeling - Base Estimates'!P:P,'Modeling - Base Estimates'!$A:$A,$A27)*($N$2))</f>
        <v>440159.49022661871</v>
      </c>
      <c r="AL27" s="7">
        <f>(SUMIFS('Modeling - Base Estimates'!$X:$X,'Modeling - Base Estimates'!$A:$A,$A27)*SUMIFS('Modeling - Base Estimates'!Q:Q,'Modeling - Base Estimates'!$A:$A,$A27)*($N$2))</f>
        <v>970076.3587726315</v>
      </c>
      <c r="AM27" s="7">
        <f>(SUMIFS('Modeling - Base Estimates'!$X:$X,'Modeling - Base Estimates'!$A:$A,$A27)*SUMIFS('Modeling - Base Estimates'!R:R,'Modeling - Base Estimates'!$A:$A,$A27)*($N$2))</f>
        <v>1831530.7349351738</v>
      </c>
      <c r="AN27" s="7">
        <f>(SUMIFS('Modeling - Base Estimates'!X:X,'Modeling - Base Estimates'!A:A,$A27)*$R27*($R$2))+(SUMIFS('Modeling - Base Estimates'!X:X,'Modeling - Base Estimates'!A:A,$A27)*$S27*($S$2))+(SUMIFS('Modeling - Base Estimates'!X:X,'Modeling - Base Estimates'!A:A,$A27)*$T27*($T$2))+(SUMIFS('Modeling - Base Estimates'!X:X,'Modeling - Base Estimates'!A:A,$A27)*$U27*($U$2))+(SUMIFS('Modeling - Base Estimates'!X:X,'Modeling - Base Estimates'!A:A,$A27)*$V27*($V$2))</f>
        <v>953981.67610057222</v>
      </c>
      <c r="AO27" s="7">
        <f>SUM(AJ27:AN27)-(SUMIFS('Modeling - Base Estimates'!X:X,'Modeling - Base Estimates'!A:A,A27)-SUMIFS('Modeling - Base Estimates'!Z:Z,'Modeling - Base Estimates'!A:A,A27))</f>
        <v>0</v>
      </c>
      <c r="AQ27" s="7">
        <f t="shared" si="5"/>
        <v>4946357.34343524</v>
      </c>
      <c r="AR27" s="7">
        <f>(W27*$O27*($N$2+'Modeling - Base Estimates'!$AA$51))</f>
        <v>1367034.5520307121</v>
      </c>
      <c r="AS27" s="7">
        <f>(W27*P27*('Modeling - Base Estimates'!$AE$51))</f>
        <v>1355950.8123508699</v>
      </c>
      <c r="AT27" s="7">
        <f t="shared" si="6"/>
        <v>1847421.3999669857</v>
      </c>
      <c r="AU27" s="7">
        <f t="shared" si="7"/>
        <v>962258.57966120902</v>
      </c>
      <c r="AV27" s="5">
        <f t="shared" si="12"/>
        <v>0</v>
      </c>
      <c r="AX27" s="7">
        <f>SUMIFS('Modeling - Base Estimates'!X:X,'Modeling - Base Estimates'!A:A,A27)</f>
        <v>162447134.33512449</v>
      </c>
      <c r="AY27" s="5">
        <f t="shared" si="13"/>
        <v>5236129.3222629419</v>
      </c>
      <c r="AZ27" s="5">
        <f t="shared" si="13"/>
        <v>440159.49022661871</v>
      </c>
      <c r="BA27" s="5">
        <f t="shared" si="13"/>
        <v>970076.3587726315</v>
      </c>
      <c r="BB27" s="5">
        <f t="shared" si="13"/>
        <v>1831530.7349351738</v>
      </c>
      <c r="BC27" s="5">
        <f t="shared" si="13"/>
        <v>953981.67610057222</v>
      </c>
      <c r="BD27" s="5">
        <f t="shared" si="14"/>
        <v>153015256.75282654</v>
      </c>
      <c r="BF27" s="5">
        <f t="shared" si="15"/>
        <v>163856552.6691218</v>
      </c>
      <c r="BG27" s="5">
        <f t="shared" si="16"/>
        <v>4946357.34343524</v>
      </c>
      <c r="BH27" s="5">
        <f t="shared" si="17"/>
        <v>509391.40726926015</v>
      </c>
      <c r="BI27" s="5">
        <f t="shared" si="18"/>
        <v>1367034.5520307121</v>
      </c>
      <c r="BJ27" s="5">
        <f t="shared" si="18"/>
        <v>1355950.8123508699</v>
      </c>
      <c r="BK27" s="5">
        <f t="shared" si="18"/>
        <v>1847421.3999669857</v>
      </c>
      <c r="BL27" s="5">
        <f t="shared" si="18"/>
        <v>962258.57966120902</v>
      </c>
      <c r="BM27" s="5">
        <f t="shared" si="19"/>
        <v>152868138.57440752</v>
      </c>
      <c r="BO27" s="5">
        <f t="shared" si="20"/>
        <v>-147118.17841902375</v>
      </c>
      <c r="BP27" s="12">
        <f t="shared" si="21"/>
        <v>-9.6146084737596695E-4</v>
      </c>
    </row>
    <row r="28" spans="1:68" x14ac:dyDescent="0.25">
      <c r="A28" s="1">
        <v>34</v>
      </c>
      <c r="B28" s="1">
        <v>210034</v>
      </c>
      <c r="C28" s="4">
        <v>241447813.20000002</v>
      </c>
      <c r="D28" s="4">
        <f>SUM('Modeling - Base Estimates'!E28:G28)-SUM('Scenario 1 - increased MA % '!E28:F28)</f>
        <v>49522270.805000007</v>
      </c>
      <c r="E28" s="4">
        <f>((SUM('Modeling - Base Estimates'!F28:G28)/SUM('Modeling - Base Estimates'!E28:G28)+$E$63))*SUM('Modeling - Base Estimates'!E28:G28)*('Modeling - Base Estimates'!F28/SUM('Modeling - Base Estimates'!F28:G28))</f>
        <v>15533857.757278707</v>
      </c>
      <c r="F28" s="4">
        <f>((SUM('Modeling - Base Estimates'!F28:G28)/SUM('Modeling - Base Estimates'!E28:G28)+$E$63))*SUM('Modeling - Base Estimates'!E28:G28)*('Modeling - Base Estimates'!G28/SUM('Modeling - Base Estimates'!F28:G28))</f>
        <v>20600167.337721288</v>
      </c>
      <c r="G28" s="4">
        <v>14230518.5</v>
      </c>
      <c r="H28" s="4">
        <v>79184722.799999997</v>
      </c>
      <c r="I28" s="4">
        <v>7412959.6000000006</v>
      </c>
      <c r="J28" s="4">
        <v>8701415.6999999993</v>
      </c>
      <c r="K28" s="4">
        <v>1273645.7</v>
      </c>
      <c r="L28" s="4">
        <v>17661094.700000003</v>
      </c>
      <c r="M28" s="4">
        <f t="shared" si="0"/>
        <v>27327160.300000042</v>
      </c>
      <c r="N28" s="12">
        <f t="shared" si="1"/>
        <v>0.20510548490235819</v>
      </c>
      <c r="O28" s="12">
        <f t="shared" si="2"/>
        <v>6.4336295083407727E-2</v>
      </c>
      <c r="P28" s="12">
        <f t="shared" si="2"/>
        <v>8.531933698093766E-2</v>
      </c>
      <c r="Q28" s="12">
        <f t="shared" si="9"/>
        <v>0.38689619948067516</v>
      </c>
      <c r="R28" s="12">
        <f t="shared" si="10"/>
        <v>3.0702119442513137E-2</v>
      </c>
      <c r="S28" s="12">
        <f t="shared" si="10"/>
        <v>3.6038494549512856E-2</v>
      </c>
      <c r="T28" s="12">
        <f t="shared" si="10"/>
        <v>5.2750351437020173E-3</v>
      </c>
      <c r="U28" s="12">
        <f t="shared" si="10"/>
        <v>7.3146633493717653E-2</v>
      </c>
      <c r="V28" s="12">
        <f t="shared" si="11"/>
        <v>0.11318040092317572</v>
      </c>
      <c r="W28" s="4">
        <f>SUMIFS('Modeling - Base Estimates'!AK:AK,'Modeling - Base Estimates'!A:A,A28)</f>
        <v>129030836.226592</v>
      </c>
      <c r="X28" s="4">
        <f>(W28*N28*(1-N$2))+(W28*O28*(1-'Modeling - Base Estimates'!$AA$51-N$2))+(W28*P28*(1-'Modeling - Base Estimates'!$AE$51))+(W28*Q28*(1-Q$2))+(W28*R28*(1-R$2))+(W28*S28*(1-S$2))+(W28*T28*(1-T$2))+(W28*U28*(1-U$2))+(W28*V28*(1-V$2))</f>
        <v>120117789.93051594</v>
      </c>
      <c r="Y28" s="5">
        <f>X28*N28*SUMIFS('Modeling - Base Estimates'!AN:AN,'Modeling - Base Estimates'!A:A,A28)</f>
        <v>240744.4589594334</v>
      </c>
      <c r="Z28" s="4">
        <f t="shared" si="4"/>
        <v>119877045.47155651</v>
      </c>
      <c r="AA28" s="4">
        <f>(((W28*N28*(1-N$2))/X28)*X28)-Y28-(((SUMIFS('Modeling - Base Estimates'!X:X,'Modeling - Base Estimates'!A:A,A28)*N28*(1-N$2))/SUMIFS('Modeling - Base Estimates'!Z:Z,'Modeling - Base Estimates'!A:A,A28))*SUMIFS('Modeling - Base Estimates'!Z:Z,'Modeling - Base Estimates'!A:A,A28))</f>
        <v>250.99440687894821</v>
      </c>
      <c r="AB28" s="4"/>
      <c r="AC28" s="18">
        <f>1-((((W28*O28*(1-N$2-'Modeling - Base Estimates'!$AA$51))/X28)*X28)/('Modeling - Base Estimates'!X28*'Modeling - Base Estimates'!P28))</f>
        <v>7.4074599434739041E-2</v>
      </c>
      <c r="AD28" s="18">
        <f t="shared" si="22"/>
        <v>-2.9254005652609577E-3</v>
      </c>
      <c r="AE28" s="18">
        <f>1-((((W28*P28*(1-'Modeling - Base Estimates'!$AE$51))/X28)*X28)/(SUMIFS('Modeling - Base Estimates'!X:X,'Modeling - Base Estimates'!A:A,A28)*'Modeling - Base Estimates'!Q28))</f>
        <v>-4.6825608505653538E-2</v>
      </c>
      <c r="AF28" s="18">
        <f t="shared" si="23"/>
        <v>-0.12382560850565354</v>
      </c>
      <c r="AG28" s="18">
        <f>$N28*(1-$N$2)+$O28*(1-$N$2-'Modeling - Base Estimates'!$AA$51)+$P28*(1-'Modeling - Base Estimates'!$AE$51)+$Q28*(1-$Q$2)+$R28*(1-$R$2)+$S28*(1-$S$2)+$T28*(1-$T$2)+$U28*(1-$U$2)+$V28*(1-$V$2)</f>
        <v>0.93092313003053173</v>
      </c>
      <c r="AH28" s="18" t="e">
        <f>$O28*(1-$N$2-#REF!)+$P28*(1-#REF!)+$Q28*(1-$Q$2)+$R28*(1-$R$2)+$S28*(1-$S$2)+$T28*(1-$T$2)+$U28*(1-$U$2)+$V28*(1-$V$2)</f>
        <v>#REF!</v>
      </c>
      <c r="AJ28" s="7">
        <f>(SUMIFS('Modeling - Base Estimates'!$X:$X,'Modeling - Base Estimates'!$A:$A,$A28)*SUMIFS('Modeling - Base Estimates'!O:O,'Modeling - Base Estimates'!$A:$A,$A28)*($N$2))</f>
        <v>2192190.5869756765</v>
      </c>
      <c r="AK28" s="7">
        <f>(SUMIFS('Modeling - Base Estimates'!$X:$X,'Modeling - Base Estimates'!$A:$A,$A28)*SUMIFS('Modeling - Base Estimates'!P:P,'Modeling - Base Estimates'!$A:$A,$A28)*($N$2))</f>
        <v>557883.99687176931</v>
      </c>
      <c r="AL28" s="7">
        <f>(SUMIFS('Modeling - Base Estimates'!$X:$X,'Modeling - Base Estimates'!$A:$A,$A28)*SUMIFS('Modeling - Base Estimates'!Q:Q,'Modeling - Base Estimates'!$A:$A,$A28)*($N$2))</f>
        <v>739835.7748711959</v>
      </c>
      <c r="AM28" s="7">
        <f>(SUMIFS('Modeling - Base Estimates'!$X:$X,'Modeling - Base Estimates'!$A:$A,$A28)*SUMIFS('Modeling - Base Estimates'!R:R,'Modeling - Base Estimates'!$A:$A,$A28)*($N$2))</f>
        <v>3806034.5109444726</v>
      </c>
      <c r="AN28" s="7">
        <f>(SUMIFS('Modeling - Base Estimates'!X:X,'Modeling - Base Estimates'!A:A,$A28)*$R28*($R$2))+(SUMIFS('Modeling - Base Estimates'!X:X,'Modeling - Base Estimates'!A:A,$A28)*$S28*($S$2))+(SUMIFS('Modeling - Base Estimates'!X:X,'Modeling - Base Estimates'!A:A,$A28)*$T28*($T$2))+(SUMIFS('Modeling - Base Estimates'!X:X,'Modeling - Base Estimates'!A:A,$A28)*$U28*($U$2))+(SUMIFS('Modeling - Base Estimates'!X:X,'Modeling - Base Estimates'!A:A,$A28)*$V28*($V$2))</f>
        <v>483011.00724119064</v>
      </c>
      <c r="AO28" s="7">
        <f>SUM(AJ28:AN28)-(SUMIFS('Modeling - Base Estimates'!X:X,'Modeling - Base Estimates'!A:A,A28)-SUMIFS('Modeling - Base Estimates'!Z:Z,'Modeling - Base Estimates'!A:A,A28))</f>
        <v>2.6077032089233398E-8</v>
      </c>
      <c r="AQ28" s="7">
        <f t="shared" si="5"/>
        <v>2037799.7818341176</v>
      </c>
      <c r="AR28" s="7">
        <f>(W28*$O28*($N$2+'Modeling - Base Estimates'!$AA$51))</f>
        <v>1592807.9897557127</v>
      </c>
      <c r="AS28" s="7">
        <f>(W28*P28*('Modeling - Base Estimates'!$AE$51))</f>
        <v>950656.1083281152</v>
      </c>
      <c r="AT28" s="7">
        <f t="shared" si="6"/>
        <v>3843958.5916949036</v>
      </c>
      <c r="AU28" s="7">
        <f t="shared" si="7"/>
        <v>487823.82446323324</v>
      </c>
      <c r="AV28" s="5">
        <f t="shared" si="12"/>
        <v>2.2351741790771484E-8</v>
      </c>
      <c r="AX28" s="7">
        <f>SUMIFS('Modeling - Base Estimates'!X:X,'Modeling - Base Estimates'!A:A,A28)</f>
        <v>127757831.91719976</v>
      </c>
      <c r="AY28" s="5">
        <f t="shared" si="13"/>
        <v>2192190.5869756765</v>
      </c>
      <c r="AZ28" s="5">
        <f t="shared" si="13"/>
        <v>557883.99687176931</v>
      </c>
      <c r="BA28" s="5">
        <f t="shared" si="13"/>
        <v>739835.7748711959</v>
      </c>
      <c r="BB28" s="5">
        <f t="shared" si="13"/>
        <v>3806034.5109444726</v>
      </c>
      <c r="BC28" s="5">
        <f t="shared" si="13"/>
        <v>483011.00724119064</v>
      </c>
      <c r="BD28" s="5">
        <f t="shared" si="14"/>
        <v>119978876.04029545</v>
      </c>
      <c r="BF28" s="5">
        <f t="shared" si="15"/>
        <v>129030836.226592</v>
      </c>
      <c r="BG28" s="5">
        <f t="shared" si="16"/>
        <v>2037799.7818341176</v>
      </c>
      <c r="BH28" s="5">
        <f t="shared" si="17"/>
        <v>240744.4589594334</v>
      </c>
      <c r="BI28" s="5">
        <f t="shared" si="18"/>
        <v>1592807.9897557127</v>
      </c>
      <c r="BJ28" s="5">
        <f t="shared" si="18"/>
        <v>950656.1083281152</v>
      </c>
      <c r="BK28" s="5">
        <f t="shared" si="18"/>
        <v>3843958.5916949036</v>
      </c>
      <c r="BL28" s="5">
        <f t="shared" si="18"/>
        <v>487823.82446323324</v>
      </c>
      <c r="BM28" s="5">
        <f t="shared" si="19"/>
        <v>119877045.47155648</v>
      </c>
      <c r="BO28" s="5">
        <f t="shared" si="20"/>
        <v>-101830.56873896718</v>
      </c>
      <c r="BP28" s="12">
        <f t="shared" si="21"/>
        <v>-8.4873747862721199E-4</v>
      </c>
    </row>
    <row r="29" spans="1:68" x14ac:dyDescent="0.25">
      <c r="A29" s="1">
        <v>35</v>
      </c>
      <c r="B29" s="1">
        <v>210035</v>
      </c>
      <c r="C29" s="4">
        <v>196648597.90000001</v>
      </c>
      <c r="D29" s="4">
        <f>SUM('Modeling - Base Estimates'!E29:G29)-SUM('Scenario 1 - increased MA % '!E29:F29)</f>
        <v>67612101.034999982</v>
      </c>
      <c r="E29" s="4">
        <f>((SUM('Modeling - Base Estimates'!F29:G29)/SUM('Modeling - Base Estimates'!E29:G29)+$E$63))*SUM('Modeling - Base Estimates'!E29:G29)*('Modeling - Base Estimates'!F29/SUM('Modeling - Base Estimates'!F29:G29))</f>
        <v>12844310.30086262</v>
      </c>
      <c r="F29" s="4">
        <f>((SUM('Modeling - Base Estimates'!F29:G29)/SUM('Modeling - Base Estimates'!E29:G29)+$E$63))*SUM('Modeling - Base Estimates'!E29:G29)*('Modeling - Base Estimates'!G29/SUM('Modeling - Base Estimates'!F29:G29))</f>
        <v>16466399.964137377</v>
      </c>
      <c r="G29" s="4">
        <v>3006970.6999999997</v>
      </c>
      <c r="H29" s="4">
        <v>28195313.099999998</v>
      </c>
      <c r="I29" s="4">
        <v>9068738.0999999996</v>
      </c>
      <c r="J29" s="4">
        <v>17077362.300000001</v>
      </c>
      <c r="K29" s="4">
        <v>683678.1</v>
      </c>
      <c r="L29" s="4">
        <v>14059248.4</v>
      </c>
      <c r="M29" s="4">
        <f t="shared" si="0"/>
        <v>27634475.900000006</v>
      </c>
      <c r="N29" s="12">
        <f t="shared" si="1"/>
        <v>0.34382193291498664</v>
      </c>
      <c r="O29" s="12">
        <f t="shared" si="2"/>
        <v>6.5316053295199308E-2</v>
      </c>
      <c r="P29" s="12">
        <f t="shared" si="2"/>
        <v>8.3735150618825624E-2</v>
      </c>
      <c r="Q29" s="12">
        <f t="shared" si="9"/>
        <v>0.15867025818240016</v>
      </c>
      <c r="R29" s="12">
        <f t="shared" si="10"/>
        <v>4.6116464581210215E-2</v>
      </c>
      <c r="S29" s="12">
        <f t="shared" si="10"/>
        <v>8.6842024211554264E-2</v>
      </c>
      <c r="T29" s="12">
        <f t="shared" si="10"/>
        <v>3.4766487394314646E-3</v>
      </c>
      <c r="U29" s="12">
        <f t="shared" si="10"/>
        <v>7.1494272271137305E-2</v>
      </c>
      <c r="V29" s="12">
        <f t="shared" si="11"/>
        <v>0.14052719518525489</v>
      </c>
      <c r="W29" s="4">
        <f>SUMIFS('Modeling - Base Estimates'!AK:AK,'Modeling - Base Estimates'!A:A,A29)</f>
        <v>114962338.97123627</v>
      </c>
      <c r="X29" s="4">
        <f>(W29*N29*(1-N$2))+(W29*O29*(1-'Modeling - Base Estimates'!$AA$51-N$2))+(W29*P29*(1-'Modeling - Base Estimates'!$AE$51))+(W29*Q29*(1-Q$2))+(W29*R29*(1-R$2))+(W29*S29*(1-S$2))+(W29*T29*(1-T$2))+(W29*U29*(1-U$2))+(W29*V29*(1-V$2))</f>
        <v>107592139.19368489</v>
      </c>
      <c r="Y29" s="5">
        <f>X29*N29*SUMIFS('Modeling - Base Estimates'!AN:AN,'Modeling - Base Estimates'!A:A,A29)</f>
        <v>418324.5425262723</v>
      </c>
      <c r="Z29" s="4">
        <f t="shared" si="4"/>
        <v>107173814.65115862</v>
      </c>
      <c r="AA29" s="4">
        <f>(((W29*N29*(1-N$2))/X29)*X29)-Y29-(((SUMIFS('Modeling - Base Estimates'!X:X,'Modeling - Base Estimates'!A:A,A29)*N29*(1-N$2))/SUMIFS('Modeling - Base Estimates'!Z:Z,'Modeling - Base Estimates'!A:A,A29))*SUMIFS('Modeling - Base Estimates'!Z:Z,'Modeling - Base Estimates'!A:A,A29))</f>
        <v>612.37748261541128</v>
      </c>
      <c r="AB29" s="4"/>
      <c r="AC29" s="18">
        <f>1-((((W29*O29*(1-N$2-'Modeling - Base Estimates'!$AA$51))/X29)*X29)/('Modeling - Base Estimates'!X29*'Modeling - Base Estimates'!P29))</f>
        <v>2.0545505476829429E-2</v>
      </c>
      <c r="AD29" s="18">
        <f t="shared" si="22"/>
        <v>-5.645449452317057E-2</v>
      </c>
      <c r="AE29" s="18">
        <f>1-((((W29*P29*(1-'Modeling - Base Estimates'!$AE$51))/X29)*X29)/(SUMIFS('Modeling - Base Estimates'!X:X,'Modeling - Base Estimates'!A:A,A29)*'Modeling - Base Estimates'!Q29))</f>
        <v>-0.10734411930688714</v>
      </c>
      <c r="AF29" s="18">
        <f t="shared" si="23"/>
        <v>-0.18434411930688716</v>
      </c>
      <c r="AG29" s="18">
        <f>$N29*(1-$N$2)+$O29*(1-$N$2-'Modeling - Base Estimates'!$AA$51)+$P29*(1-'Modeling - Base Estimates'!$AE$51)+$Q29*(1-$Q$2)+$R29*(1-$R$2)+$S29*(1-$S$2)+$T29*(1-$T$2)+$U29*(1-$U$2)+$V29*(1-$V$2)</f>
        <v>0.93589031117925114</v>
      </c>
      <c r="AH29" s="18" t="e">
        <f>$O29*(1-$N$2-#REF!)+$P29*(1-#REF!)+$Q29*(1-$Q$2)+$R29*(1-$R$2)+$S29*(1-$S$2)+$T29*(1-$T$2)+$U29*(1-$U$2)+$V29*(1-$V$2)</f>
        <v>#REF!</v>
      </c>
      <c r="AJ29" s="7">
        <f>(SUMIFS('Modeling - Base Estimates'!$X:$X,'Modeling - Base Estimates'!$A:$A,$A29)*SUMIFS('Modeling - Base Estimates'!O:O,'Modeling - Base Estimates'!$A:$A,$A29)*($N$2))</f>
        <v>3224240.0416934858</v>
      </c>
      <c r="AK29" s="7">
        <f>(SUMIFS('Modeling - Base Estimates'!$X:$X,'Modeling - Base Estimates'!$A:$A,$A29)*SUMIFS('Modeling - Base Estimates'!P:P,'Modeling - Base Estimates'!$A:$A,$A29)*($N$2))</f>
        <v>477047.47848210885</v>
      </c>
      <c r="AL29" s="7">
        <f>(SUMIFS('Modeling - Base Estimates'!$X:$X,'Modeling - Base Estimates'!$A:$A,$A29)*SUMIFS('Modeling - Base Estimates'!Q:Q,'Modeling - Base Estimates'!$A:$A,$A29)*($N$2))</f>
        <v>611574.65045375517</v>
      </c>
      <c r="AM29" s="7">
        <f>(SUMIFS('Modeling - Base Estimates'!$X:$X,'Modeling - Base Estimates'!$A:$A,$A29)*SUMIFS('Modeling - Base Estimates'!R:R,'Modeling - Base Estimates'!$A:$A,$A29)*($N$2))</f>
        <v>1388436.2992910934</v>
      </c>
      <c r="AN29" s="7">
        <f>(SUMIFS('Modeling - Base Estimates'!X:X,'Modeling - Base Estimates'!A:A,$A29)*$R29*($R$2))+(SUMIFS('Modeling - Base Estimates'!X:X,'Modeling - Base Estimates'!A:A,$A29)*$S29*($S$2))+(SUMIFS('Modeling - Base Estimates'!X:X,'Modeling - Base Estimates'!A:A,$A29)*$T29*($T$2))+(SUMIFS('Modeling - Base Estimates'!X:X,'Modeling - Base Estimates'!A:A,$A29)*$U29*($U$2))+(SUMIFS('Modeling - Base Estimates'!X:X,'Modeling - Base Estimates'!A:A,$A29)*$V29*($V$2))</f>
        <v>642594.22556917777</v>
      </c>
      <c r="AO29" s="7">
        <f>SUM(AJ29:AN29)-(SUMIFS('Modeling - Base Estimates'!X:X,'Modeling - Base Estimates'!A:A,A29)-SUMIFS('Modeling - Base Estimates'!Z:Z,'Modeling - Base Estimates'!A:A,A29))</f>
        <v>0</v>
      </c>
      <c r="AQ29" s="7">
        <f t="shared" si="5"/>
        <v>3043546.1670089131</v>
      </c>
      <c r="AR29" s="7">
        <f>(W29*$O29*($N$2+'Modeling - Base Estimates'!$AA$51))</f>
        <v>1440752.5332088026</v>
      </c>
      <c r="AS29" s="7">
        <f>(W29*P29*('Modeling - Base Estimates'!$AE$51))</f>
        <v>831277.17577972438</v>
      </c>
      <c r="AT29" s="7">
        <f t="shared" si="6"/>
        <v>1404565.0084480369</v>
      </c>
      <c r="AU29" s="7">
        <f t="shared" si="7"/>
        <v>650058.8931059083</v>
      </c>
      <c r="AV29" s="5">
        <f t="shared" si="12"/>
        <v>0</v>
      </c>
      <c r="AX29" s="7">
        <f>SUMIFS('Modeling - Base Estimates'!X:X,'Modeling - Base Estimates'!A:A,A29)</f>
        <v>113642219.13476263</v>
      </c>
      <c r="AY29" s="5">
        <f t="shared" si="13"/>
        <v>3224240.0416934858</v>
      </c>
      <c r="AZ29" s="5">
        <f t="shared" si="13"/>
        <v>477047.47848210885</v>
      </c>
      <c r="BA29" s="5">
        <f t="shared" si="13"/>
        <v>611574.65045375517</v>
      </c>
      <c r="BB29" s="5">
        <f t="shared" si="13"/>
        <v>1388436.2992910934</v>
      </c>
      <c r="BC29" s="5">
        <f t="shared" si="13"/>
        <v>642594.22556917777</v>
      </c>
      <c r="BD29" s="5">
        <f t="shared" si="14"/>
        <v>107298326.43927301</v>
      </c>
      <c r="BF29" s="5">
        <f t="shared" si="15"/>
        <v>114962338.97123627</v>
      </c>
      <c r="BG29" s="5">
        <f t="shared" si="16"/>
        <v>3043546.1670089131</v>
      </c>
      <c r="BH29" s="5">
        <f t="shared" si="17"/>
        <v>418324.5425262723</v>
      </c>
      <c r="BI29" s="5">
        <f t="shared" si="18"/>
        <v>1440752.5332088026</v>
      </c>
      <c r="BJ29" s="5">
        <f t="shared" si="18"/>
        <v>831277.17577972438</v>
      </c>
      <c r="BK29" s="5">
        <f t="shared" si="18"/>
        <v>1404565.0084480369</v>
      </c>
      <c r="BL29" s="5">
        <f t="shared" si="18"/>
        <v>650058.8931059083</v>
      </c>
      <c r="BM29" s="5">
        <f t="shared" si="19"/>
        <v>107173814.65115862</v>
      </c>
      <c r="BO29" s="5">
        <f t="shared" si="20"/>
        <v>-124511.78811439872</v>
      </c>
      <c r="BP29" s="12">
        <f t="shared" si="21"/>
        <v>-1.1604261897306283E-3</v>
      </c>
    </row>
    <row r="30" spans="1:68" x14ac:dyDescent="0.25">
      <c r="A30" s="1">
        <v>37</v>
      </c>
      <c r="B30" s="1">
        <v>210037</v>
      </c>
      <c r="C30" s="4">
        <v>320559043.5</v>
      </c>
      <c r="D30" s="4">
        <f>SUM('Modeling - Base Estimates'!E30:G30)-SUM('Scenario 1 - increased MA % '!E30:F30)</f>
        <v>134641030.27000004</v>
      </c>
      <c r="E30" s="4">
        <f>((SUM('Modeling - Base Estimates'!F30:G30)/SUM('Modeling - Base Estimates'!E30:G30)+$E$63))*SUM('Modeling - Base Estimates'!E30:G30)*('Modeling - Base Estimates'!F30/SUM('Modeling - Base Estimates'!F30:G30))</f>
        <v>17104009.141434781</v>
      </c>
      <c r="F30" s="4">
        <f>((SUM('Modeling - Base Estimates'!F30:G30)/SUM('Modeling - Base Estimates'!E30:G30)+$E$63))*SUM('Modeling - Base Estimates'!E30:G30)*('Modeling - Base Estimates'!G30/SUM('Modeling - Base Estimates'!F30:G30))</f>
        <v>30131821.188565213</v>
      </c>
      <c r="G30" s="4">
        <v>4498246.3</v>
      </c>
      <c r="H30" s="4">
        <v>52359150.399999999</v>
      </c>
      <c r="I30" s="4">
        <v>12205881.1</v>
      </c>
      <c r="J30" s="4">
        <v>21575524.600000001</v>
      </c>
      <c r="K30" s="4">
        <v>1574144</v>
      </c>
      <c r="L30" s="4">
        <v>12623000</v>
      </c>
      <c r="M30" s="4">
        <f t="shared" si="0"/>
        <v>33846236.49999994</v>
      </c>
      <c r="N30" s="12">
        <f t="shared" si="1"/>
        <v>0.42001944103629707</v>
      </c>
      <c r="O30" s="12">
        <f t="shared" si="2"/>
        <v>5.3356813629981965E-2</v>
      </c>
      <c r="P30" s="12">
        <f t="shared" si="2"/>
        <v>9.3997726158567149E-2</v>
      </c>
      <c r="Q30" s="12">
        <f t="shared" si="9"/>
        <v>0.17736949823410611</v>
      </c>
      <c r="R30" s="12">
        <f t="shared" si="10"/>
        <v>3.8076857750544167E-2</v>
      </c>
      <c r="S30" s="12">
        <f t="shared" si="10"/>
        <v>6.7305930178819001E-2</v>
      </c>
      <c r="T30" s="12">
        <f t="shared" si="10"/>
        <v>4.9106210912436788E-3</v>
      </c>
      <c r="U30" s="12">
        <f t="shared" si="10"/>
        <v>3.937808106168747E-2</v>
      </c>
      <c r="V30" s="12">
        <f t="shared" si="11"/>
        <v>0.1055850308587533</v>
      </c>
      <c r="W30" s="4">
        <f>SUMIFS('Modeling - Base Estimates'!AK:AK,'Modeling - Base Estimates'!A:A,A30)</f>
        <v>171358069.39203146</v>
      </c>
      <c r="X30" s="4">
        <f>(W30*N30*(1-N$2))+(W30*O30*(1-'Modeling - Base Estimates'!$AA$51-N$2))+(W30*P30*(1-'Modeling - Base Estimates'!$AE$51))+(W30*Q30*(1-Q$2))+(W30*R30*(1-R$2))+(W30*S30*(1-S$2))+(W30*T30*(1-T$2))+(W30*U30*(1-U$2))+(W30*V30*(1-V$2))</f>
        <v>159574371.14686185</v>
      </c>
      <c r="Y30" s="5">
        <f>X30*N30*SUMIFS('Modeling - Base Estimates'!AN:AN,'Modeling - Base Estimates'!A:A,A30)</f>
        <v>717633.42049030901</v>
      </c>
      <c r="Z30" s="4">
        <f t="shared" si="4"/>
        <v>158856737.72637156</v>
      </c>
      <c r="AA30" s="4">
        <f>(((W30*N30*(1-N$2))/X30)*X30)-Y30-(((SUMIFS('Modeling - Base Estimates'!X:X,'Modeling - Base Estimates'!A:A,A30)*N30*(1-N$2))/SUMIFS('Modeling - Base Estimates'!Z:Z,'Modeling - Base Estimates'!A:A,A30))*SUMIFS('Modeling - Base Estimates'!Z:Z,'Modeling - Base Estimates'!A:A,A30))</f>
        <v>1039.7903784960508</v>
      </c>
      <c r="AB30" s="4"/>
      <c r="AC30" s="18">
        <f>1-((((W30*O30*(1-N$2-'Modeling - Base Estimates'!$AA$51))/X30)*X30)/('Modeling - Base Estimates'!X30*'Modeling - Base Estimates'!P30))</f>
        <v>-1.1746580739475876E-2</v>
      </c>
      <c r="AD30" s="18">
        <f t="shared" si="22"/>
        <v>-8.8746580739475875E-2</v>
      </c>
      <c r="AE30" s="18">
        <f>1-((((W30*P30*(1-'Modeling - Base Estimates'!$AE$51))/X30)*X30)/(SUMIFS('Modeling - Base Estimates'!X:X,'Modeling - Base Estimates'!A:A,A30)*'Modeling - Base Estimates'!Q30))</f>
        <v>-0.14385265744901332</v>
      </c>
      <c r="AF30" s="18">
        <f t="shared" si="23"/>
        <v>-0.22085265744901333</v>
      </c>
      <c r="AG30" s="18">
        <f>$N30*(1-$N$2)+$O30*(1-$N$2-'Modeling - Base Estimates'!$AA$51)+$P30*(1-'Modeling - Base Estimates'!$AE$51)+$Q30*(1-$Q$2)+$R30*(1-$R$2)+$S30*(1-$S$2)+$T30*(1-$T$2)+$U30*(1-$U$2)+$V30*(1-$V$2)</f>
        <v>0.93123347918789301</v>
      </c>
      <c r="AH30" s="18" t="e">
        <f>$O30*(1-$N$2-#REF!)+$P30*(1-#REF!)+$Q30*(1-$Q$2)+$R30*(1-$R$2)+$S30*(1-$S$2)+$T30*(1-$T$2)+$U30*(1-$U$2)+$V30*(1-$V$2)</f>
        <v>#REF!</v>
      </c>
      <c r="AJ30" s="7">
        <f>(SUMIFS('Modeling - Base Estimates'!$X:$X,'Modeling - Base Estimates'!$A:$A,$A30)*SUMIFS('Modeling - Base Estimates'!O:O,'Modeling - Base Estimates'!$A:$A,$A30)*($N$2))</f>
        <v>5852285.5854155663</v>
      </c>
      <c r="AK30" s="7">
        <f>(SUMIFS('Modeling - Base Estimates'!$X:$X,'Modeling - Base Estimates'!$A:$A,$A30)*SUMIFS('Modeling - Base Estimates'!P:P,'Modeling - Base Estimates'!$A:$A,$A30)*($N$2))</f>
        <v>562332.31814003666</v>
      </c>
      <c r="AL30" s="7">
        <f>(SUMIFS('Modeling - Base Estimates'!$X:$X,'Modeling - Base Estimates'!$A:$A,$A30)*SUMIFS('Modeling - Base Estimates'!Q:Q,'Modeling - Base Estimates'!$A:$A,$A30)*($N$2))</f>
        <v>990650.59651421499</v>
      </c>
      <c r="AM30" s="7">
        <f>(SUMIFS('Modeling - Base Estimates'!$X:$X,'Modeling - Base Estimates'!$A:$A,$A30)*SUMIFS('Modeling - Base Estimates'!R:R,'Modeling - Base Estimates'!$A:$A,$A30)*($N$2))</f>
        <v>2314996.4618340437</v>
      </c>
      <c r="AN30" s="7">
        <f>(SUMIFS('Modeling - Base Estimates'!X:X,'Modeling - Base Estimates'!A:A,$A30)*$R30*($R$2))+(SUMIFS('Modeling - Base Estimates'!X:X,'Modeling - Base Estimates'!A:A,$A30)*$S30*($S$2))+(SUMIFS('Modeling - Base Estimates'!X:X,'Modeling - Base Estimates'!A:A,$A30)*$T30*($T$2))+(SUMIFS('Modeling - Base Estimates'!X:X,'Modeling - Base Estimates'!A:A,$A30)*$U30*($U$2))+(SUMIFS('Modeling - Base Estimates'!X:X,'Modeling - Base Estimates'!A:A,$A30)*$V30*($V$2))</f>
        <v>747981.86684178014</v>
      </c>
      <c r="AO30" s="7">
        <f>SUM(AJ30:AN30)-(SUMIFS('Modeling - Base Estimates'!X:X,'Modeling - Base Estimates'!A:A,A30)-SUMIFS('Modeling - Base Estimates'!Z:Z,'Modeling - Base Estimates'!A:A,A30))</f>
        <v>0</v>
      </c>
      <c r="AQ30" s="7">
        <f t="shared" si="5"/>
        <v>5541976.4802787052</v>
      </c>
      <c r="AR30" s="7">
        <f>(W30*$O30*($N$2+'Modeling - Base Estimates'!$AA$51))</f>
        <v>1754317.9736157616</v>
      </c>
      <c r="AS30" s="7">
        <f>(W30*P30*('Modeling - Base Estimates'!$AE$51))</f>
        <v>1390927.0970166188</v>
      </c>
      <c r="AT30" s="7">
        <f t="shared" si="6"/>
        <v>2340314.4985550912</v>
      </c>
      <c r="AU30" s="7">
        <f t="shared" si="7"/>
        <v>756162.19570343837</v>
      </c>
      <c r="AV30" s="5">
        <f t="shared" si="12"/>
        <v>0</v>
      </c>
      <c r="AX30" s="7">
        <f>SUMIFS('Modeling - Base Estimates'!X:X,'Modeling - Base Estimates'!A:A,A30)</f>
        <v>169504280.12738612</v>
      </c>
      <c r="AY30" s="5">
        <f t="shared" si="13"/>
        <v>5852285.5854155663</v>
      </c>
      <c r="AZ30" s="5">
        <f t="shared" si="13"/>
        <v>562332.31814003666</v>
      </c>
      <c r="BA30" s="5">
        <f t="shared" si="13"/>
        <v>990650.59651421499</v>
      </c>
      <c r="BB30" s="5">
        <f t="shared" si="13"/>
        <v>2314996.4618340437</v>
      </c>
      <c r="BC30" s="5">
        <f t="shared" si="13"/>
        <v>747981.86684178014</v>
      </c>
      <c r="BD30" s="5">
        <f t="shared" si="14"/>
        <v>159036033.29864049</v>
      </c>
      <c r="BF30" s="5">
        <f t="shared" si="15"/>
        <v>171358069.39203146</v>
      </c>
      <c r="BG30" s="5">
        <f t="shared" si="16"/>
        <v>5541976.4802787052</v>
      </c>
      <c r="BH30" s="5">
        <f t="shared" si="17"/>
        <v>717633.42049030901</v>
      </c>
      <c r="BI30" s="5">
        <f t="shared" si="18"/>
        <v>1754317.9736157616</v>
      </c>
      <c r="BJ30" s="5">
        <f t="shared" si="18"/>
        <v>1390927.0970166188</v>
      </c>
      <c r="BK30" s="5">
        <f t="shared" si="18"/>
        <v>2340314.4985550912</v>
      </c>
      <c r="BL30" s="5">
        <f t="shared" si="18"/>
        <v>756162.19570343837</v>
      </c>
      <c r="BM30" s="5">
        <f t="shared" si="19"/>
        <v>158856737.72637153</v>
      </c>
      <c r="BO30" s="5">
        <f t="shared" si="20"/>
        <v>-179295.57226896286</v>
      </c>
      <c r="BP30" s="12">
        <f t="shared" si="21"/>
        <v>-1.1273896144798749E-3</v>
      </c>
    </row>
    <row r="31" spans="1:68" x14ac:dyDescent="0.25">
      <c r="A31" s="1">
        <v>38</v>
      </c>
      <c r="B31" s="1">
        <v>210038</v>
      </c>
      <c r="C31" s="4">
        <v>285799427.39999998</v>
      </c>
      <c r="D31" s="4">
        <f>SUM('Modeling - Base Estimates'!E31:G31)-SUM('Scenario 1 - increased MA % '!E31:F31)</f>
        <v>62709125.235000007</v>
      </c>
      <c r="E31" s="4">
        <f>((SUM('Modeling - Base Estimates'!F31:G31)/SUM('Modeling - Base Estimates'!E31:G31)+$E$63))*SUM('Modeling - Base Estimates'!E31:G31)*('Modeling - Base Estimates'!F31/SUM('Modeling - Base Estimates'!F31:G31))</f>
        <v>22966649.952749036</v>
      </c>
      <c r="F31" s="4">
        <f>((SUM('Modeling - Base Estimates'!F31:G31)/SUM('Modeling - Base Estimates'!E31:G31)+$E$63))*SUM('Modeling - Base Estimates'!E31:G31)*('Modeling - Base Estimates'!G31/SUM('Modeling - Base Estimates'!F31:G31))</f>
        <v>25716632.112250954</v>
      </c>
      <c r="G31" s="4">
        <v>13843662.1</v>
      </c>
      <c r="H31" s="4">
        <v>88311633.799999997</v>
      </c>
      <c r="I31" s="4">
        <v>7985594.1000000006</v>
      </c>
      <c r="J31" s="4">
        <v>19156676.800000001</v>
      </c>
      <c r="K31" s="4">
        <v>2123218.9</v>
      </c>
      <c r="L31" s="4">
        <v>11763000</v>
      </c>
      <c r="M31" s="4">
        <f t="shared" si="0"/>
        <v>31223234.399999976</v>
      </c>
      <c r="N31" s="12">
        <f t="shared" si="1"/>
        <v>0.21941655308928731</v>
      </c>
      <c r="O31" s="12">
        <f t="shared" si="2"/>
        <v>8.0359328084325748E-2</v>
      </c>
      <c r="P31" s="12">
        <f t="shared" si="2"/>
        <v>8.9981398305107152E-2</v>
      </c>
      <c r="Q31" s="12">
        <f t="shared" si="9"/>
        <v>0.35743702088326856</v>
      </c>
      <c r="R31" s="12">
        <f t="shared" si="10"/>
        <v>2.7941252971173731E-2</v>
      </c>
      <c r="S31" s="12">
        <f t="shared" si="10"/>
        <v>6.7028394613221687E-2</v>
      </c>
      <c r="T31" s="12">
        <f t="shared" si="10"/>
        <v>7.4290523228669001E-3</v>
      </c>
      <c r="U31" s="12">
        <f t="shared" si="10"/>
        <v>4.1158235014714384E-2</v>
      </c>
      <c r="V31" s="12">
        <f t="shared" si="11"/>
        <v>0.10924876471603448</v>
      </c>
      <c r="W31" s="4">
        <f>SUMIFS('Modeling - Base Estimates'!AK:AK,'Modeling - Base Estimates'!A:A,A31)</f>
        <v>156911448.54919684</v>
      </c>
      <c r="X31" s="4">
        <f>(W31*N31*(1-N$2))+(W31*O31*(1-'Modeling - Base Estimates'!$AA$51-N$2))+(W31*P31*(1-'Modeling - Base Estimates'!$AE$51))+(W31*Q31*(1-Q$2))+(W31*R31*(1-R$2))+(W31*S31*(1-S$2))+(W31*T31*(1-T$2))+(W31*U31*(1-U$2))+(W31*V31*(1-V$2))</f>
        <v>145628014.28198573</v>
      </c>
      <c r="Y31" s="5">
        <f>X31*N31*SUMIFS('Modeling - Base Estimates'!AN:AN,'Modeling - Base Estimates'!A:A,A31)</f>
        <v>395589.70948705258</v>
      </c>
      <c r="Z31" s="4">
        <f t="shared" si="4"/>
        <v>145232424.57249868</v>
      </c>
      <c r="AA31" s="4">
        <f>(((W31*N31*(1-N$2))/X31)*X31)-Y31-(((SUMIFS('Modeling - Base Estimates'!X:X,'Modeling - Base Estimates'!A:A,A31)*N31*(1-N$2))/SUMIFS('Modeling - Base Estimates'!Z:Z,'Modeling - Base Estimates'!A:A,A31))*SUMIFS('Modeling - Base Estimates'!Z:Z,'Modeling - Base Estimates'!A:A,A31))</f>
        <v>491.19142754003406</v>
      </c>
      <c r="AB31" s="4"/>
      <c r="AC31" s="18">
        <f>1-((((W31*O31*(1-N$2-'Modeling - Base Estimates'!$AA$51))/X31)*X31)/('Modeling - Base Estimates'!X31*'Modeling - Base Estimates'!P31))</f>
        <v>7.595817437000596E-2</v>
      </c>
      <c r="AD31" s="18">
        <f t="shared" si="22"/>
        <v>-1.0418256299940393E-3</v>
      </c>
      <c r="AE31" s="18">
        <f>1-((((W31*P31*(1-'Modeling - Base Estimates'!$AE$51))/X31)*X31)/(SUMIFS('Modeling - Base Estimates'!X:X,'Modeling - Base Estimates'!A:A,A31)*'Modeling - Base Estimates'!Q31))</f>
        <v>-4.4696090861388704E-2</v>
      </c>
      <c r="AF31" s="18">
        <f t="shared" si="23"/>
        <v>-0.1216960908613887</v>
      </c>
      <c r="AG31" s="18">
        <f>$N31*(1-$N$2)+$O31*(1-$N$2-'Modeling - Base Estimates'!$AA$51)+$P31*(1-'Modeling - Base Estimates'!$AE$51)+$Q31*(1-$Q$2)+$R31*(1-$R$2)+$S31*(1-$S$2)+$T31*(1-$T$2)+$U31*(1-$U$2)+$V31*(1-$V$2)</f>
        <v>0.92809043335245622</v>
      </c>
      <c r="AH31" s="18" t="e">
        <f>$O31*(1-$N$2-#REF!)+$P31*(1-#REF!)+$Q31*(1-$Q$2)+$R31*(1-$R$2)+$S31*(1-$S$2)+$T31*(1-$T$2)+$U31*(1-$U$2)+$V31*(1-$V$2)</f>
        <v>#REF!</v>
      </c>
      <c r="AJ31" s="7">
        <f>(SUMIFS('Modeling - Base Estimates'!$X:$X,'Modeling - Base Estimates'!$A:$A,$A31)*SUMIFS('Modeling - Base Estimates'!O:O,'Modeling - Base Estimates'!$A:$A,$A31)*($N$2))</f>
        <v>2850509.3077642908</v>
      </c>
      <c r="AK31" s="7">
        <f>(SUMIFS('Modeling - Base Estimates'!$X:$X,'Modeling - Base Estimates'!$A:$A,$A31)*SUMIFS('Modeling - Base Estimates'!P:P,'Modeling - Base Estimates'!$A:$A,$A31)*($N$2))</f>
        <v>849121.11622786988</v>
      </c>
      <c r="AL31" s="7">
        <f>(SUMIFS('Modeling - Base Estimates'!$X:$X,'Modeling - Base Estimates'!$A:$A,$A31)*SUMIFS('Modeling - Base Estimates'!Q:Q,'Modeling - Base Estimates'!$A:$A,$A31)*($N$2))</f>
        <v>950793.23321868503</v>
      </c>
      <c r="AM31" s="7">
        <f>(SUMIFS('Modeling - Base Estimates'!$X:$X,'Modeling - Base Estimates'!$A:$A,$A31)*SUMIFS('Modeling - Base Estimates'!R:R,'Modeling - Base Estimates'!$A:$A,$A31)*($N$2))</f>
        <v>4264791.6162121948</v>
      </c>
      <c r="AN31" s="7">
        <f>(SUMIFS('Modeling - Base Estimates'!X:X,'Modeling - Base Estimates'!A:A,$A31)*$R31*($R$2))+(SUMIFS('Modeling - Base Estimates'!X:X,'Modeling - Base Estimates'!A:A,$A31)*$S31*($S$2))+(SUMIFS('Modeling - Base Estimates'!X:X,'Modeling - Base Estimates'!A:A,$A31)*$T31*($T$2))+(SUMIFS('Modeling - Base Estimates'!X:X,'Modeling - Base Estimates'!A:A,$A31)*$U31*($U$2))+(SUMIFS('Modeling - Base Estimates'!X:X,'Modeling - Base Estimates'!A:A,$A31)*$V31*($V$2))</f>
        <v>666743.7656808804</v>
      </c>
      <c r="AO31" s="7">
        <f>SUM(AJ31:AN31)-(SUMIFS('Modeling - Base Estimates'!X:X,'Modeling - Base Estimates'!A:A,A31)-SUMIFS('Modeling - Base Estimates'!Z:Z,'Modeling - Base Estimates'!A:A,A31))</f>
        <v>-3.3527612686157227E-8</v>
      </c>
      <c r="AQ31" s="7">
        <f t="shared" si="5"/>
        <v>2651030.6269302103</v>
      </c>
      <c r="AR31" s="7">
        <f>(W31*$O31*($N$2+'Modeling - Base Estimates'!$AA$51))</f>
        <v>2419383.9453182109</v>
      </c>
      <c r="AS31" s="7">
        <f>(W31*P31*('Modeling - Base Estimates'!$AE$51))</f>
        <v>1219241.7588350382</v>
      </c>
      <c r="AT31" s="7">
        <f t="shared" si="6"/>
        <v>4318618.9748165458</v>
      </c>
      <c r="AU31" s="7">
        <f t="shared" si="7"/>
        <v>675158.961311094</v>
      </c>
      <c r="AV31" s="5">
        <f t="shared" si="12"/>
        <v>0</v>
      </c>
      <c r="AX31" s="7">
        <f>SUMIFS('Modeling - Base Estimates'!X:X,'Modeling - Base Estimates'!A:A,A31)</f>
        <v>154955700.92259717</v>
      </c>
      <c r="AY31" s="5">
        <f t="shared" si="13"/>
        <v>2850509.3077642908</v>
      </c>
      <c r="AZ31" s="5">
        <f t="shared" si="13"/>
        <v>849121.11622786988</v>
      </c>
      <c r="BA31" s="5">
        <f t="shared" si="13"/>
        <v>950793.23321868503</v>
      </c>
      <c r="BB31" s="5">
        <f t="shared" si="13"/>
        <v>4264791.6162121948</v>
      </c>
      <c r="BC31" s="5">
        <f t="shared" si="13"/>
        <v>666743.7656808804</v>
      </c>
      <c r="BD31" s="5">
        <f t="shared" si="14"/>
        <v>145373741.88349324</v>
      </c>
      <c r="BF31" s="5">
        <f t="shared" si="15"/>
        <v>156911448.54919684</v>
      </c>
      <c r="BG31" s="5">
        <f t="shared" si="16"/>
        <v>2651030.6269302103</v>
      </c>
      <c r="BH31" s="5">
        <f t="shared" si="17"/>
        <v>395589.70948705258</v>
      </c>
      <c r="BI31" s="5">
        <f t="shared" si="18"/>
        <v>2419383.9453182109</v>
      </c>
      <c r="BJ31" s="5">
        <f t="shared" si="18"/>
        <v>1219241.7588350382</v>
      </c>
      <c r="BK31" s="5">
        <f t="shared" si="18"/>
        <v>4318618.9748165458</v>
      </c>
      <c r="BL31" s="5">
        <f t="shared" si="18"/>
        <v>675158.961311094</v>
      </c>
      <c r="BM31" s="5">
        <f t="shared" si="19"/>
        <v>145232424.57249868</v>
      </c>
      <c r="BO31" s="5">
        <f t="shared" si="20"/>
        <v>-141317.31099456549</v>
      </c>
      <c r="BP31" s="12">
        <f t="shared" si="21"/>
        <v>-9.7209653657963412E-4</v>
      </c>
    </row>
    <row r="32" spans="1:68" x14ac:dyDescent="0.25">
      <c r="A32" s="1">
        <v>39</v>
      </c>
      <c r="B32" s="1">
        <v>210039</v>
      </c>
      <c r="C32" s="4">
        <v>197883196</v>
      </c>
      <c r="D32" s="4">
        <f>SUM('Modeling - Base Estimates'!E32:G32)-SUM('Scenario 1 - increased MA % '!E32:F32)</f>
        <v>72734334.589999989</v>
      </c>
      <c r="E32" s="4">
        <f>((SUM('Modeling - Base Estimates'!F32:G32)/SUM('Modeling - Base Estimates'!E32:G32)+$E$63))*SUM('Modeling - Base Estimates'!E32:G32)*('Modeling - Base Estimates'!F32/SUM('Modeling - Base Estimates'!F32:G32))</f>
        <v>7835715.831628724</v>
      </c>
      <c r="F32" s="4">
        <f>((SUM('Modeling - Base Estimates'!F32:G32)/SUM('Modeling - Base Estimates'!E32:G32)+$E$63))*SUM('Modeling - Base Estimates'!E32:G32)*('Modeling - Base Estimates'!G32/SUM('Modeling - Base Estimates'!F32:G32))</f>
        <v>14839727.778371276</v>
      </c>
      <c r="G32" s="4">
        <v>4620170.6000000006</v>
      </c>
      <c r="H32" s="4">
        <v>21027433.5</v>
      </c>
      <c r="I32" s="4">
        <v>10527193</v>
      </c>
      <c r="J32" s="4">
        <v>21988651</v>
      </c>
      <c r="K32" s="4">
        <v>802847.8</v>
      </c>
      <c r="L32" s="4">
        <v>4752502.9000000004</v>
      </c>
      <c r="M32" s="4">
        <f t="shared" si="0"/>
        <v>38754619</v>
      </c>
      <c r="N32" s="12">
        <f t="shared" si="1"/>
        <v>0.36756195604400888</v>
      </c>
      <c r="O32" s="12">
        <f t="shared" si="2"/>
        <v>3.9597681814421089E-2</v>
      </c>
      <c r="P32" s="12">
        <f t="shared" si="2"/>
        <v>7.4992359524915272E-2</v>
      </c>
      <c r="Q32" s="12">
        <f t="shared" si="9"/>
        <v>0.12960981335676428</v>
      </c>
      <c r="R32" s="12">
        <f t="shared" si="10"/>
        <v>5.3199024539708768E-2</v>
      </c>
      <c r="S32" s="12">
        <f t="shared" si="10"/>
        <v>0.11111934436312622</v>
      </c>
      <c r="T32" s="12">
        <f t="shared" si="10"/>
        <v>4.0571802771974634E-3</v>
      </c>
      <c r="U32" s="12">
        <f t="shared" si="10"/>
        <v>2.4016707815857189E-2</v>
      </c>
      <c r="V32" s="12">
        <f t="shared" si="11"/>
        <v>0.19584593226400082</v>
      </c>
      <c r="W32" s="4">
        <f>SUMIFS('Modeling - Base Estimates'!AK:AK,'Modeling - Base Estimates'!A:A,A32)</f>
        <v>105543825.80119239</v>
      </c>
      <c r="X32" s="4">
        <f>(W32*N32*(1-N$2))+(W32*O32*(1-'Modeling - Base Estimates'!$AA$51-N$2))+(W32*P32*(1-'Modeling - Base Estimates'!$AE$51))+(W32*Q32*(1-Q$2))+(W32*R32*(1-R$2))+(W32*S32*(1-S$2))+(W32*T32*(1-T$2))+(W32*U32*(1-U$2))+(W32*V32*(1-V$2))</f>
        <v>99235126.24154973</v>
      </c>
      <c r="Y32" s="5">
        <f>X32*N32*SUMIFS('Modeling - Base Estimates'!AN:AN,'Modeling - Base Estimates'!A:A,A32)</f>
        <v>254468.38709476741</v>
      </c>
      <c r="Z32" s="4">
        <f t="shared" si="4"/>
        <v>98980657.854454964</v>
      </c>
      <c r="AA32" s="4">
        <f>(((W32*N32*(1-N$2))/X32)*X32)-Y32-(((SUMIFS('Modeling - Base Estimates'!X:X,'Modeling - Base Estimates'!A:A,A32)*N32*(1-N$2))/SUMIFS('Modeling - Base Estimates'!Z:Z,'Modeling - Base Estimates'!A:A,A32))*SUMIFS('Modeling - Base Estimates'!Z:Z,'Modeling - Base Estimates'!A:A,A32))</f>
        <v>298.93914352357388</v>
      </c>
      <c r="AB32" s="4"/>
      <c r="AC32" s="18">
        <f>1-((((W32*O32*(1-N$2-'Modeling - Base Estimates'!$AA$51))/X32)*X32)/('Modeling - Base Estimates'!X32*'Modeling - Base Estimates'!P32))</f>
        <v>-3.0773535385099082E-2</v>
      </c>
      <c r="AD32" s="18">
        <f t="shared" si="22"/>
        <v>-0.10777353538509908</v>
      </c>
      <c r="AE32" s="18">
        <f>1-((((W32*P32*(1-'Modeling - Base Estimates'!$AE$51))/X32)*X32)/(SUMIFS('Modeling - Base Estimates'!X:X,'Modeling - Base Estimates'!A:A,A32)*'Modeling - Base Estimates'!Q32))</f>
        <v>-0.16536400529923467</v>
      </c>
      <c r="AF32" s="18">
        <f t="shared" si="23"/>
        <v>-0.24236400529923469</v>
      </c>
      <c r="AG32" s="18">
        <f>$N32*(1-$N$2)+$O32*(1-$N$2-'Modeling - Base Estimates'!$AA$51)+$P32*(1-'Modeling - Base Estimates'!$AE$51)+$Q32*(1-$Q$2)+$R32*(1-$R$2)+$S32*(1-$S$2)+$T32*(1-$T$2)+$U32*(1-$U$2)+$V32*(1-$V$2)</f>
        <v>0.94022673034871762</v>
      </c>
      <c r="AH32" s="18" t="e">
        <f>$O32*(1-$N$2-#REF!)+$P32*(1-#REF!)+$Q32*(1-$Q$2)+$R32*(1-$R$2)+$S32*(1-$S$2)+$T32*(1-$T$2)+$U32*(1-$U$2)+$V32*(1-$V$2)</f>
        <v>#REF!</v>
      </c>
      <c r="AJ32" s="7">
        <f>(SUMIFS('Modeling - Base Estimates'!$X:$X,'Modeling - Base Estimates'!$A:$A,$A32)*SUMIFS('Modeling - Base Estimates'!O:O,'Modeling - Base Estimates'!$A:$A,$A32)*($N$2))</f>
        <v>3160401.7692510365</v>
      </c>
      <c r="AK32" s="7">
        <f>(SUMIFS('Modeling - Base Estimates'!$X:$X,'Modeling - Base Estimates'!$A:$A,$A32)*SUMIFS('Modeling - Base Estimates'!P:P,'Modeling - Base Estimates'!$A:$A,$A32)*($N$2))</f>
        <v>252295.60008420373</v>
      </c>
      <c r="AL32" s="7">
        <f>(SUMIFS('Modeling - Base Estimates'!$X:$X,'Modeling - Base Estimates'!$A:$A,$A32)*SUMIFS('Modeling - Base Estimates'!Q:Q,'Modeling - Base Estimates'!$A:$A,$A32)*($N$2))</f>
        <v>477811.86880435719</v>
      </c>
      <c r="AM32" s="7">
        <f>(SUMIFS('Modeling - Base Estimates'!$X:$X,'Modeling - Base Estimates'!$A:$A,$A32)*SUMIFS('Modeling - Base Estimates'!R:R,'Modeling - Base Estimates'!$A:$A,$A32)*($N$2))</f>
        <v>1045828.2428665895</v>
      </c>
      <c r="AN32" s="7">
        <f>(SUMIFS('Modeling - Base Estimates'!X:X,'Modeling - Base Estimates'!A:A,$A32)*$R32*($R$2))+(SUMIFS('Modeling - Base Estimates'!X:X,'Modeling - Base Estimates'!A:A,$A32)*$S32*($S$2))+(SUMIFS('Modeling - Base Estimates'!X:X,'Modeling - Base Estimates'!A:A,$A32)*$T32*($T$2))+(SUMIFS('Modeling - Base Estimates'!X:X,'Modeling - Base Estimates'!A:A,$A32)*$U32*($U$2))+(SUMIFS('Modeling - Base Estimates'!X:X,'Modeling - Base Estimates'!A:A,$A32)*$V32*($V$2))</f>
        <v>777293.52050612657</v>
      </c>
      <c r="AO32" s="7">
        <f>SUM(AJ32:AN32)-(SUMIFS('Modeling - Base Estimates'!X:X,'Modeling - Base Estimates'!A:A,A32)-SUMIFS('Modeling - Base Estimates'!Z:Z,'Modeling - Base Estimates'!A:A,A32))</f>
        <v>9.3132257461547852E-9</v>
      </c>
      <c r="AQ32" s="7">
        <f t="shared" si="5"/>
        <v>2987129.919608789</v>
      </c>
      <c r="AR32" s="7">
        <f>(W32*$O32*($N$2+'Modeling - Base Estimates'!$AA$51))</f>
        <v>801893.06972243509</v>
      </c>
      <c r="AS32" s="7">
        <f>(W32*P32*('Modeling - Base Estimates'!$AE$51))</f>
        <v>683490.22869781393</v>
      </c>
      <c r="AT32" s="7">
        <f t="shared" si="6"/>
        <v>1053322.6983549569</v>
      </c>
      <c r="AU32" s="7">
        <f t="shared" si="7"/>
        <v>782863.64325865638</v>
      </c>
      <c r="AV32" s="5">
        <f t="shared" si="12"/>
        <v>0</v>
      </c>
      <c r="AX32" s="7">
        <f>SUMIFS('Modeling - Base Estimates'!X:X,'Modeling - Base Estimates'!A:A,A32)</f>
        <v>104792875.01870723</v>
      </c>
      <c r="AY32" s="5">
        <f t="shared" si="13"/>
        <v>3160401.7692510365</v>
      </c>
      <c r="AZ32" s="5">
        <f t="shared" si="13"/>
        <v>252295.60008420373</v>
      </c>
      <c r="BA32" s="5">
        <f t="shared" si="13"/>
        <v>477811.86880435719</v>
      </c>
      <c r="BB32" s="5">
        <f t="shared" si="13"/>
        <v>1045828.2428665895</v>
      </c>
      <c r="BC32" s="5">
        <f t="shared" si="13"/>
        <v>777293.52050612657</v>
      </c>
      <c r="BD32" s="5">
        <f t="shared" si="14"/>
        <v>99079244.017194912</v>
      </c>
      <c r="BF32" s="5">
        <f t="shared" si="15"/>
        <v>105543825.80119239</v>
      </c>
      <c r="BG32" s="5">
        <f t="shared" si="16"/>
        <v>2987129.919608789</v>
      </c>
      <c r="BH32" s="5">
        <f t="shared" si="17"/>
        <v>254468.38709476741</v>
      </c>
      <c r="BI32" s="5">
        <f t="shared" si="18"/>
        <v>801893.06972243509</v>
      </c>
      <c r="BJ32" s="5">
        <f t="shared" si="18"/>
        <v>683490.22869781393</v>
      </c>
      <c r="BK32" s="5">
        <f t="shared" si="18"/>
        <v>1053322.6983549569</v>
      </c>
      <c r="BL32" s="5">
        <f t="shared" si="18"/>
        <v>782863.64325865638</v>
      </c>
      <c r="BM32" s="5">
        <f t="shared" si="19"/>
        <v>98980657.854454964</v>
      </c>
      <c r="BO32" s="5">
        <f t="shared" si="20"/>
        <v>-98586.162739947438</v>
      </c>
      <c r="BP32" s="12">
        <f t="shared" si="21"/>
        <v>-9.9502336455895945E-4</v>
      </c>
    </row>
    <row r="33" spans="1:68" x14ac:dyDescent="0.25">
      <c r="A33" s="1">
        <v>40</v>
      </c>
      <c r="B33" s="1">
        <v>210040</v>
      </c>
      <c r="C33" s="4">
        <v>322316790.09999996</v>
      </c>
      <c r="D33" s="4">
        <f>SUM('Modeling - Base Estimates'!E33:G33)-SUM('Scenario 1 - increased MA % '!E33:F33)</f>
        <v>110029585.57000001</v>
      </c>
      <c r="E33" s="4">
        <f>((SUM('Modeling - Base Estimates'!F33:G33)/SUM('Modeling - Base Estimates'!E33:G33)+$E$63))*SUM('Modeling - Base Estimates'!E33:G33)*('Modeling - Base Estimates'!F33/SUM('Modeling - Base Estimates'!F33:G33))</f>
        <v>27366500.329011474</v>
      </c>
      <c r="F33" s="4">
        <f>((SUM('Modeling - Base Estimates'!F33:G33)/SUM('Modeling - Base Estimates'!E33:G33)+$E$63))*SUM('Modeling - Base Estimates'!E33:G33)*('Modeling - Base Estimates'!G33/SUM('Modeling - Base Estimates'!F33:G33))</f>
        <v>34627572.700988509</v>
      </c>
      <c r="G33" s="4">
        <v>12438049.6</v>
      </c>
      <c r="H33" s="4">
        <v>52220886.200000003</v>
      </c>
      <c r="I33" s="4">
        <v>7924276</v>
      </c>
      <c r="J33" s="4">
        <v>18569972.099999998</v>
      </c>
      <c r="K33" s="4">
        <v>0</v>
      </c>
      <c r="L33" s="4">
        <v>14047800</v>
      </c>
      <c r="M33" s="4">
        <f t="shared" si="0"/>
        <v>45092147.599999964</v>
      </c>
      <c r="N33" s="12">
        <f t="shared" si="1"/>
        <v>0.34137093986280681</v>
      </c>
      <c r="O33" s="12">
        <f t="shared" si="2"/>
        <v>8.4905599613724486E-2</v>
      </c>
      <c r="P33" s="12">
        <f t="shared" si="2"/>
        <v>0.10743335055628091</v>
      </c>
      <c r="Q33" s="12">
        <f t="shared" si="9"/>
        <v>0.20060678744020544</v>
      </c>
      <c r="R33" s="12">
        <f t="shared" si="10"/>
        <v>2.4585365216442695E-2</v>
      </c>
      <c r="S33" s="12">
        <f t="shared" si="10"/>
        <v>5.7614038952915225E-2</v>
      </c>
      <c r="T33" s="12">
        <f t="shared" si="10"/>
        <v>0</v>
      </c>
      <c r="U33" s="12">
        <f t="shared" si="10"/>
        <v>4.3583829423349679E-2</v>
      </c>
      <c r="V33" s="12">
        <f t="shared" si="11"/>
        <v>0.13990008893427475</v>
      </c>
      <c r="W33" s="4">
        <f>SUMIFS('Modeling - Base Estimates'!AK:AK,'Modeling - Base Estimates'!A:A,A33)</f>
        <v>177715610.87865826</v>
      </c>
      <c r="X33" s="4">
        <f>(W33*N33*(1-N$2))+(W33*O33*(1-'Modeling - Base Estimates'!$AA$51-N$2))+(W33*P33*(1-'Modeling - Base Estimates'!$AE$51))+(W33*Q33*(1-Q$2))+(W33*R33*(1-R$2))+(W33*S33*(1-S$2))+(W33*T33*(1-T$2))+(W33*U33*(1-U$2))+(W33*V33*(1-V$2))</f>
        <v>164954896.0616824</v>
      </c>
      <c r="Y33" s="5">
        <f>X33*N33*SUMIFS('Modeling - Base Estimates'!AN:AN,'Modeling - Base Estimates'!A:A,A33)</f>
        <v>867140.30324114836</v>
      </c>
      <c r="Z33" s="4">
        <f t="shared" si="4"/>
        <v>164087755.75844127</v>
      </c>
      <c r="AA33" s="4">
        <f>(((W33*N33*(1-N$2))/X33)*X33)-Y33-(((SUMIFS('Modeling - Base Estimates'!X:X,'Modeling - Base Estimates'!A:A,A33)*N33*(1-N$2))/SUMIFS('Modeling - Base Estimates'!Z:Z,'Modeling - Base Estimates'!A:A,A33))*SUMIFS('Modeling - Base Estimates'!Z:Z,'Modeling - Base Estimates'!A:A,A33))</f>
        <v>1394.4440775066614</v>
      </c>
      <c r="AB33" s="4"/>
      <c r="AC33" s="18">
        <f>1-((((W33*O33*(1-N$2-'Modeling - Base Estimates'!$AA$51))/X33)*X33)/('Modeling - Base Estimates'!X33*'Modeling - Base Estimates'!P33))</f>
        <v>4.6906760606435061E-2</v>
      </c>
      <c r="AD33" s="18">
        <f t="shared" si="22"/>
        <v>-3.0093239393564938E-2</v>
      </c>
      <c r="AE33" s="18">
        <f>1-((((W33*P33*(1-'Modeling - Base Estimates'!$AE$51))/X33)*X33)/(SUMIFS('Modeling - Base Estimates'!X:X,'Modeling - Base Estimates'!A:A,A33)*'Modeling - Base Estimates'!Q33))</f>
        <v>-7.7540814499420074E-2</v>
      </c>
      <c r="AF33" s="18">
        <f t="shared" si="23"/>
        <v>-0.15454081449942009</v>
      </c>
      <c r="AG33" s="18">
        <f>$N33*(1-$N$2)+$O33*(1-$N$2-'Modeling - Base Estimates'!$AA$51)+$P33*(1-'Modeling - Base Estimates'!$AE$51)+$Q33*(1-$Q$2)+$R33*(1-$R$2)+$S33*(1-$S$2)+$T33*(1-$T$2)+$U33*(1-$U$2)+$V33*(1-$V$2)</f>
        <v>0.928195870053933</v>
      </c>
      <c r="AH33" s="18" t="e">
        <f>$O33*(1-$N$2-#REF!)+$P33*(1-#REF!)+$Q33*(1-$Q$2)+$R33*(1-$R$2)+$S33*(1-$S$2)+$T33*(1-$T$2)+$U33*(1-$U$2)+$V33*(1-$V$2)</f>
        <v>#REF!</v>
      </c>
      <c r="AJ33" s="7">
        <f>(SUMIFS('Modeling - Base Estimates'!$X:$X,'Modeling - Base Estimates'!$A:$A,$A33)*SUMIFS('Modeling - Base Estimates'!O:O,'Modeling - Base Estimates'!$A:$A,$A33)*($N$2))</f>
        <v>4958401.4699586695</v>
      </c>
      <c r="AK33" s="7">
        <f>(SUMIFS('Modeling - Base Estimates'!$X:$X,'Modeling - Base Estimates'!$A:$A,$A33)*SUMIFS('Modeling - Base Estimates'!P:P,'Modeling - Base Estimates'!$A:$A,$A33)*($N$2))</f>
        <v>985137.53227108147</v>
      </c>
      <c r="AL33" s="7">
        <f>(SUMIFS('Modeling - Base Estimates'!$X:$X,'Modeling - Base Estimates'!$A:$A,$A33)*SUMIFS('Modeling - Base Estimates'!Q:Q,'Modeling - Base Estimates'!$A:$A,$A33)*($N$2))</f>
        <v>1246521.1521045633</v>
      </c>
      <c r="AM33" s="7">
        <f>(SUMIFS('Modeling - Base Estimates'!$X:$X,'Modeling - Base Estimates'!$A:$A,$A33)*SUMIFS('Modeling - Base Estimates'!R:R,'Modeling - Base Estimates'!$A:$A,$A33)*($N$2))</f>
        <v>2702544.7644864852</v>
      </c>
      <c r="AN33" s="7">
        <f>(SUMIFS('Modeling - Base Estimates'!X:X,'Modeling - Base Estimates'!A:A,$A33)*$R33*($R$2))+(SUMIFS('Modeling - Base Estimates'!X:X,'Modeling - Base Estimates'!A:A,$A33)*$S33*($S$2))+(SUMIFS('Modeling - Base Estimates'!X:X,'Modeling - Base Estimates'!A:A,$A33)*$T33*($T$2))+(SUMIFS('Modeling - Base Estimates'!X:X,'Modeling - Base Estimates'!A:A,$A33)*$U33*($U$2))+(SUMIFS('Modeling - Base Estimates'!X:X,'Modeling - Base Estimates'!A:A,$A33)*$V33*($V$2))</f>
        <v>787920.15368029778</v>
      </c>
      <c r="AO33" s="7">
        <f>SUM(AJ33:AN33)-(SUMIFS('Modeling - Base Estimates'!X:X,'Modeling - Base Estimates'!A:A,A33)-SUMIFS('Modeling - Base Estimates'!Z:Z,'Modeling - Base Estimates'!A:A,A33))</f>
        <v>0</v>
      </c>
      <c r="AQ33" s="7">
        <f t="shared" si="5"/>
        <v>4671354.7737734122</v>
      </c>
      <c r="AR33" s="7">
        <f>(W33*$O33*($N$2+'Modeling - Base Estimates'!$AA$51))</f>
        <v>2895181.3870415878</v>
      </c>
      <c r="AS33" s="7">
        <f>(W33*P33*('Modeling - Base Estimates'!$AE$51))</f>
        <v>1648720.9575322322</v>
      </c>
      <c r="AT33" s="7">
        <f t="shared" si="6"/>
        <v>2745123.7487782771</v>
      </c>
      <c r="AU33" s="7">
        <f t="shared" si="7"/>
        <v>800333.94985033618</v>
      </c>
      <c r="AV33" s="5">
        <f t="shared" si="12"/>
        <v>-1.4901161193847656E-8</v>
      </c>
      <c r="AX33" s="7">
        <f>SUMIFS('Modeling - Base Estimates'!X:X,'Modeling - Base Estimates'!A:A,A33)</f>
        <v>174959104.83503228</v>
      </c>
      <c r="AY33" s="5">
        <f t="shared" si="13"/>
        <v>4958401.4699586695</v>
      </c>
      <c r="AZ33" s="5">
        <f t="shared" si="13"/>
        <v>985137.53227108147</v>
      </c>
      <c r="BA33" s="5">
        <f t="shared" si="13"/>
        <v>1246521.1521045633</v>
      </c>
      <c r="BB33" s="5">
        <f t="shared" si="13"/>
        <v>2702544.7644864852</v>
      </c>
      <c r="BC33" s="5">
        <f t="shared" si="13"/>
        <v>787920.15368029778</v>
      </c>
      <c r="BD33" s="5">
        <f t="shared" si="14"/>
        <v>164278579.76253119</v>
      </c>
      <c r="BF33" s="5">
        <f t="shared" si="15"/>
        <v>177715610.87865826</v>
      </c>
      <c r="BG33" s="5">
        <f t="shared" si="16"/>
        <v>4671354.7737734122</v>
      </c>
      <c r="BH33" s="5">
        <f t="shared" si="17"/>
        <v>867140.30324114836</v>
      </c>
      <c r="BI33" s="5">
        <f t="shared" si="18"/>
        <v>2895181.3870415878</v>
      </c>
      <c r="BJ33" s="5">
        <f t="shared" si="18"/>
        <v>1648720.9575322322</v>
      </c>
      <c r="BK33" s="5">
        <f t="shared" si="18"/>
        <v>2745123.7487782771</v>
      </c>
      <c r="BL33" s="5">
        <f t="shared" si="18"/>
        <v>800333.94985033618</v>
      </c>
      <c r="BM33" s="5">
        <f t="shared" si="19"/>
        <v>164087755.75844127</v>
      </c>
      <c r="BO33" s="5">
        <f t="shared" si="20"/>
        <v>-190824.00408992171</v>
      </c>
      <c r="BP33" s="12">
        <f t="shared" si="21"/>
        <v>-1.1615878610940185E-3</v>
      </c>
    </row>
    <row r="34" spans="1:68" x14ac:dyDescent="0.25">
      <c r="A34" s="1">
        <v>43</v>
      </c>
      <c r="B34" s="1">
        <v>210043</v>
      </c>
      <c r="C34" s="4">
        <v>554612092.60000002</v>
      </c>
      <c r="D34" s="4">
        <f>SUM('Modeling - Base Estimates'!E34:G34)-SUM('Scenario 1 - increased MA % '!E34:F34)</f>
        <v>168958562.13499999</v>
      </c>
      <c r="E34" s="4">
        <f>((SUM('Modeling - Base Estimates'!F34:G34)/SUM('Modeling - Base Estimates'!E34:G34)+$E$63))*SUM('Modeling - Base Estimates'!E34:G34)*('Modeling - Base Estimates'!F34/SUM('Modeling - Base Estimates'!F34:G34))</f>
        <v>49759719.441443734</v>
      </c>
      <c r="F34" s="4">
        <f>((SUM('Modeling - Base Estimates'!F34:G34)/SUM('Modeling - Base Estimates'!E34:G34)+$E$63))*SUM('Modeling - Base Estimates'!E34:G34)*('Modeling - Base Estimates'!G34/SUM('Modeling - Base Estimates'!F34:G34))</f>
        <v>47263009.723556273</v>
      </c>
      <c r="G34" s="4">
        <v>18505678.899999999</v>
      </c>
      <c r="H34" s="4">
        <v>85056373.900000006</v>
      </c>
      <c r="I34" s="4">
        <v>30316916.300000001</v>
      </c>
      <c r="J34" s="4">
        <v>35822698.199999996</v>
      </c>
      <c r="K34" s="4">
        <v>2113631.4000000004</v>
      </c>
      <c r="L34" s="4">
        <v>23635000</v>
      </c>
      <c r="M34" s="4">
        <f t="shared" si="0"/>
        <v>93180502.600000024</v>
      </c>
      <c r="N34" s="12">
        <f t="shared" si="1"/>
        <v>0.30464276633949466</v>
      </c>
      <c r="O34" s="12">
        <f t="shared" si="2"/>
        <v>8.9719860250742273E-2</v>
      </c>
      <c r="P34" s="12">
        <f t="shared" si="2"/>
        <v>8.5218137783453496E-2</v>
      </c>
      <c r="Q34" s="12">
        <f t="shared" si="9"/>
        <v>0.18672880411695519</v>
      </c>
      <c r="R34" s="12">
        <f t="shared" si="10"/>
        <v>5.4663280344060781E-2</v>
      </c>
      <c r="S34" s="12">
        <f t="shared" si="10"/>
        <v>6.4590546578356361E-2</v>
      </c>
      <c r="T34" s="12">
        <f t="shared" si="10"/>
        <v>3.8110085016202552E-3</v>
      </c>
      <c r="U34" s="12">
        <f t="shared" si="10"/>
        <v>4.2615370842709242E-2</v>
      </c>
      <c r="V34" s="12">
        <f t="shared" si="11"/>
        <v>0.16801022524260772</v>
      </c>
      <c r="W34" s="4">
        <f>SUMIFS('Modeling - Base Estimates'!AK:AK,'Modeling - Base Estimates'!A:A,A34)</f>
        <v>323343570.61005765</v>
      </c>
      <c r="X34" s="4">
        <f>(W34*N34*(1-N$2))+(W34*O34*(1-'Modeling - Base Estimates'!$AA$51-N$2))+(W34*P34*(1-'Modeling - Base Estimates'!$AE$51))+(W34*Q34*(1-Q$2))+(W34*R34*(1-R$2))+(W34*S34*(1-S$2))+(W34*T34*(1-T$2))+(W34*U34*(1-U$2))+(W34*V34*(1-V$2))</f>
        <v>301237373.82263541</v>
      </c>
      <c r="Y34" s="5">
        <f>X34*N34*SUMIFS('Modeling - Base Estimates'!AN:AN,'Modeling - Base Estimates'!A:A,A34)</f>
        <v>1364758.7296374955</v>
      </c>
      <c r="Z34" s="4">
        <f t="shared" si="4"/>
        <v>299872615.09299791</v>
      </c>
      <c r="AA34" s="4">
        <f>(((W34*N34*(1-N$2))/X34)*X34)-Y34-(((SUMIFS('Modeling - Base Estimates'!X:X,'Modeling - Base Estimates'!A:A,A34)*N34*(1-N$2))/SUMIFS('Modeling - Base Estimates'!Z:Z,'Modeling - Base Estimates'!A:A,A34))*SUMIFS('Modeling - Base Estimates'!Z:Z,'Modeling - Base Estimates'!A:A,A34))</f>
        <v>2229.5619474798441</v>
      </c>
      <c r="AB34" s="4"/>
      <c r="AC34" s="18">
        <f>1-((((W34*O34*(1-N$2-'Modeling - Base Estimates'!$AA$51))/X34)*X34)/('Modeling - Base Estimates'!X34*'Modeling - Base Estimates'!P34))</f>
        <v>4.9211006132135249E-2</v>
      </c>
      <c r="AD34" s="18">
        <f t="shared" si="22"/>
        <v>-2.778899386786475E-2</v>
      </c>
      <c r="AE34" s="18">
        <f>1-((((W34*P34*(1-'Modeling - Base Estimates'!$AE$51))/X34)*X34)/(SUMIFS('Modeling - Base Estimates'!X:X,'Modeling - Base Estimates'!A:A,A34)*'Modeling - Base Estimates'!Q34))</f>
        <v>-7.493569833874969E-2</v>
      </c>
      <c r="AF34" s="18">
        <f t="shared" si="23"/>
        <v>-0.1519356983387497</v>
      </c>
      <c r="AG34" s="18">
        <f>$N34*(1-$N$2)+$O34*(1-$N$2-'Modeling - Base Estimates'!$AA$51)+$P34*(1-'Modeling - Base Estimates'!$AE$51)+$Q34*(1-$Q$2)+$R34*(1-$R$2)+$S34*(1-$S$2)+$T34*(1-$T$2)+$U34*(1-$U$2)+$V34*(1-$V$2)</f>
        <v>0.93163248384461728</v>
      </c>
      <c r="AH34" s="18" t="e">
        <f>$O34*(1-$N$2-#REF!)+$P34*(1-#REF!)+$Q34*(1-$Q$2)+$R34*(1-$R$2)+$S34*(1-$S$2)+$T34*(1-$T$2)+$U34*(1-$U$2)+$V34*(1-$V$2)</f>
        <v>#REF!</v>
      </c>
      <c r="AJ34" s="7">
        <f>(SUMIFS('Modeling - Base Estimates'!$X:$X,'Modeling - Base Estimates'!$A:$A,$A34)*SUMIFS('Modeling - Base Estimates'!O:O,'Modeling - Base Estimates'!$A:$A,$A34)*($N$2))</f>
        <v>8058831.215159189</v>
      </c>
      <c r="AK34" s="7">
        <f>(SUMIFS('Modeling - Base Estimates'!$X:$X,'Modeling - Base Estimates'!$A:$A,$A34)*SUMIFS('Modeling - Base Estimates'!P:P,'Modeling - Base Estimates'!$A:$A,$A34)*($N$2))</f>
        <v>1898624.2112741363</v>
      </c>
      <c r="AL34" s="7">
        <f>(SUMIFS('Modeling - Base Estimates'!$X:$X,'Modeling - Base Estimates'!$A:$A,$A34)*SUMIFS('Modeling - Base Estimates'!Q:Q,'Modeling - Base Estimates'!$A:$A,$A34)*($N$2))</f>
        <v>1803360.1388051817</v>
      </c>
      <c r="AM34" s="7">
        <f>(SUMIFS('Modeling - Base Estimates'!$X:$X,'Modeling - Base Estimates'!$A:$A,$A34)*SUMIFS('Modeling - Base Estimates'!R:R,'Modeling - Base Estimates'!$A:$A,$A34)*($N$2))</f>
        <v>4579172.4545187671</v>
      </c>
      <c r="AN34" s="7">
        <f>(SUMIFS('Modeling - Base Estimates'!X:X,'Modeling - Base Estimates'!A:A,$A34)*$R34*($R$2))+(SUMIFS('Modeling - Base Estimates'!X:X,'Modeling - Base Estimates'!A:A,$A34)*$S34*($S$2))+(SUMIFS('Modeling - Base Estimates'!X:X,'Modeling - Base Estimates'!A:A,$A34)*$T34*($T$2))+(SUMIFS('Modeling - Base Estimates'!X:X,'Modeling - Base Estimates'!A:A,$A34)*$U34*($U$2))+(SUMIFS('Modeling - Base Estimates'!X:X,'Modeling - Base Estimates'!A:A,$A34)*$V34*($V$2))</f>
        <v>1897566.8183132194</v>
      </c>
      <c r="AO34" s="7">
        <f>SUM(AJ34:AN34)-(SUMIFS('Modeling - Base Estimates'!X:X,'Modeling - Base Estimates'!A:A,A34)-SUMIFS('Modeling - Base Estimates'!Z:Z,'Modeling - Base Estimates'!A:A,A34))</f>
        <v>4.0978193283081055E-8</v>
      </c>
      <c r="AQ34" s="7">
        <f t="shared" si="5"/>
        <v>7584829.5468128026</v>
      </c>
      <c r="AR34" s="7">
        <f>(W34*$O34*($N$2+'Modeling - Base Estimates'!$AA$51))</f>
        <v>5566300.9607012449</v>
      </c>
      <c r="AS34" s="7">
        <f>(W34*P34*('Modeling - Base Estimates'!$AE$51))</f>
        <v>2379461.7547220686</v>
      </c>
      <c r="AT34" s="7">
        <f t="shared" si="6"/>
        <v>4649071.9859370189</v>
      </c>
      <c r="AU34" s="7">
        <f t="shared" si="7"/>
        <v>1926532.5392491117</v>
      </c>
      <c r="AV34" s="5">
        <f t="shared" si="12"/>
        <v>0</v>
      </c>
      <c r="AX34" s="7">
        <f>SUMIFS('Modeling - Base Estimates'!X:X,'Modeling - Base Estimates'!A:A,A34)</f>
        <v>318482048.96850967</v>
      </c>
      <c r="AY34" s="5">
        <f t="shared" si="13"/>
        <v>8058831.215159189</v>
      </c>
      <c r="AZ34" s="5">
        <f t="shared" si="13"/>
        <v>1898624.2112741363</v>
      </c>
      <c r="BA34" s="5">
        <f t="shared" si="13"/>
        <v>1803360.1388051817</v>
      </c>
      <c r="BB34" s="5">
        <f t="shared" si="13"/>
        <v>4579172.4545187671</v>
      </c>
      <c r="BC34" s="5">
        <f t="shared" si="13"/>
        <v>1897566.8183132194</v>
      </c>
      <c r="BD34" s="5">
        <f t="shared" si="14"/>
        <v>300244494.13043916</v>
      </c>
      <c r="BF34" s="5">
        <f t="shared" si="15"/>
        <v>323343570.61005765</v>
      </c>
      <c r="BG34" s="5">
        <f t="shared" si="16"/>
        <v>7584829.5468128026</v>
      </c>
      <c r="BH34" s="5">
        <f t="shared" si="17"/>
        <v>1364758.7296374955</v>
      </c>
      <c r="BI34" s="5">
        <f t="shared" si="18"/>
        <v>5566300.9607012449</v>
      </c>
      <c r="BJ34" s="5">
        <f t="shared" si="18"/>
        <v>2379461.7547220686</v>
      </c>
      <c r="BK34" s="5">
        <f t="shared" si="18"/>
        <v>4649071.9859370189</v>
      </c>
      <c r="BL34" s="5">
        <f t="shared" si="18"/>
        <v>1926532.5392491117</v>
      </c>
      <c r="BM34" s="5">
        <f t="shared" si="19"/>
        <v>299872615.09299791</v>
      </c>
      <c r="BO34" s="5">
        <f t="shared" si="20"/>
        <v>-371879.03744125366</v>
      </c>
      <c r="BP34" s="12">
        <f t="shared" si="21"/>
        <v>-1.2385873669999536E-3</v>
      </c>
    </row>
    <row r="35" spans="1:68" x14ac:dyDescent="0.25">
      <c r="A35" s="1">
        <v>44</v>
      </c>
      <c r="B35" s="1">
        <v>210044</v>
      </c>
      <c r="C35" s="4">
        <v>534931449</v>
      </c>
      <c r="D35" s="4">
        <f>SUM('Modeling - Base Estimates'!E35:G35)-SUM('Scenario 1 - increased MA % '!E35:F35)</f>
        <v>153097321.19499999</v>
      </c>
      <c r="E35" s="4">
        <f>((SUM('Modeling - Base Estimates'!F35:G35)/SUM('Modeling - Base Estimates'!E35:G35)+$E$63))*SUM('Modeling - Base Estimates'!E35:G35)*('Modeling - Base Estimates'!F35/SUM('Modeling - Base Estimates'!F35:G35))</f>
        <v>53715863.347049959</v>
      </c>
      <c r="F35" s="4">
        <f>((SUM('Modeling - Base Estimates'!F35:G35)/SUM('Modeling - Base Estimates'!E35:G35)+$E$63))*SUM('Modeling - Base Estimates'!E35:G35)*('Modeling - Base Estimates'!G35/SUM('Modeling - Base Estimates'!F35:G35))</f>
        <v>17085351.557950046</v>
      </c>
      <c r="G35" s="4">
        <v>8366954.4000000004</v>
      </c>
      <c r="H35" s="4">
        <v>64426934</v>
      </c>
      <c r="I35" s="4">
        <v>15686420.6</v>
      </c>
      <c r="J35" s="4">
        <v>21793004.899999999</v>
      </c>
      <c r="K35" s="4">
        <v>110224.8</v>
      </c>
      <c r="L35" s="4">
        <v>15175889.300000001</v>
      </c>
      <c r="M35" s="4">
        <f t="shared" si="0"/>
        <v>185473484.89999998</v>
      </c>
      <c r="N35" s="12">
        <f t="shared" si="1"/>
        <v>0.28619988875434393</v>
      </c>
      <c r="O35" s="12">
        <f t="shared" si="2"/>
        <v>0.10041634951070143</v>
      </c>
      <c r="P35" s="12">
        <f t="shared" si="2"/>
        <v>3.1939329029709085E-2</v>
      </c>
      <c r="Q35" s="12">
        <f t="shared" si="9"/>
        <v>0.13608077920279466</v>
      </c>
      <c r="R35" s="12">
        <f t="shared" si="10"/>
        <v>2.9324169721791773E-2</v>
      </c>
      <c r="S35" s="12">
        <f t="shared" si="10"/>
        <v>4.0739808700235906E-2</v>
      </c>
      <c r="T35" s="12">
        <f t="shared" si="10"/>
        <v>2.0605406581731934E-4</v>
      </c>
      <c r="U35" s="12">
        <f t="shared" si="10"/>
        <v>2.8369783321526121E-2</v>
      </c>
      <c r="V35" s="12">
        <f t="shared" si="11"/>
        <v>0.34672383769307974</v>
      </c>
      <c r="W35" s="4">
        <f>SUMIFS('Modeling - Base Estimates'!AK:AK,'Modeling - Base Estimates'!A:A,A35)</f>
        <v>305469675.66167933</v>
      </c>
      <c r="X35" s="4">
        <f>(W35*N35*(1-N$2))+(W35*O35*(1-'Modeling - Base Estimates'!$AA$51-N$2))+(W35*P35*(1-'Modeling - Base Estimates'!$AE$51))+(W35*Q35*(1-Q$2))+(W35*R35*(1-R$2))+(W35*S35*(1-S$2))+(W35*T35*(1-T$2))+(W35*U35*(1-U$2))+(W35*V35*(1-V$2))</f>
        <v>286239115.00082982</v>
      </c>
      <c r="Y35" s="5">
        <f>X35*N35*SUMIFS('Modeling - Base Estimates'!AN:AN,'Modeling - Base Estimates'!A:A,A35)</f>
        <v>1210296.9630540675</v>
      </c>
      <c r="Z35" s="4">
        <f t="shared" si="4"/>
        <v>285028818.03777575</v>
      </c>
      <c r="AA35" s="4">
        <f>(((W35*N35*(1-N$2))/X35)*X35)-Y35-(((SUMIFS('Modeling - Base Estimates'!X:X,'Modeling - Base Estimates'!A:A,A35)*N35*(1-N$2))/SUMIFS('Modeling - Base Estimates'!Z:Z,'Modeling - Base Estimates'!A:A,A35))*SUMIFS('Modeling - Base Estimates'!Z:Z,'Modeling - Base Estimates'!A:A,A35))</f>
        <v>2416.790820017457</v>
      </c>
      <c r="AB35" s="4"/>
      <c r="AC35" s="18">
        <f>1-((((W35*O35*(1-N$2-'Modeling - Base Estimates'!$AA$51))/X35)*X35)/('Modeling - Base Estimates'!X35*'Modeling - Base Estimates'!P35))</f>
        <v>2.5448853108629321E-2</v>
      </c>
      <c r="AD35" s="18">
        <f t="shared" si="22"/>
        <v>-5.1551146891370678E-2</v>
      </c>
      <c r="AE35" s="18">
        <f>1-((((W35*P35*(1-'Modeling - Base Estimates'!$AE$51))/X35)*X35)/(SUMIFS('Modeling - Base Estimates'!X:X,'Modeling - Base Estimates'!A:A,A35)*'Modeling - Base Estimates'!Q35))</f>
        <v>-0.10180053030366909</v>
      </c>
      <c r="AF35" s="18">
        <f t="shared" si="23"/>
        <v>-0.1788005303036691</v>
      </c>
      <c r="AG35" s="18">
        <f>$N35*(1-$N$2)+$O35*(1-$N$2-'Modeling - Base Estimates'!$AA$51)+$P35*(1-'Modeling - Base Estimates'!$AE$51)+$Q35*(1-$Q$2)+$R35*(1-$R$2)+$S35*(1-$S$2)+$T35*(1-$T$2)+$U35*(1-$U$2)+$V35*(1-$V$2)</f>
        <v>0.93704592569067913</v>
      </c>
      <c r="AH35" s="18" t="e">
        <f>$O35*(1-$N$2-#REF!)+$P35*(1-#REF!)+$Q35*(1-$Q$2)+$R35*(1-$R$2)+$S35*(1-$S$2)+$T35*(1-$T$2)+$U35*(1-$U$2)+$V35*(1-$V$2)</f>
        <v>#REF!</v>
      </c>
      <c r="AJ35" s="7">
        <f>(SUMIFS('Modeling - Base Estimates'!$X:$X,'Modeling - Base Estimates'!$A:$A,$A35)*SUMIFS('Modeling - Base Estimates'!O:O,'Modeling - Base Estimates'!$A:$A,$A35)*($N$2))</f>
        <v>7115433.799745122</v>
      </c>
      <c r="AK35" s="7">
        <f>(SUMIFS('Modeling - Base Estimates'!$X:$X,'Modeling - Base Estimates'!$A:$A,$A35)*SUMIFS('Modeling - Base Estimates'!P:P,'Modeling - Base Estimates'!$A:$A,$A35)*($N$2))</f>
        <v>1958566.122813951</v>
      </c>
      <c r="AL35" s="7">
        <f>(SUMIFS('Modeling - Base Estimates'!$X:$X,'Modeling - Base Estimates'!$A:$A,$A35)*SUMIFS('Modeling - Base Estimates'!Q:Q,'Modeling - Base Estimates'!$A:$A,$A35)*($N$2))</f>
        <v>622959.1906876663</v>
      </c>
      <c r="AM35" s="7">
        <f>(SUMIFS('Modeling - Base Estimates'!$X:$X,'Modeling - Base Estimates'!$A:$A,$A35)*SUMIFS('Modeling - Base Estimates'!R:R,'Modeling - Base Estimates'!$A:$A,$A35)*($N$2))</f>
        <v>3152675.1885227989</v>
      </c>
      <c r="AN35" s="7">
        <f>(SUMIFS('Modeling - Base Estimates'!X:X,'Modeling - Base Estimates'!A:A,$A35)*$R35*($R$2))+(SUMIFS('Modeling - Base Estimates'!X:X,'Modeling - Base Estimates'!A:A,$A35)*$S35*($S$2))+(SUMIFS('Modeling - Base Estimates'!X:X,'Modeling - Base Estimates'!A:A,$A35)*$T35*($T$2))+(SUMIFS('Modeling - Base Estimates'!X:X,'Modeling - Base Estimates'!A:A,$A35)*$U35*($U$2))+(SUMIFS('Modeling - Base Estimates'!X:X,'Modeling - Base Estimates'!A:A,$A35)*$V35*($V$2))</f>
        <v>2531350.6039174809</v>
      </c>
      <c r="AO35" s="7">
        <f>SUM(AJ35:AN35)-(SUMIFS('Modeling - Base Estimates'!X:X,'Modeling - Base Estimates'!A:A,A35)-SUMIFS('Modeling - Base Estimates'!Z:Z,'Modeling - Base Estimates'!A:A,A35))</f>
        <v>-1.4901161193847656E-8</v>
      </c>
      <c r="AQ35" s="7">
        <f t="shared" si="5"/>
        <v>6731754.8137992565</v>
      </c>
      <c r="AR35" s="7">
        <f>(W35*$O35*($N$2+'Modeling - Base Estimates'!$AA$51))</f>
        <v>5885541.1284894962</v>
      </c>
      <c r="AS35" s="7">
        <f>(W35*P35*('Modeling - Base Estimates'!$AE$51))</f>
        <v>842512.49699565605</v>
      </c>
      <c r="AT35" s="7">
        <f t="shared" si="6"/>
        <v>3200778.4644887038</v>
      </c>
      <c r="AU35" s="7">
        <f t="shared" si="7"/>
        <v>2569973.7570764194</v>
      </c>
      <c r="AV35" s="5">
        <f t="shared" si="12"/>
        <v>0</v>
      </c>
      <c r="AX35" s="7">
        <f>SUMIFS('Modeling - Base Estimates'!X:X,'Modeling - Base Estimates'!A:A,A35)</f>
        <v>300878888.67951423</v>
      </c>
      <c r="AY35" s="5">
        <f t="shared" si="13"/>
        <v>7115433.799745122</v>
      </c>
      <c r="AZ35" s="5">
        <f t="shared" si="13"/>
        <v>1958566.122813951</v>
      </c>
      <c r="BA35" s="5">
        <f t="shared" si="13"/>
        <v>622959.1906876663</v>
      </c>
      <c r="BB35" s="5">
        <f t="shared" si="13"/>
        <v>3152675.1885227989</v>
      </c>
      <c r="BC35" s="5">
        <f t="shared" si="13"/>
        <v>2531350.6039174809</v>
      </c>
      <c r="BD35" s="5">
        <f t="shared" si="14"/>
        <v>285497903.7738272</v>
      </c>
      <c r="BF35" s="5">
        <f t="shared" si="15"/>
        <v>305469675.66167933</v>
      </c>
      <c r="BG35" s="5">
        <f t="shared" si="16"/>
        <v>6731754.8137992565</v>
      </c>
      <c r="BH35" s="5">
        <f t="shared" si="17"/>
        <v>1210296.9630540675</v>
      </c>
      <c r="BI35" s="5">
        <f t="shared" si="18"/>
        <v>5885541.1284894962</v>
      </c>
      <c r="BJ35" s="5">
        <f t="shared" si="18"/>
        <v>842512.49699565605</v>
      </c>
      <c r="BK35" s="5">
        <f t="shared" si="18"/>
        <v>3200778.4644887038</v>
      </c>
      <c r="BL35" s="5">
        <f t="shared" si="18"/>
        <v>2569973.7570764194</v>
      </c>
      <c r="BM35" s="5">
        <f t="shared" si="19"/>
        <v>285028818.03777575</v>
      </c>
      <c r="BO35" s="5">
        <f t="shared" si="20"/>
        <v>-469085.73605144024</v>
      </c>
      <c r="BP35" s="12">
        <f t="shared" si="21"/>
        <v>-1.6430444141651288E-3</v>
      </c>
    </row>
    <row r="36" spans="1:68" x14ac:dyDescent="0.25">
      <c r="A36" s="1">
        <v>48</v>
      </c>
      <c r="B36" s="1">
        <v>210048</v>
      </c>
      <c r="C36" s="4">
        <v>401343341.20000005</v>
      </c>
      <c r="D36" s="4">
        <f>SUM('Modeling - Base Estimates'!E36:G36)-SUM('Scenario 1 - increased MA % '!E36:F36)</f>
        <v>113734503.43999998</v>
      </c>
      <c r="E36" s="4">
        <f>((SUM('Modeling - Base Estimates'!F36:G36)/SUM('Modeling - Base Estimates'!E36:G36)+$E$63))*SUM('Modeling - Base Estimates'!E36:G36)*('Modeling - Base Estimates'!F36/SUM('Modeling - Base Estimates'!F36:G36))</f>
        <v>19574522.727778293</v>
      </c>
      <c r="F36" s="4">
        <f>((SUM('Modeling - Base Estimates'!F36:G36)/SUM('Modeling - Base Estimates'!E36:G36)+$E$63))*SUM('Modeling - Base Estimates'!E36:G36)*('Modeling - Base Estimates'!G36/SUM('Modeling - Base Estimates'!F36:G36))</f>
        <v>20160159.032221716</v>
      </c>
      <c r="G36" s="4">
        <v>19432638.5</v>
      </c>
      <c r="H36" s="4">
        <v>40638411.200000003</v>
      </c>
      <c r="I36" s="4">
        <v>26725304.5</v>
      </c>
      <c r="J36" s="4">
        <v>22983880.800000001</v>
      </c>
      <c r="K36" s="4">
        <v>2006012</v>
      </c>
      <c r="L36" s="4">
        <v>17983000</v>
      </c>
      <c r="M36" s="4">
        <f t="shared" si="0"/>
        <v>118104909.00000006</v>
      </c>
      <c r="N36" s="12">
        <f t="shared" si="1"/>
        <v>0.28338455323548783</v>
      </c>
      <c r="O36" s="12">
        <f t="shared" si="2"/>
        <v>4.8772511509101599E-2</v>
      </c>
      <c r="P36" s="12">
        <f t="shared" si="2"/>
        <v>5.0231701794138835E-2</v>
      </c>
      <c r="Q36" s="12">
        <f t="shared" si="9"/>
        <v>0.14967496288935564</v>
      </c>
      <c r="R36" s="12">
        <f t="shared" si="10"/>
        <v>6.6589629767102754E-2</v>
      </c>
      <c r="S36" s="12">
        <f t="shared" si="10"/>
        <v>5.7267377929528233E-2</v>
      </c>
      <c r="T36" s="12">
        <f t="shared" si="10"/>
        <v>4.9982441318251521E-3</v>
      </c>
      <c r="U36" s="12">
        <f t="shared" si="10"/>
        <v>4.4807022202564946E-2</v>
      </c>
      <c r="V36" s="12">
        <f t="shared" si="11"/>
        <v>0.29427399654089503</v>
      </c>
      <c r="W36" s="4">
        <f>SUMIFS('Modeling - Base Estimates'!AK:AK,'Modeling - Base Estimates'!A:A,A36)</f>
        <v>225531119.54353765</v>
      </c>
      <c r="X36" s="4">
        <f>(W36*N36*(1-N$2))+(W36*O36*(1-'Modeling - Base Estimates'!$AA$51-N$2))+(W36*P36*(1-'Modeling - Base Estimates'!$AE$51))+(W36*Q36*(1-Q$2))+(W36*R36*(1-R$2))+(W36*S36*(1-S$2))+(W36*T36*(1-T$2))+(W36*U36*(1-U$2))+(W36*V36*(1-V$2))</f>
        <v>212975694.25582489</v>
      </c>
      <c r="Y36" s="5">
        <f>X36*N36*SUMIFS('Modeling - Base Estimates'!AN:AN,'Modeling - Base Estimates'!A:A,A36)</f>
        <v>431180.9408832122</v>
      </c>
      <c r="Z36" s="4">
        <f t="shared" si="4"/>
        <v>212544513.31494167</v>
      </c>
      <c r="AA36" s="4">
        <f>(((W36*N36*(1-N$2))/X36)*X36)-Y36-(((SUMIFS('Modeling - Base Estimates'!X:X,'Modeling - Base Estimates'!A:A,A36)*N36*(1-N$2))/SUMIFS('Modeling - Base Estimates'!Z:Z,'Modeling - Base Estimates'!A:A,A36))*SUMIFS('Modeling - Base Estimates'!Z:Z,'Modeling - Base Estimates'!A:A,A36))</f>
        <v>535.45851247012615</v>
      </c>
      <c r="AB36" s="4"/>
      <c r="AC36" s="18">
        <f>1-((((W36*O36*(1-N$2-'Modeling - Base Estimates'!$AA$51))/X36)*X36)/('Modeling - Base Estimates'!X36*'Modeling - Base Estimates'!P36))</f>
        <v>-8.9259482317542993E-3</v>
      </c>
      <c r="AD36" s="18">
        <f t="shared" si="22"/>
        <v>-8.5925948231754298E-2</v>
      </c>
      <c r="AE36" s="18">
        <f>1-((((W36*P36*(1-'Modeling - Base Estimates'!$AE$51))/X36)*X36)/(SUMIFS('Modeling - Base Estimates'!X:X,'Modeling - Base Estimates'!A:A,A36)*'Modeling - Base Estimates'!Q36))</f>
        <v>-0.14066372847108166</v>
      </c>
      <c r="AF36" s="18">
        <f t="shared" si="23"/>
        <v>-0.21766372847108167</v>
      </c>
      <c r="AG36" s="18">
        <f>$N36*(1-$N$2)+$O36*(1-$N$2-'Modeling - Base Estimates'!$AA$51)+$P36*(1-'Modeling - Base Estimates'!$AE$51)+$Q36*(1-$Q$2)+$R36*(1-$R$2)+$S36*(1-$S$2)+$T36*(1-$T$2)+$U36*(1-$U$2)+$V36*(1-$V$2)</f>
        <v>0.94432952173906548</v>
      </c>
      <c r="AH36" s="18" t="e">
        <f>$O36*(1-$N$2-#REF!)+$P36*(1-#REF!)+$Q36*(1-$Q$2)+$R36*(1-$R$2)+$S36*(1-$S$2)+$T36*(1-$T$2)+$U36*(1-$U$2)+$V36*(1-$V$2)</f>
        <v>#REF!</v>
      </c>
      <c r="AJ36" s="7">
        <f>(SUMIFS('Modeling - Base Estimates'!$X:$X,'Modeling - Base Estimates'!$A:$A,$A36)*SUMIFS('Modeling - Base Estimates'!O:O,'Modeling - Base Estimates'!$A:$A,$A36)*($N$2))</f>
        <v>5214807.6852541836</v>
      </c>
      <c r="AK36" s="7">
        <f>(SUMIFS('Modeling - Base Estimates'!$X:$X,'Modeling - Base Estimates'!$A:$A,$A36)*SUMIFS('Modeling - Base Estimates'!P:P,'Modeling - Base Estimates'!$A:$A,$A36)*($N$2))</f>
        <v>678410.63305653352</v>
      </c>
      <c r="AL36" s="7">
        <f>(SUMIFS('Modeling - Base Estimates'!$X:$X,'Modeling - Base Estimates'!$A:$A,$A36)*SUMIFS('Modeling - Base Estimates'!Q:Q,'Modeling - Base Estimates'!$A:$A,$A36)*($N$2))</f>
        <v>698707.52108612179</v>
      </c>
      <c r="AM36" s="7">
        <f>(SUMIFS('Modeling - Base Estimates'!$X:$X,'Modeling - Base Estimates'!$A:$A,$A36)*SUMIFS('Modeling - Base Estimates'!R:R,'Modeling - Base Estimates'!$A:$A,$A36)*($N$2))</f>
        <v>2580217.6782334396</v>
      </c>
      <c r="AN36" s="7">
        <f>(SUMIFS('Modeling - Base Estimates'!X:X,'Modeling - Base Estimates'!A:A,$A36)*$R36*($R$2))+(SUMIFS('Modeling - Base Estimates'!X:X,'Modeling - Base Estimates'!A:A,$A36)*$S36*($S$2))+(SUMIFS('Modeling - Base Estimates'!X:X,'Modeling - Base Estimates'!A:A,$A36)*$T36*($T$2))+(SUMIFS('Modeling - Base Estimates'!X:X,'Modeling - Base Estimates'!A:A,$A36)*$U36*($U$2))+(SUMIFS('Modeling - Base Estimates'!X:X,'Modeling - Base Estimates'!A:A,$A36)*$V36*($V$2))</f>
        <v>1931878.9157084243</v>
      </c>
      <c r="AO36" s="7">
        <f>SUM(AJ36:AN36)-(SUMIFS('Modeling - Base Estimates'!X:X,'Modeling - Base Estimates'!A:A,A36)-SUMIFS('Modeling - Base Estimates'!Z:Z,'Modeling - Base Estimates'!A:A,A36))</f>
        <v>3.166496753692627E-8</v>
      </c>
      <c r="AQ36" s="7">
        <f t="shared" si="5"/>
        <v>4921226.7375459513</v>
      </c>
      <c r="AR36" s="7">
        <f>(W36*$O36*($N$2+'Modeling - Base Estimates'!$AA$51))</f>
        <v>2110549.1074020728</v>
      </c>
      <c r="AS36" s="7">
        <f>(W36*P36*('Modeling - Base Estimates'!$AE$51))</f>
        <v>978288.22645753843</v>
      </c>
      <c r="AT36" s="7">
        <f t="shared" si="6"/>
        <v>2599239.8700016844</v>
      </c>
      <c r="AU36" s="7">
        <f t="shared" si="7"/>
        <v>1946121.3463055184</v>
      </c>
      <c r="AV36" s="5">
        <f t="shared" si="12"/>
        <v>0</v>
      </c>
      <c r="AX36" s="7">
        <f>SUMIFS('Modeling - Base Estimates'!X:X,'Modeling - Base Estimates'!A:A,A36)</f>
        <v>223880599.99927512</v>
      </c>
      <c r="AY36" s="5">
        <f t="shared" si="13"/>
        <v>5214807.6852541836</v>
      </c>
      <c r="AZ36" s="5">
        <f t="shared" si="13"/>
        <v>678410.63305653352</v>
      </c>
      <c r="BA36" s="5">
        <f t="shared" si="13"/>
        <v>698707.52108612179</v>
      </c>
      <c r="BB36" s="5">
        <f t="shared" si="13"/>
        <v>2580217.6782334396</v>
      </c>
      <c r="BC36" s="5">
        <f t="shared" si="13"/>
        <v>1931878.9157084243</v>
      </c>
      <c r="BD36" s="5">
        <f t="shared" si="14"/>
        <v>212776577.56593642</v>
      </c>
      <c r="BF36" s="5">
        <f t="shared" si="15"/>
        <v>225531119.54353765</v>
      </c>
      <c r="BG36" s="5">
        <f t="shared" si="16"/>
        <v>4921226.7375459513</v>
      </c>
      <c r="BH36" s="5">
        <f t="shared" si="17"/>
        <v>431180.9408832122</v>
      </c>
      <c r="BI36" s="5">
        <f t="shared" si="18"/>
        <v>2110549.1074020728</v>
      </c>
      <c r="BJ36" s="5">
        <f t="shared" si="18"/>
        <v>978288.22645753843</v>
      </c>
      <c r="BK36" s="5">
        <f t="shared" si="18"/>
        <v>2599239.8700016844</v>
      </c>
      <c r="BL36" s="5">
        <f t="shared" si="18"/>
        <v>1946121.3463055184</v>
      </c>
      <c r="BM36" s="5">
        <f t="shared" si="19"/>
        <v>212544513.31494167</v>
      </c>
      <c r="BO36" s="5">
        <f t="shared" si="20"/>
        <v>-232064.25099474192</v>
      </c>
      <c r="BP36" s="12">
        <f t="shared" si="21"/>
        <v>-1.0906475404832965E-3</v>
      </c>
    </row>
    <row r="37" spans="1:68" x14ac:dyDescent="0.25">
      <c r="A37" s="1">
        <v>49</v>
      </c>
      <c r="B37" s="1">
        <v>210049</v>
      </c>
      <c r="C37" s="4">
        <v>459407671.19999999</v>
      </c>
      <c r="D37" s="4">
        <f>SUM('Modeling - Base Estimates'!E37:G37)-SUM('Scenario 1 - increased MA % '!E37:F37)</f>
        <v>168773343.18000001</v>
      </c>
      <c r="E37" s="4">
        <f>((SUM('Modeling - Base Estimates'!F37:G37)/SUM('Modeling - Base Estimates'!E37:G37)+$E$63))*SUM('Modeling - Base Estimates'!E37:G37)*('Modeling - Base Estimates'!F37/SUM('Modeling - Base Estimates'!F37:G37))</f>
        <v>29729441.419859968</v>
      </c>
      <c r="F37" s="4">
        <f>((SUM('Modeling - Base Estimates'!F37:G37)/SUM('Modeling - Base Estimates'!E37:G37)+$E$63))*SUM('Modeling - Base Estimates'!E37:G37)*('Modeling - Base Estimates'!G37/SUM('Modeling - Base Estimates'!F37:G37))</f>
        <v>48526763.800140023</v>
      </c>
      <c r="G37" s="4">
        <v>6358302</v>
      </c>
      <c r="H37" s="4">
        <v>52144893.399999999</v>
      </c>
      <c r="I37" s="4">
        <v>28312462.800000001</v>
      </c>
      <c r="J37" s="4">
        <v>39426214.299999997</v>
      </c>
      <c r="K37" s="4">
        <v>1299337.2999999998</v>
      </c>
      <c r="L37" s="4">
        <v>17703000</v>
      </c>
      <c r="M37" s="4">
        <f t="shared" si="0"/>
        <v>67133912.99999994</v>
      </c>
      <c r="N37" s="12">
        <f t="shared" si="1"/>
        <v>0.36737162603130691</v>
      </c>
      <c r="O37" s="12">
        <f t="shared" si="2"/>
        <v>6.4712548970296713E-2</v>
      </c>
      <c r="P37" s="12">
        <f t="shared" si="2"/>
        <v>0.10562898018961078</v>
      </c>
      <c r="Q37" s="12">
        <f t="shared" si="9"/>
        <v>0.12734483785868483</v>
      </c>
      <c r="R37" s="12">
        <f t="shared" si="10"/>
        <v>6.1628189024458768E-2</v>
      </c>
      <c r="S37" s="12">
        <f t="shared" si="10"/>
        <v>8.581966904691947E-2</v>
      </c>
      <c r="T37" s="12">
        <f t="shared" si="10"/>
        <v>2.82828820991616E-3</v>
      </c>
      <c r="U37" s="12">
        <f t="shared" si="10"/>
        <v>3.8534402252706657E-2</v>
      </c>
      <c r="V37" s="12">
        <f t="shared" si="11"/>
        <v>0.14613145841609956</v>
      </c>
      <c r="W37" s="4">
        <f>SUMIFS('Modeling - Base Estimates'!AK:AK,'Modeling - Base Estimates'!A:A,A37)</f>
        <v>267138408.62125391</v>
      </c>
      <c r="X37" s="4">
        <f>(W37*N37*(1-N$2))+(W37*O37*(1-'Modeling - Base Estimates'!$AA$51-N$2))+(W37*P37*(1-'Modeling - Base Estimates'!$AE$51))+(W37*Q37*(1-Q$2))+(W37*R37*(1-R$2))+(W37*S37*(1-S$2))+(W37*T37*(1-T$2))+(W37*U37*(1-U$2))+(W37*V37*(1-V$2))</f>
        <v>249583817.84898037</v>
      </c>
      <c r="Y37" s="5">
        <f>X37*N37*SUMIFS('Modeling - Base Estimates'!AN:AN,'Modeling - Base Estimates'!A:A,A37)</f>
        <v>1111572.3973296373</v>
      </c>
      <c r="Z37" s="4">
        <f t="shared" si="4"/>
        <v>248472245.45165074</v>
      </c>
      <c r="AA37" s="4">
        <f>(((W37*N37*(1-N$2))/X37)*X37)-Y37-(((SUMIFS('Modeling - Base Estimates'!X:X,'Modeling - Base Estimates'!A:A,A37)*N37*(1-N$2))/SUMIFS('Modeling - Base Estimates'!Z:Z,'Modeling - Base Estimates'!A:A,A37))*SUMIFS('Modeling - Base Estimates'!Z:Z,'Modeling - Base Estimates'!A:A,A37))</f>
        <v>1581.4722804874182</v>
      </c>
      <c r="AB37" s="4"/>
      <c r="AC37" s="18">
        <f>1-((((W37*O37*(1-N$2-'Modeling - Base Estimates'!$AA$51))/X37)*X37)/('Modeling - Base Estimates'!X37*'Modeling - Base Estimates'!P37))</f>
        <v>2.8479703203044493E-2</v>
      </c>
      <c r="AD37" s="18">
        <f t="shared" si="22"/>
        <v>-4.8520296796955506E-2</v>
      </c>
      <c r="AE37" s="18">
        <f>1-((((W37*P37*(1-'Modeling - Base Estimates'!$AE$51))/X37)*X37)/(SUMIFS('Modeling - Base Estimates'!X:X,'Modeling - Base Estimates'!A:A,A37)*'Modeling - Base Estimates'!Q37))</f>
        <v>-9.8373935145529279E-2</v>
      </c>
      <c r="AF37" s="18">
        <f t="shared" si="23"/>
        <v>-0.17537393514552929</v>
      </c>
      <c r="AG37" s="18">
        <f>$N37*(1-$N$2)+$O37*(1-$N$2-'Modeling - Base Estimates'!$AA$51)+$P37*(1-'Modeling - Base Estimates'!$AE$51)+$Q37*(1-$Q$2)+$R37*(1-$R$2)+$S37*(1-$S$2)+$T37*(1-$T$2)+$U37*(1-$U$2)+$V37*(1-$V$2)</f>
        <v>0.93428653385009008</v>
      </c>
      <c r="AH37" s="18" t="e">
        <f>$O37*(1-$N$2-#REF!)+$P37*(1-#REF!)+$Q37*(1-$Q$2)+$R37*(1-$R$2)+$S37*(1-$S$2)+$T37*(1-$T$2)+$U37*(1-$U$2)+$V37*(1-$V$2)</f>
        <v>#REF!</v>
      </c>
      <c r="AJ37" s="7">
        <f>(SUMIFS('Modeling - Base Estimates'!$X:$X,'Modeling - Base Estimates'!$A:$A,$A37)*SUMIFS('Modeling - Base Estimates'!O:O,'Modeling - Base Estimates'!$A:$A,$A37)*($N$2))</f>
        <v>8010077.8638210883</v>
      </c>
      <c r="AK37" s="7">
        <f>(SUMIFS('Modeling - Base Estimates'!$X:$X,'Modeling - Base Estimates'!$A:$A,$A37)*SUMIFS('Modeling - Base Estimates'!P:P,'Modeling - Base Estimates'!$A:$A,$A37)*($N$2))</f>
        <v>1107243.9223547592</v>
      </c>
      <c r="AL37" s="7">
        <f>(SUMIFS('Modeling - Base Estimates'!$X:$X,'Modeling - Base Estimates'!$A:$A,$A37)*SUMIFS('Modeling - Base Estimates'!Q:Q,'Modeling - Base Estimates'!$A:$A,$A37)*($N$2))</f>
        <v>1807331.7803191699</v>
      </c>
      <c r="AM37" s="7">
        <f>(SUMIFS('Modeling - Base Estimates'!$X:$X,'Modeling - Base Estimates'!$A:$A,$A37)*SUMIFS('Modeling - Base Estimates'!R:R,'Modeling - Base Estimates'!$A:$A,$A37)*($N$2))</f>
        <v>2587249.7699872931</v>
      </c>
      <c r="AN37" s="7">
        <f>(SUMIFS('Modeling - Base Estimates'!X:X,'Modeling - Base Estimates'!A:A,$A37)*$R37*($R$2))+(SUMIFS('Modeling - Base Estimates'!X:X,'Modeling - Base Estimates'!A:A,$A37)*$S37*($S$2))+(SUMIFS('Modeling - Base Estimates'!X:X,'Modeling - Base Estimates'!A:A,$A37)*$T37*($T$2))+(SUMIFS('Modeling - Base Estimates'!X:X,'Modeling - Base Estimates'!A:A,$A37)*$U37*($U$2))+(SUMIFS('Modeling - Base Estimates'!X:X,'Modeling - Base Estimates'!A:A,$A37)*$V37*($V$2))</f>
        <v>1604828.3777940134</v>
      </c>
      <c r="AO37" s="7">
        <f>SUM(AJ37:AN37)-(SUMIFS('Modeling - Base Estimates'!X:X,'Modeling - Base Estimates'!A:A,A37)-SUMIFS('Modeling - Base Estimates'!Z:Z,'Modeling - Base Estimates'!A:A,A37))</f>
        <v>-5.2154064178466797E-8</v>
      </c>
      <c r="AQ37" s="7">
        <f t="shared" si="5"/>
        <v>7556708.5093966424</v>
      </c>
      <c r="AR37" s="7">
        <f>(W37*$O37*($N$2+'Modeling - Base Estimates'!$AA$51))</f>
        <v>3316948.3358185873</v>
      </c>
      <c r="AS37" s="7">
        <f>(W37*P37*('Modeling - Base Estimates'!$AE$51))</f>
        <v>2436698.9752198551</v>
      </c>
      <c r="AT37" s="7">
        <f t="shared" si="6"/>
        <v>2619439.6945409519</v>
      </c>
      <c r="AU37" s="7">
        <f t="shared" si="7"/>
        <v>1624795.2572975</v>
      </c>
      <c r="AV37" s="5">
        <f t="shared" si="12"/>
        <v>0</v>
      </c>
      <c r="AX37" s="7">
        <f>SUMIFS('Modeling - Base Estimates'!X:X,'Modeling - Base Estimates'!A:A,A37)</f>
        <v>263855582.43639317</v>
      </c>
      <c r="AY37" s="5">
        <f t="shared" si="13"/>
        <v>8010077.8638210883</v>
      </c>
      <c r="AZ37" s="5">
        <f t="shared" si="13"/>
        <v>1107243.9223547592</v>
      </c>
      <c r="BA37" s="5">
        <f t="shared" si="13"/>
        <v>1807331.7803191699</v>
      </c>
      <c r="BB37" s="5">
        <f t="shared" si="13"/>
        <v>2587249.7699872931</v>
      </c>
      <c r="BC37" s="5">
        <f t="shared" si="13"/>
        <v>1604828.3777940134</v>
      </c>
      <c r="BD37" s="5">
        <f t="shared" si="14"/>
        <v>248738850.72211686</v>
      </c>
      <c r="BF37" s="5">
        <f t="shared" si="15"/>
        <v>267138408.62125391</v>
      </c>
      <c r="BG37" s="5">
        <f t="shared" si="16"/>
        <v>7556708.5093966424</v>
      </c>
      <c r="BH37" s="5">
        <f t="shared" si="17"/>
        <v>1111572.3973296373</v>
      </c>
      <c r="BI37" s="5">
        <f t="shared" si="18"/>
        <v>3316948.3358185873</v>
      </c>
      <c r="BJ37" s="5">
        <f t="shared" si="18"/>
        <v>2436698.9752198551</v>
      </c>
      <c r="BK37" s="5">
        <f t="shared" si="18"/>
        <v>2619439.6945409519</v>
      </c>
      <c r="BL37" s="5">
        <f t="shared" si="18"/>
        <v>1624795.2572975</v>
      </c>
      <c r="BM37" s="5">
        <f t="shared" si="19"/>
        <v>248472245.45165074</v>
      </c>
      <c r="BO37" s="5">
        <f t="shared" si="20"/>
        <v>-266605.27046611905</v>
      </c>
      <c r="BP37" s="12">
        <f t="shared" si="21"/>
        <v>-1.0718280224103873E-3</v>
      </c>
    </row>
    <row r="38" spans="1:68" x14ac:dyDescent="0.25">
      <c r="A38" s="1">
        <v>51</v>
      </c>
      <c r="B38" s="1">
        <v>210051</v>
      </c>
      <c r="C38" s="4">
        <v>326288289.5</v>
      </c>
      <c r="D38" s="4">
        <f>SUM('Modeling - Base Estimates'!E38:G38)-SUM('Scenario 1 - increased MA % '!E38:F38)</f>
        <v>86405757.480000004</v>
      </c>
      <c r="E38" s="4">
        <f>((SUM('Modeling - Base Estimates'!F38:G38)/SUM('Modeling - Base Estimates'!E38:G38)+$E$63))*SUM('Modeling - Base Estimates'!E38:G38)*('Modeling - Base Estimates'!F38/SUM('Modeling - Base Estimates'!F38:G38))</f>
        <v>41255817.799097985</v>
      </c>
      <c r="F38" s="4">
        <f>((SUM('Modeling - Base Estimates'!F38:G38)/SUM('Modeling - Base Estimates'!E38:G38)+$E$63))*SUM('Modeling - Base Estimates'!E38:G38)*('Modeling - Base Estimates'!G38/SUM('Modeling - Base Estimates'!F38:G38))</f>
        <v>11279637.120902013</v>
      </c>
      <c r="G38" s="4">
        <v>14672785.5</v>
      </c>
      <c r="H38" s="4">
        <v>52534663.399999999</v>
      </c>
      <c r="I38" s="4">
        <v>10446850.700000001</v>
      </c>
      <c r="J38" s="4">
        <v>14459044.700000001</v>
      </c>
      <c r="K38" s="4">
        <v>1010147.2</v>
      </c>
      <c r="L38" s="4">
        <v>17527323</v>
      </c>
      <c r="M38" s="4">
        <f t="shared" si="0"/>
        <v>76696262.600000024</v>
      </c>
      <c r="N38" s="12">
        <f t="shared" si="1"/>
        <v>0.2648141544166574</v>
      </c>
      <c r="O38" s="12">
        <f t="shared" si="2"/>
        <v>0.12643977466159717</v>
      </c>
      <c r="P38" s="12">
        <f t="shared" si="2"/>
        <v>3.456954320422221E-2</v>
      </c>
      <c r="Q38" s="12">
        <f t="shared" si="9"/>
        <v>0.20597566956199329</v>
      </c>
      <c r="R38" s="12">
        <f t="shared" si="10"/>
        <v>3.2017240692298894E-2</v>
      </c>
      <c r="S38" s="12">
        <f t="shared" si="10"/>
        <v>4.4313710192164284E-2</v>
      </c>
      <c r="T38" s="12">
        <f t="shared" si="10"/>
        <v>3.0958732890718713E-3</v>
      </c>
      <c r="U38" s="12">
        <f t="shared" si="10"/>
        <v>5.3717291009305439E-2</v>
      </c>
      <c r="V38" s="12">
        <f t="shared" si="11"/>
        <v>0.23505674297268955</v>
      </c>
      <c r="W38" s="4">
        <f>SUMIFS('Modeling - Base Estimates'!AK:AK,'Modeling - Base Estimates'!A:A,A38)</f>
        <v>177734486.27772069</v>
      </c>
      <c r="X38" s="4">
        <f>(W38*N38*(1-N$2))+(W38*O38*(1-'Modeling - Base Estimates'!$AA$51-N$2))+(W38*P38*(1-'Modeling - Base Estimates'!$AE$51))+(W38*Q38*(1-Q$2))+(W38*R38*(1-R$2))+(W38*S38*(1-S$2))+(W38*T38*(1-T$2))+(W38*U38*(1-U$2))+(W38*V38*(1-V$2))</f>
        <v>165316865.89014065</v>
      </c>
      <c r="Y38" s="5">
        <f>X38*N38*SUMIFS('Modeling - Base Estimates'!AN:AN,'Modeling - Base Estimates'!A:A,A38)</f>
        <v>823761.15371469921</v>
      </c>
      <c r="Z38" s="4">
        <f t="shared" si="4"/>
        <v>164493104.73642597</v>
      </c>
      <c r="AA38" s="4">
        <f>(((W38*N38*(1-N$2))/X38)*X38)-Y38-(((SUMIFS('Modeling - Base Estimates'!X:X,'Modeling - Base Estimates'!A:A,A38)*N38*(1-N$2))/SUMIFS('Modeling - Base Estimates'!Z:Z,'Modeling - Base Estimates'!A:A,A38))*SUMIFS('Modeling - Base Estimates'!Z:Z,'Modeling - Base Estimates'!A:A,A38))</f>
        <v>1738.877070017159</v>
      </c>
      <c r="AB38" s="4"/>
      <c r="AC38" s="18">
        <f>1-((((W38*O38*(1-N$2-'Modeling - Base Estimates'!$AA$51))/X38)*X38)/('Modeling - Base Estimates'!X38*'Modeling - Base Estimates'!P38))</f>
        <v>5.0686278860527678E-2</v>
      </c>
      <c r="AD38" s="18">
        <f t="shared" si="22"/>
        <v>-2.6313721139472321E-2</v>
      </c>
      <c r="AE38" s="18">
        <f>1-((((W38*P38*(1-'Modeling - Base Estimates'!$AE$51))/X38)*X38)/(SUMIFS('Modeling - Base Estimates'!X:X,'Modeling - Base Estimates'!A:A,A38)*'Modeling - Base Estimates'!Q38))</f>
        <v>-7.3267795859059737E-2</v>
      </c>
      <c r="AF38" s="18">
        <f t="shared" si="23"/>
        <v>-0.15026779585905975</v>
      </c>
      <c r="AG38" s="18">
        <f>$N38*(1-$N$2)+$O38*(1-$N$2-'Modeling - Base Estimates'!$AA$51)+$P38*(1-'Modeling - Base Estimates'!$AE$51)+$Q38*(1-$Q$2)+$R38*(1-$R$2)+$S38*(1-$S$2)+$T38*(1-$T$2)+$U38*(1-$U$2)+$V38*(1-$V$2)</f>
        <v>0.93013387189148666</v>
      </c>
      <c r="AH38" s="18" t="e">
        <f>$O38*(1-$N$2-#REF!)+$P38*(1-#REF!)+$Q38*(1-$Q$2)+$R38*(1-$R$2)+$S38*(1-$S$2)+$T38*(1-$T$2)+$U38*(1-$U$2)+$V38*(1-$V$2)</f>
        <v>#REF!</v>
      </c>
      <c r="AJ38" s="7">
        <f>(SUMIFS('Modeling - Base Estimates'!$X:$X,'Modeling - Base Estimates'!$A:$A,$A38)*SUMIFS('Modeling - Base Estimates'!O:O,'Modeling - Base Estimates'!$A:$A,$A38)*($N$2))</f>
        <v>3841107.2571396055</v>
      </c>
      <c r="AK38" s="7">
        <f>(SUMIFS('Modeling - Base Estimates'!$X:$X,'Modeling - Base Estimates'!$A:$A,$A38)*SUMIFS('Modeling - Base Estimates'!P:P,'Modeling - Base Estimates'!$A:$A,$A38)*($N$2))</f>
        <v>1473044.9533713711</v>
      </c>
      <c r="AL38" s="7">
        <f>(SUMIFS('Modeling - Base Estimates'!$X:$X,'Modeling - Base Estimates'!$A:$A,$A38)*SUMIFS('Modeling - Base Estimates'!Q:Q,'Modeling - Base Estimates'!$A:$A,$A38)*($N$2))</f>
        <v>402741.07806362212</v>
      </c>
      <c r="AM38" s="7">
        <f>(SUMIFS('Modeling - Base Estimates'!$X:$X,'Modeling - Base Estimates'!$A:$A,$A38)*SUMIFS('Modeling - Base Estimates'!R:R,'Modeling - Base Estimates'!$A:$A,$A38)*($N$2))</f>
        <v>2765326.4781690533</v>
      </c>
      <c r="AN38" s="7">
        <f>(SUMIFS('Modeling - Base Estimates'!X:X,'Modeling - Base Estimates'!A:A,$A38)*$R38*($R$2))+(SUMIFS('Modeling - Base Estimates'!X:X,'Modeling - Base Estimates'!A:A,$A38)*$S38*($S$2))+(SUMIFS('Modeling - Base Estimates'!X:X,'Modeling - Base Estimates'!A:A,$A38)*$T38*($T$2))+(SUMIFS('Modeling - Base Estimates'!X:X,'Modeling - Base Estimates'!A:A,$A38)*$U38*($U$2))+(SUMIFS('Modeling - Base Estimates'!X:X,'Modeling - Base Estimates'!A:A,$A38)*$V38*($V$2))</f>
        <v>1110605.2621764014</v>
      </c>
      <c r="AO38" s="7">
        <f>SUM(AJ38:AN38)-(SUMIFS('Modeling - Base Estimates'!X:X,'Modeling - Base Estimates'!A:A,A38)-SUMIFS('Modeling - Base Estimates'!Z:Z,'Modeling - Base Estimates'!A:A,A38))</f>
        <v>2.9802322387695313E-8</v>
      </c>
      <c r="AQ38" s="7">
        <f t="shared" si="5"/>
        <v>3624128.7924621473</v>
      </c>
      <c r="AR38" s="7">
        <f>(W38*$O38*($N$2+'Modeling - Base Estimates'!$AA$51))</f>
        <v>4311905.9777874425</v>
      </c>
      <c r="AS38" s="7">
        <f>(W38*P38*('Modeling - Base Estimates'!$AE$51))</f>
        <v>530576.2469949791</v>
      </c>
      <c r="AT38" s="7">
        <f t="shared" si="6"/>
        <v>2818891.4457789026</v>
      </c>
      <c r="AU38" s="7">
        <f t="shared" si="7"/>
        <v>1132117.9245565757</v>
      </c>
      <c r="AV38" s="5">
        <f t="shared" si="12"/>
        <v>0</v>
      </c>
      <c r="AX38" s="7">
        <f>SUMIFS('Modeling - Base Estimates'!X:X,'Modeling - Base Estimates'!A:A,A38)</f>
        <v>174357150.83088201</v>
      </c>
      <c r="AY38" s="5">
        <f t="shared" si="13"/>
        <v>3841107.2571396055</v>
      </c>
      <c r="AZ38" s="5">
        <f t="shared" si="13"/>
        <v>1473044.9533713711</v>
      </c>
      <c r="BA38" s="5">
        <f t="shared" si="13"/>
        <v>402741.07806362212</v>
      </c>
      <c r="BB38" s="5">
        <f t="shared" si="13"/>
        <v>2765326.4781690533</v>
      </c>
      <c r="BC38" s="5">
        <f t="shared" si="13"/>
        <v>1110605.2621764014</v>
      </c>
      <c r="BD38" s="5">
        <f t="shared" si="14"/>
        <v>164764325.80196196</v>
      </c>
      <c r="BF38" s="5">
        <f t="shared" si="15"/>
        <v>177734486.27772069</v>
      </c>
      <c r="BG38" s="5">
        <f t="shared" si="16"/>
        <v>3624128.7924621473</v>
      </c>
      <c r="BH38" s="5">
        <f t="shared" si="17"/>
        <v>823761.15371469921</v>
      </c>
      <c r="BI38" s="5">
        <f t="shared" si="18"/>
        <v>4311905.9777874425</v>
      </c>
      <c r="BJ38" s="5">
        <f t="shared" si="18"/>
        <v>530576.2469949791</v>
      </c>
      <c r="BK38" s="5">
        <f t="shared" si="18"/>
        <v>2818891.4457789026</v>
      </c>
      <c r="BL38" s="5">
        <f t="shared" si="18"/>
        <v>1132117.9245565757</v>
      </c>
      <c r="BM38" s="5">
        <f t="shared" si="19"/>
        <v>164493104.73642594</v>
      </c>
      <c r="BO38" s="5">
        <f t="shared" si="20"/>
        <v>-271221.06553602219</v>
      </c>
      <c r="BP38" s="12">
        <f t="shared" si="21"/>
        <v>-1.6461152267998572E-3</v>
      </c>
    </row>
    <row r="39" spans="1:68" x14ac:dyDescent="0.25">
      <c r="A39" s="1">
        <v>55</v>
      </c>
      <c r="B39" s="1">
        <v>210055</v>
      </c>
      <c r="C39" s="4">
        <v>44865831.899999999</v>
      </c>
      <c r="D39" s="4">
        <f>SUM('Modeling - Base Estimates'!E39:G39)-SUM('Scenario 1 - increased MA % '!E39:F39)</f>
        <v>5259864.3000000007</v>
      </c>
      <c r="E39" s="4">
        <f>((SUM('Modeling - Base Estimates'!F39:G39)/SUM('Modeling - Base Estimates'!E39:G39)+$E$63))*SUM('Modeling - Base Estimates'!E39:G39)*('Modeling - Base Estimates'!F39/SUM('Modeling - Base Estimates'!F39:G39))</f>
        <v>1227385.7145033032</v>
      </c>
      <c r="F39" s="4">
        <f>((SUM('Modeling - Base Estimates'!F39:G39)/SUM('Modeling - Base Estimates'!E39:G39)+$E$63))*SUM('Modeling - Base Estimates'!E39:G39)*('Modeling - Base Estimates'!G39/SUM('Modeling - Base Estimates'!F39:G39))</f>
        <v>1824389.9854966966</v>
      </c>
      <c r="G39" s="4">
        <v>-659389</v>
      </c>
      <c r="H39" s="4">
        <v>10444154.399999999</v>
      </c>
      <c r="I39" s="4">
        <v>0</v>
      </c>
      <c r="J39" s="4">
        <v>7020203.4000000004</v>
      </c>
      <c r="K39" s="4">
        <v>124797.3</v>
      </c>
      <c r="L39" s="4">
        <v>7309000</v>
      </c>
      <c r="M39" s="4">
        <f t="shared" si="0"/>
        <v>12315425.800000001</v>
      </c>
      <c r="N39" s="12">
        <f t="shared" si="1"/>
        <v>0.11723541227817957</v>
      </c>
      <c r="O39" s="12">
        <f t="shared" si="2"/>
        <v>2.7356802772296376E-2</v>
      </c>
      <c r="P39" s="12">
        <f t="shared" si="2"/>
        <v>4.0663237662973029E-2</v>
      </c>
      <c r="Q39" s="12">
        <f t="shared" si="9"/>
        <v>0.21808946776711832</v>
      </c>
      <c r="R39" s="12">
        <f t="shared" si="10"/>
        <v>0</v>
      </c>
      <c r="S39" s="12">
        <f t="shared" si="10"/>
        <v>0.15647104049351196</v>
      </c>
      <c r="T39" s="12">
        <f t="shared" si="10"/>
        <v>2.7815666112723969E-3</v>
      </c>
      <c r="U39" s="12">
        <f t="shared" si="10"/>
        <v>0.16290793440074383</v>
      </c>
      <c r="V39" s="12">
        <f t="shared" si="11"/>
        <v>0.27449453801390455</v>
      </c>
      <c r="W39" s="4">
        <f>SUMIFS('Modeling - Base Estimates'!AK:AK,'Modeling - Base Estimates'!A:A,A39)</f>
        <v>24469056.935375791</v>
      </c>
      <c r="X39" s="4">
        <f>(W39*N39*(1-N$2))+(W39*O39*(1-'Modeling - Base Estimates'!$AA$51-N$2))+(W39*P39*(1-'Modeling - Base Estimates'!$AE$51))+(W39*Q39*(1-Q$2))+(W39*R39*(1-R$2))+(W39*S39*(1-S$2))+(W39*T39*(1-T$2))+(W39*U39*(1-U$2))+(W39*V39*(1-V$2))</f>
        <v>23410637.509868175</v>
      </c>
      <c r="Y39" s="5">
        <f>X39*N39*SUMIFS('Modeling - Base Estimates'!AN:AN,'Modeling - Base Estimates'!A:A,A39)</f>
        <v>9566.2594369090057</v>
      </c>
      <c r="Z39" s="4">
        <f t="shared" si="4"/>
        <v>23401071.250431266</v>
      </c>
      <c r="AA39" s="4">
        <f>(((W39*N39*(1-N$2))/X39)*X39)-Y39-(((SUMIFS('Modeling - Base Estimates'!X:X,'Modeling - Base Estimates'!A:A,A39)*N39*(1-N$2))/SUMIFS('Modeling - Base Estimates'!Z:Z,'Modeling - Base Estimates'!A:A,A39))*SUMIFS('Modeling - Base Estimates'!Z:Z,'Modeling - Base Estimates'!A:A,A39))</f>
        <v>4.7968184663914144</v>
      </c>
      <c r="AB39" s="4"/>
      <c r="AC39" s="18">
        <f>1-((((W39*O39*(1-N$2-'Modeling - Base Estimates'!$AA$51))/X39)*X39)/('Modeling - Base Estimates'!X39*'Modeling - Base Estimates'!P39))</f>
        <v>6.1082067063277679E-2</v>
      </c>
      <c r="AD39" s="18">
        <f t="shared" si="22"/>
        <v>-1.591793293672232E-2</v>
      </c>
      <c r="AE39" s="18">
        <f>1-((((W39*P39*(1-'Modeling - Base Estimates'!$AE$51))/X39)*X39)/(SUMIFS('Modeling - Base Estimates'!X:X,'Modeling - Base Estimates'!A:A,A39)*'Modeling - Base Estimates'!Q39))</f>
        <v>-6.1514605694283908E-2</v>
      </c>
      <c r="AF39" s="18">
        <f t="shared" si="23"/>
        <v>-0.13851460569428392</v>
      </c>
      <c r="AG39" s="18">
        <f>$N39*(1-$N$2)+$O39*(1-$N$2-'Modeling - Base Estimates'!$AA$51)+$P39*(1-'Modeling - Base Estimates'!$AE$51)+$Q39*(1-$Q$2)+$R39*(1-$R$2)+$S39*(1-$S$2)+$T39*(1-$T$2)+$U39*(1-$U$2)+$V39*(1-$V$2)</f>
        <v>0.95674457629066101</v>
      </c>
      <c r="AH39" s="18" t="e">
        <f>$O39*(1-$N$2-#REF!)+$P39*(1-#REF!)+$Q39*(1-$Q$2)+$R39*(1-$R$2)+$S39*(1-$S$2)+$T39*(1-$T$2)+$U39*(1-$U$2)+$V39*(1-$V$2)</f>
        <v>#REF!</v>
      </c>
      <c r="AJ39" s="7">
        <f>(SUMIFS('Modeling - Base Estimates'!$X:$X,'Modeling - Base Estimates'!$A:$A,$A39)*SUMIFS('Modeling - Base Estimates'!O:O,'Modeling - Base Estimates'!$A:$A,$A39)*($N$2))</f>
        <v>237475.89137408082</v>
      </c>
      <c r="AK39" s="7">
        <f>(SUMIFS('Modeling - Base Estimates'!$X:$X,'Modeling - Base Estimates'!$A:$A,$A39)*SUMIFS('Modeling - Base Estimates'!P:P,'Modeling - Base Estimates'!$A:$A,$A39)*($N$2))</f>
        <v>44363.446596558846</v>
      </c>
      <c r="AL39" s="7">
        <f>(SUMIFS('Modeling - Base Estimates'!$X:$X,'Modeling - Base Estimates'!$A:$A,$A39)*SUMIFS('Modeling - Base Estimates'!Q:Q,'Modeling - Base Estimates'!$A:$A,$A39)*($N$2))</f>
        <v>65941.96651998075</v>
      </c>
      <c r="AM39" s="7">
        <f>(SUMIFS('Modeling - Base Estimates'!$X:$X,'Modeling - Base Estimates'!$A:$A,$A39)*SUMIFS('Modeling - Base Estimates'!R:R,'Modeling - Base Estimates'!$A:$A,$A39)*($N$2))</f>
        <v>409420.82127554697</v>
      </c>
      <c r="AN39" s="7">
        <f>(SUMIFS('Modeling - Base Estimates'!X:X,'Modeling - Base Estimates'!A:A,$A39)*$R39*($R$2))+(SUMIFS('Modeling - Base Estimates'!X:X,'Modeling - Base Estimates'!A:A,$A39)*$S39*($S$2))+(SUMIFS('Modeling - Base Estimates'!X:X,'Modeling - Base Estimates'!A:A,$A39)*$T39*($T$2))+(SUMIFS('Modeling - Base Estimates'!X:X,'Modeling - Base Estimates'!A:A,$A39)*$U39*($U$2))+(SUMIFS('Modeling - Base Estimates'!X:X,'Modeling - Base Estimates'!A:A,$A39)*$V39*($V$2))</f>
        <v>211500.37041196052</v>
      </c>
      <c r="AO39" s="7">
        <f>SUM(AJ39:AN39)-(SUMIFS('Modeling - Base Estimates'!X:X,'Modeling - Base Estimates'!A:A,A39)-SUMIFS('Modeling - Base Estimates'!Z:Z,'Modeling - Base Estimates'!A:A,A39))</f>
        <v>3.8417056202888489E-9</v>
      </c>
      <c r="AQ39" s="7">
        <f t="shared" si="5"/>
        <v>220885.27829653132</v>
      </c>
      <c r="AR39" s="7">
        <f>(W39*$O39*($N$2+'Modeling - Base Estimates'!$AA$51))</f>
        <v>128438.85841828708</v>
      </c>
      <c r="AS39" s="7">
        <f>(W39*P39*('Modeling - Base Estimates'!$AE$51))</f>
        <v>85921.459510925779</v>
      </c>
      <c r="AT39" s="7">
        <f t="shared" si="6"/>
        <v>410906.15749255545</v>
      </c>
      <c r="AU39" s="7">
        <f t="shared" si="7"/>
        <v>212267.67178931809</v>
      </c>
      <c r="AV39" s="5">
        <f t="shared" si="12"/>
        <v>0</v>
      </c>
      <c r="AX39" s="7">
        <f>SUMIFS('Modeling - Base Estimates'!X:X,'Modeling - Base Estimates'!A:A,A39)</f>
        <v>24380606.626711786</v>
      </c>
      <c r="AY39" s="5">
        <f t="shared" si="13"/>
        <v>237475.89137408082</v>
      </c>
      <c r="AZ39" s="5">
        <f t="shared" si="13"/>
        <v>44363.446596558846</v>
      </c>
      <c r="BA39" s="5">
        <f t="shared" si="13"/>
        <v>65941.96651998075</v>
      </c>
      <c r="BB39" s="5">
        <f t="shared" si="13"/>
        <v>409420.82127554697</v>
      </c>
      <c r="BC39" s="5">
        <f t="shared" si="13"/>
        <v>211500.37041196052</v>
      </c>
      <c r="BD39" s="5">
        <f t="shared" si="14"/>
        <v>23411904.130533658</v>
      </c>
      <c r="BF39" s="5">
        <f t="shared" si="15"/>
        <v>24469056.935375791</v>
      </c>
      <c r="BG39" s="5">
        <f t="shared" si="16"/>
        <v>220885.27829653132</v>
      </c>
      <c r="BH39" s="5">
        <f t="shared" si="17"/>
        <v>9566.2594369090057</v>
      </c>
      <c r="BI39" s="5">
        <f t="shared" si="18"/>
        <v>128438.85841828708</v>
      </c>
      <c r="BJ39" s="5">
        <f t="shared" si="18"/>
        <v>85921.459510925779</v>
      </c>
      <c r="BK39" s="5">
        <f t="shared" si="18"/>
        <v>410906.15749255545</v>
      </c>
      <c r="BL39" s="5">
        <f t="shared" si="18"/>
        <v>212267.67178931809</v>
      </c>
      <c r="BM39" s="5">
        <f t="shared" si="19"/>
        <v>23401071.250431266</v>
      </c>
      <c r="BO39" s="5">
        <f t="shared" si="20"/>
        <v>-10832.880102392286</v>
      </c>
      <c r="BP39" s="12">
        <f t="shared" si="21"/>
        <v>-4.6270820356999977E-4</v>
      </c>
    </row>
    <row r="40" spans="1:68" x14ac:dyDescent="0.25">
      <c r="A40" s="1">
        <v>2004</v>
      </c>
      <c r="B40" s="1">
        <v>210056</v>
      </c>
      <c r="C40" s="4">
        <v>328543892.10000002</v>
      </c>
      <c r="D40" s="4">
        <f>SUM('Modeling - Base Estimates'!E40:G40)-SUM('Scenario 1 - increased MA % '!E40:F40)</f>
        <v>112642782.70500001</v>
      </c>
      <c r="E40" s="4">
        <f>((SUM('Modeling - Base Estimates'!F40:G40)/SUM('Modeling - Base Estimates'!E40:G40)+$E$63))*SUM('Modeling - Base Estimates'!E40:G40)*('Modeling - Base Estimates'!F40/SUM('Modeling - Base Estimates'!F40:G40))</f>
        <v>30105635.441754367</v>
      </c>
      <c r="F40" s="4">
        <f>((SUM('Modeling - Base Estimates'!F40:G40)/SUM('Modeling - Base Estimates'!E40:G40)+$E$63))*SUM('Modeling - Base Estimates'!E40:G40)*('Modeling - Base Estimates'!G40/SUM('Modeling - Base Estimates'!F40:G40))</f>
        <v>46597103.753245622</v>
      </c>
      <c r="G40" s="4">
        <v>14512319.600000001</v>
      </c>
      <c r="H40" s="4">
        <v>56449240.799999997</v>
      </c>
      <c r="I40" s="4">
        <v>8904352.6999999993</v>
      </c>
      <c r="J40" s="4">
        <v>14951033.699999999</v>
      </c>
      <c r="K40" s="4">
        <v>2970682.3</v>
      </c>
      <c r="L40" s="4">
        <v>17450430.300000001</v>
      </c>
      <c r="M40" s="4">
        <f t="shared" si="0"/>
        <v>23960310.800000012</v>
      </c>
      <c r="N40" s="12">
        <f t="shared" si="1"/>
        <v>0.34285459390221912</v>
      </c>
      <c r="O40" s="12">
        <f t="shared" si="2"/>
        <v>9.1633526495726217E-2</v>
      </c>
      <c r="P40" s="12">
        <f t="shared" si="2"/>
        <v>0.14182915851944283</v>
      </c>
      <c r="Q40" s="12">
        <f t="shared" si="9"/>
        <v>0.21598806767164369</v>
      </c>
      <c r="R40" s="12">
        <f t="shared" si="10"/>
        <v>2.7102475237280477E-2</v>
      </c>
      <c r="S40" s="12">
        <f t="shared" si="10"/>
        <v>4.5506959829432175E-2</v>
      </c>
      <c r="T40" s="12">
        <f t="shared" si="10"/>
        <v>9.0419647767970169E-3</v>
      </c>
      <c r="U40" s="12">
        <f t="shared" si="10"/>
        <v>5.3114456605659721E-2</v>
      </c>
      <c r="V40" s="12">
        <f t="shared" si="11"/>
        <v>7.2928796961798728E-2</v>
      </c>
      <c r="W40" s="4">
        <f>SUMIFS('Modeling - Base Estimates'!AK:AK,'Modeling - Base Estimates'!A:A,A40)</f>
        <v>180434177.19137433</v>
      </c>
      <c r="X40" s="4">
        <f>(W40*N40*(1-N$2))+(W40*O40*(1-'Modeling - Base Estimates'!$AA$51-N$2))+(W40*P40*(1-'Modeling - Base Estimates'!$AE$51))+(W40*Q40*(1-Q$2))+(W40*R40*(1-R$2))+(W40*S40*(1-S$2))+(W40*T40*(1-T$2))+(W40*U40*(1-U$2))+(W40*V40*(1-V$2))</f>
        <v>166717614.37264588</v>
      </c>
      <c r="Y40" s="5">
        <f>X40*N40*SUMIFS('Modeling - Base Estimates'!AN:AN,'Modeling - Base Estimates'!A:A,A40)</f>
        <v>1002330.8222692036</v>
      </c>
      <c r="Z40" s="4">
        <f t="shared" si="4"/>
        <v>165715283.55037668</v>
      </c>
      <c r="AA40" s="4">
        <f>(((W40*N40*(1-N$2))/X40)*X40)-Y40-(((SUMIFS('Modeling - Base Estimates'!X:X,'Modeling - Base Estimates'!A:A,A40)*N40*(1-N$2))/SUMIFS('Modeling - Base Estimates'!Z:Z,'Modeling - Base Estimates'!A:A,A40))*SUMIFS('Modeling - Base Estimates'!Z:Z,'Modeling - Base Estimates'!A:A,A40))</f>
        <v>1587.0359066873789</v>
      </c>
      <c r="AB40" s="4"/>
      <c r="AC40" s="18">
        <f>1-((((W40*O40*(1-N$2-'Modeling - Base Estimates'!$AA$51))/X40)*X40)/('Modeling - Base Estimates'!X40*'Modeling - Base Estimates'!P40))</f>
        <v>6.1583211400787041E-2</v>
      </c>
      <c r="AD40" s="18">
        <f t="shared" si="22"/>
        <v>-1.5416788599212958E-2</v>
      </c>
      <c r="AE40" s="18">
        <f>1-((((W40*P40*(1-'Modeling - Base Estimates'!$AE$51))/X40)*X40)/(SUMIFS('Modeling - Base Estimates'!X:X,'Modeling - Base Estimates'!A:A,A40)*'Modeling - Base Estimates'!Q40))</f>
        <v>-6.0948025788664983E-2</v>
      </c>
      <c r="AF40" s="18">
        <f t="shared" si="23"/>
        <v>-0.137948025788665</v>
      </c>
      <c r="AG40" s="18">
        <f>$N40*(1-$N$2)+$O40*(1-$N$2-'Modeling - Base Estimates'!$AA$51)+$P40*(1-'Modeling - Base Estimates'!$AE$51)+$Q40*(1-$Q$2)+$R40*(1-$R$2)+$S40*(1-$S$2)+$T40*(1-$T$2)+$U40*(1-$U$2)+$V40*(1-$V$2)</f>
        <v>0.92398024015051072</v>
      </c>
      <c r="AH40" s="18" t="e">
        <f>$O40*(1-$N$2-#REF!)+$P40*(1-#REF!)+$Q40*(1-$Q$2)+$R40*(1-$R$2)+$S40*(1-$S$2)+$T40*(1-$T$2)+$U40*(1-$U$2)+$V40*(1-$V$2)</f>
        <v>#REF!</v>
      </c>
      <c r="AJ40" s="7">
        <f>(SUMIFS('Modeling - Base Estimates'!$X:$X,'Modeling - Base Estimates'!$A:$A,$A40)*SUMIFS('Modeling - Base Estimates'!O:O,'Modeling - Base Estimates'!$A:$A,$A40)*($N$2))</f>
        <v>5072988.6734302938</v>
      </c>
      <c r="AK40" s="7">
        <f>(SUMIFS('Modeling - Base Estimates'!$X:$X,'Modeling - Base Estimates'!$A:$A,$A40)*SUMIFS('Modeling - Base Estimates'!P:P,'Modeling - Base Estimates'!$A:$A,$A40)*($N$2))</f>
        <v>1096346.356045597</v>
      </c>
      <c r="AL40" s="7">
        <f>(SUMIFS('Modeling - Base Estimates'!$X:$X,'Modeling - Base Estimates'!$A:$A,$A40)*SUMIFS('Modeling - Base Estimates'!Q:Q,'Modeling - Base Estimates'!$A:$A,$A40)*($N$2))</f>
        <v>1696910.3675285999</v>
      </c>
      <c r="AM40" s="7">
        <f>(SUMIFS('Modeling - Base Estimates'!$X:$X,'Modeling - Base Estimates'!$A:$A,$A40)*SUMIFS('Modeling - Base Estimates'!R:R,'Modeling - Base Estimates'!$A:$A,$A40)*($N$2))</f>
        <v>2948055.1864097519</v>
      </c>
      <c r="AN40" s="7">
        <f>(SUMIFS('Modeling - Base Estimates'!X:X,'Modeling - Base Estimates'!A:A,$A40)*$R40*($R$2))+(SUMIFS('Modeling - Base Estimates'!X:X,'Modeling - Base Estimates'!A:A,$A40)*$S40*($S$2))+(SUMIFS('Modeling - Base Estimates'!X:X,'Modeling - Base Estimates'!A:A,$A40)*$T40*($T$2))+(SUMIFS('Modeling - Base Estimates'!X:X,'Modeling - Base Estimates'!A:A,$A40)*$U40*($U$2))+(SUMIFS('Modeling - Base Estimates'!X:X,'Modeling - Base Estimates'!A:A,$A40)*$V40*($V$2))</f>
        <v>560033.82353039505</v>
      </c>
      <c r="AO40" s="7">
        <f>SUM(AJ40:AN40)-(SUMIFS('Modeling - Base Estimates'!X:X,'Modeling - Base Estimates'!A:A,A40)-SUMIFS('Modeling - Base Estimates'!Z:Z,'Modeling - Base Estimates'!A:A,A40))</f>
        <v>0</v>
      </c>
      <c r="AQ40" s="7">
        <f t="shared" si="5"/>
        <v>4763426.8641212862</v>
      </c>
      <c r="AR40" s="7">
        <f>(W40*$O40*($N$2+'Modeling - Base Estimates'!$AA$51))</f>
        <v>3172393.6364944065</v>
      </c>
      <c r="AS40" s="7">
        <f>(W40*P40*('Modeling - Base Estimates'!$AE$51))</f>
        <v>2209870.3195930542</v>
      </c>
      <c r="AT40" s="7">
        <f t="shared" si="6"/>
        <v>3000815.4540585689</v>
      </c>
      <c r="AU40" s="7">
        <f t="shared" si="7"/>
        <v>570056.54446115135</v>
      </c>
      <c r="AV40" s="5">
        <f t="shared" si="12"/>
        <v>2.0489096641540527E-8</v>
      </c>
      <c r="AX40" s="7">
        <f>SUMIFS('Modeling - Base Estimates'!X:X,'Modeling - Base Estimates'!A:A,A40)</f>
        <v>177261787.67680568</v>
      </c>
      <c r="AY40" s="5">
        <f t="shared" si="13"/>
        <v>5072988.6734302938</v>
      </c>
      <c r="AZ40" s="5">
        <f t="shared" si="13"/>
        <v>1096346.356045597</v>
      </c>
      <c r="BA40" s="5">
        <f t="shared" si="13"/>
        <v>1696910.3675285999</v>
      </c>
      <c r="BB40" s="5">
        <f t="shared" si="13"/>
        <v>2948055.1864097519</v>
      </c>
      <c r="BC40" s="5">
        <f t="shared" si="13"/>
        <v>560033.82353039505</v>
      </c>
      <c r="BD40" s="5">
        <f t="shared" si="14"/>
        <v>165887453.26986104</v>
      </c>
      <c r="BF40" s="5">
        <f t="shared" si="15"/>
        <v>180434177.19137433</v>
      </c>
      <c r="BG40" s="5">
        <f t="shared" si="16"/>
        <v>4763426.8641212862</v>
      </c>
      <c r="BH40" s="5">
        <f t="shared" si="17"/>
        <v>1002330.8222692036</v>
      </c>
      <c r="BI40" s="5">
        <f t="shared" si="18"/>
        <v>3172393.6364944065</v>
      </c>
      <c r="BJ40" s="5">
        <f t="shared" si="18"/>
        <v>2209870.3195930542</v>
      </c>
      <c r="BK40" s="5">
        <f t="shared" si="18"/>
        <v>3000815.4540585689</v>
      </c>
      <c r="BL40" s="5">
        <f t="shared" si="18"/>
        <v>570056.54446115135</v>
      </c>
      <c r="BM40" s="5">
        <f t="shared" si="19"/>
        <v>165715283.55037665</v>
      </c>
      <c r="BO40" s="5">
        <f t="shared" si="20"/>
        <v>-172169.71948438883</v>
      </c>
      <c r="BP40" s="12">
        <f t="shared" si="21"/>
        <v>-1.0378706532091248E-3</v>
      </c>
    </row>
    <row r="41" spans="1:68" x14ac:dyDescent="0.25">
      <c r="A41" s="1">
        <v>2001</v>
      </c>
      <c r="B41" s="1">
        <v>210058</v>
      </c>
      <c r="C41" s="4">
        <v>156242273.30000001</v>
      </c>
      <c r="D41" s="4">
        <f>SUM('Modeling - Base Estimates'!E41:G41)-SUM('Scenario 1 - increased MA % '!E41:F41)</f>
        <v>44877274.785000004</v>
      </c>
      <c r="E41" s="4">
        <f>((SUM('Modeling - Base Estimates'!F41:G41)/SUM('Modeling - Base Estimates'!E41:G41)+$E$63))*SUM('Modeling - Base Estimates'!E41:G41)*('Modeling - Base Estimates'!F41/SUM('Modeling - Base Estimates'!F41:G41))</f>
        <v>6154053.7529481761</v>
      </c>
      <c r="F41" s="4">
        <f>((SUM('Modeling - Base Estimates'!F41:G41)/SUM('Modeling - Base Estimates'!E41:G41)+$E$63))*SUM('Modeling - Base Estimates'!E41:G41)*('Modeling - Base Estimates'!G41/SUM('Modeling - Base Estimates'!F41:G41))</f>
        <v>9286947.7620518226</v>
      </c>
      <c r="G41" s="4">
        <v>3676701.8</v>
      </c>
      <c r="H41" s="4">
        <v>32997858.800000001</v>
      </c>
      <c r="I41" s="4">
        <v>11239838.799999999</v>
      </c>
      <c r="J41" s="4">
        <v>13550906.300000001</v>
      </c>
      <c r="K41" s="4">
        <v>407449.59999999998</v>
      </c>
      <c r="L41" s="4">
        <v>5372000</v>
      </c>
      <c r="M41" s="4">
        <f t="shared" si="0"/>
        <v>28679241.700000033</v>
      </c>
      <c r="N41" s="12">
        <f t="shared" si="1"/>
        <v>0.28722876233905897</v>
      </c>
      <c r="O41" s="12">
        <f t="shared" si="2"/>
        <v>3.9387891784778424E-2</v>
      </c>
      <c r="P41" s="12">
        <f t="shared" si="2"/>
        <v>5.9439405008015984E-2</v>
      </c>
      <c r="Q41" s="12">
        <f t="shared" si="9"/>
        <v>0.23472879538549316</v>
      </c>
      <c r="R41" s="12">
        <f t="shared" si="10"/>
        <v>7.1938525743403897E-2</v>
      </c>
      <c r="S41" s="12">
        <f t="shared" si="10"/>
        <v>8.6730089199233376E-2</v>
      </c>
      <c r="T41" s="12">
        <f t="shared" si="10"/>
        <v>2.6078063983212664E-3</v>
      </c>
      <c r="U41" s="12">
        <f t="shared" si="10"/>
        <v>3.4382500244893706E-2</v>
      </c>
      <c r="V41" s="12">
        <f t="shared" si="11"/>
        <v>0.18355622389680137</v>
      </c>
      <c r="W41" s="4">
        <f>SUMIFS('Modeling - Base Estimates'!AK:AK,'Modeling - Base Estimates'!A:A,A41)</f>
        <v>85276562.660868511</v>
      </c>
      <c r="X41" s="4">
        <f>(W41*N41*(1-N$2))+(W41*O41*(1-'Modeling - Base Estimates'!$AA$51-N$2))+(W41*P41*(1-'Modeling - Base Estimates'!$AE$51))+(W41*Q41*(1-Q$2))+(W41*R41*(1-R$2))+(W41*S41*(1-S$2))+(W41*T41*(1-T$2))+(W41*U41*(1-U$2))+(W41*V41*(1-V$2))</f>
        <v>80163590.212713957</v>
      </c>
      <c r="Y41" s="5">
        <f>X41*N41*SUMIFS('Modeling - Base Estimates'!AN:AN,'Modeling - Base Estimates'!A:A,A41)</f>
        <v>139726.19774886614</v>
      </c>
      <c r="Z41" s="4">
        <f t="shared" si="4"/>
        <v>80023864.014965087</v>
      </c>
      <c r="AA41" s="4">
        <f>(((W41*N41*(1-N$2))/X41)*X41)-Y41-(((SUMIFS('Modeling - Base Estimates'!X:X,'Modeling - Base Estimates'!A:A,A41)*N41*(1-N$2))/SUMIFS('Modeling - Base Estimates'!Z:Z,'Modeling - Base Estimates'!A:A,A41))*SUMIFS('Modeling - Base Estimates'!Z:Z,'Modeling - Base Estimates'!A:A,A41))</f>
        <v>147.49896074458957</v>
      </c>
      <c r="AB41" s="4"/>
      <c r="AC41" s="18">
        <f>1-((((W41*O41*(1-N$2-'Modeling - Base Estimates'!$AA$51))/X41)*X41)/('Modeling - Base Estimates'!X41*'Modeling - Base Estimates'!P41))</f>
        <v>-1.0533988812938322E-2</v>
      </c>
      <c r="AD41" s="18">
        <f t="shared" si="22"/>
        <v>-8.7533988812938321E-2</v>
      </c>
      <c r="AE41" s="18">
        <f>1-((((W41*P41*(1-'Modeling - Base Estimates'!$AE$51))/X41)*X41)/(SUMIFS('Modeling - Base Estimates'!X:X,'Modeling - Base Estimates'!A:A,A41)*'Modeling - Base Estimates'!Q41))</f>
        <v>-0.14248173460729019</v>
      </c>
      <c r="AF41" s="18">
        <f t="shared" si="23"/>
        <v>-0.2194817346072902</v>
      </c>
      <c r="AG41" s="18">
        <f>$N41*(1-$N$2)+$O41*(1-$N$2-'Modeling - Base Estimates'!$AA$51)+$P41*(1-'Modeling - Base Estimates'!$AE$51)+$Q41*(1-$Q$2)+$R41*(1-$R$2)+$S41*(1-$S$2)+$T41*(1-$T$2)+$U41*(1-$U$2)+$V41*(1-$V$2)</f>
        <v>0.94004246549561288</v>
      </c>
      <c r="AH41" s="18" t="e">
        <f>$O41*(1-$N$2-#REF!)+$P41*(1-#REF!)+$Q41*(1-$Q$2)+$R41*(1-$R$2)+$S41*(1-$S$2)+$T41*(1-$T$2)+$U41*(1-$U$2)+$V41*(1-$V$2)</f>
        <v>#REF!</v>
      </c>
      <c r="AJ41" s="7">
        <f>(SUMIFS('Modeling - Base Estimates'!$X:$X,'Modeling - Base Estimates'!$A:$A,$A41)*SUMIFS('Modeling - Base Estimates'!O:O,'Modeling - Base Estimates'!$A:$A,$A41)*($N$2))</f>
        <v>2000323.831011062</v>
      </c>
      <c r="AK41" s="7">
        <f>(SUMIFS('Modeling - Base Estimates'!$X:$X,'Modeling - Base Estimates'!$A:$A,$A41)*SUMIFS('Modeling - Base Estimates'!P:P,'Modeling - Base Estimates'!$A:$A,$A41)*($N$2))</f>
        <v>206829.19390083037</v>
      </c>
      <c r="AL41" s="7">
        <f>(SUMIFS('Modeling - Base Estimates'!$X:$X,'Modeling - Base Estimates'!$A:$A,$A41)*SUMIFS('Modeling - Base Estimates'!Q:Q,'Modeling - Base Estimates'!$A:$A,$A41)*($N$2))</f>
        <v>312121.40753631061</v>
      </c>
      <c r="AM41" s="7">
        <f>(SUMIFS('Modeling - Base Estimates'!$X:$X,'Modeling - Base Estimates'!$A:$A,$A41)*SUMIFS('Modeling - Base Estimates'!R:R,'Modeling - Base Estimates'!$A:$A,$A41)*($N$2))</f>
        <v>1531762.6515274316</v>
      </c>
      <c r="AN41" s="7">
        <f>(SUMIFS('Modeling - Base Estimates'!X:X,'Modeling - Base Estimates'!A:A,$A41)*$R41*($R$2))+(SUMIFS('Modeling - Base Estimates'!X:X,'Modeling - Base Estimates'!A:A,$A41)*$S41*($S$2))+(SUMIFS('Modeling - Base Estimates'!X:X,'Modeling - Base Estimates'!A:A,$A41)*$T41*($T$2))+(SUMIFS('Modeling - Base Estimates'!X:X,'Modeling - Base Estimates'!A:A,$A41)*$U41*($U$2))+(SUMIFS('Modeling - Base Estimates'!X:X,'Modeling - Base Estimates'!A:A,$A41)*$V41*($V$2))</f>
        <v>599725.95400697482</v>
      </c>
      <c r="AO41" s="7">
        <f>SUM(AJ41:AN41)-(SUMIFS('Modeling - Base Estimates'!X:X,'Modeling - Base Estimates'!A:A,A41)-SUMIFS('Modeling - Base Estimates'!Z:Z,'Modeling - Base Estimates'!A:A,A41))</f>
        <v>0</v>
      </c>
      <c r="AQ41" s="7">
        <f t="shared" si="5"/>
        <v>1886028.8793200064</v>
      </c>
      <c r="AR41" s="7">
        <f>(W41*$O41*($N$2+'Modeling - Base Estimates'!$AA$51))</f>
        <v>644475.31646714301</v>
      </c>
      <c r="AS41" s="7">
        <f>(W41*P41*('Modeling - Base Estimates'!$AE$51))</f>
        <v>437710.13153298479</v>
      </c>
      <c r="AT41" s="7">
        <f t="shared" si="6"/>
        <v>1541298.5917560917</v>
      </c>
      <c r="AU41" s="7">
        <f t="shared" si="7"/>
        <v>603459.52907833713</v>
      </c>
      <c r="AV41" s="5">
        <f t="shared" si="12"/>
        <v>9.3132257461547852E-9</v>
      </c>
      <c r="AX41" s="7">
        <f>SUMIFS('Modeling - Base Estimates'!X:X,'Modeling - Base Estimates'!A:A,A41)</f>
        <v>84748960.67070961</v>
      </c>
      <c r="AY41" s="5">
        <f t="shared" si="13"/>
        <v>2000323.831011062</v>
      </c>
      <c r="AZ41" s="5">
        <f t="shared" si="13"/>
        <v>206829.19390083037</v>
      </c>
      <c r="BA41" s="5">
        <f t="shared" si="13"/>
        <v>312121.40753631061</v>
      </c>
      <c r="BB41" s="5">
        <f t="shared" si="13"/>
        <v>1531762.6515274316</v>
      </c>
      <c r="BC41" s="5">
        <f t="shared" si="13"/>
        <v>599725.95400697482</v>
      </c>
      <c r="BD41" s="5">
        <f t="shared" si="14"/>
        <v>80098197.632726997</v>
      </c>
      <c r="BF41" s="5">
        <f t="shared" si="15"/>
        <v>85276562.660868511</v>
      </c>
      <c r="BG41" s="5">
        <f t="shared" si="16"/>
        <v>1886028.8793200064</v>
      </c>
      <c r="BH41" s="5">
        <f t="shared" si="17"/>
        <v>139726.19774886614</v>
      </c>
      <c r="BI41" s="5">
        <f t="shared" si="18"/>
        <v>644475.31646714301</v>
      </c>
      <c r="BJ41" s="5">
        <f t="shared" si="18"/>
        <v>437710.13153298479</v>
      </c>
      <c r="BK41" s="5">
        <f t="shared" si="18"/>
        <v>1541298.5917560917</v>
      </c>
      <c r="BL41" s="5">
        <f t="shared" si="18"/>
        <v>603459.52907833713</v>
      </c>
      <c r="BM41" s="5">
        <f t="shared" si="19"/>
        <v>80023864.014965087</v>
      </c>
      <c r="BO41" s="5">
        <f t="shared" si="20"/>
        <v>-74333.617761909962</v>
      </c>
      <c r="BP41" s="12">
        <f t="shared" si="21"/>
        <v>-9.2803109132056543E-4</v>
      </c>
    </row>
    <row r="42" spans="1:68" x14ac:dyDescent="0.25">
      <c r="A42" s="1">
        <v>61</v>
      </c>
      <c r="B42" s="1">
        <v>210061</v>
      </c>
      <c r="C42" s="4">
        <v>140018931</v>
      </c>
      <c r="D42" s="4">
        <f>SUM('Modeling - Base Estimates'!E42:G42)-SUM('Scenario 1 - increased MA % '!E42:F42)</f>
        <v>53018087.200000003</v>
      </c>
      <c r="E42" s="4">
        <f>((SUM('Modeling - Base Estimates'!F42:G42)/SUM('Modeling - Base Estimates'!E42:G42)+$E$63))*SUM('Modeling - Base Estimates'!E42:G42)*('Modeling - Base Estimates'!F42/SUM('Modeling - Base Estimates'!F42:G42))</f>
        <v>8428732.4641725272</v>
      </c>
      <c r="F42" s="4">
        <f>((SUM('Modeling - Base Estimates'!F42:G42)/SUM('Modeling - Base Estimates'!E42:G42)+$E$63))*SUM('Modeling - Base Estimates'!E42:G42)*('Modeling - Base Estimates'!G42/SUM('Modeling - Base Estimates'!F42:G42))</f>
        <v>15376076.335827474</v>
      </c>
      <c r="G42" s="4">
        <v>2058348</v>
      </c>
      <c r="H42" s="4">
        <v>14009632</v>
      </c>
      <c r="I42" s="4">
        <v>4007551</v>
      </c>
      <c r="J42" s="4">
        <v>18777367</v>
      </c>
      <c r="K42" s="4">
        <v>1705777</v>
      </c>
      <c r="L42" s="4">
        <v>5700964</v>
      </c>
      <c r="M42" s="4">
        <f t="shared" si="0"/>
        <v>16936396</v>
      </c>
      <c r="N42" s="12">
        <f t="shared" si="1"/>
        <v>0.37864942134146135</v>
      </c>
      <c r="O42" s="12">
        <f t="shared" si="2"/>
        <v>6.0197091950177271E-2</v>
      </c>
      <c r="P42" s="12">
        <f t="shared" si="2"/>
        <v>0.10981426744236088</v>
      </c>
      <c r="Q42" s="12">
        <f t="shared" si="9"/>
        <v>0.11475576827536271</v>
      </c>
      <c r="R42" s="12">
        <f t="shared" si="10"/>
        <v>2.8621494046401484E-2</v>
      </c>
      <c r="S42" s="12">
        <f t="shared" si="10"/>
        <v>0.13410591600645771</v>
      </c>
      <c r="T42" s="12">
        <f t="shared" si="10"/>
        <v>1.2182474097020494E-2</v>
      </c>
      <c r="U42" s="12">
        <f t="shared" si="10"/>
        <v>4.0715665798076978E-2</v>
      </c>
      <c r="V42" s="12">
        <f t="shared" si="11"/>
        <v>0.12095790104268116</v>
      </c>
      <c r="W42" s="4">
        <f>SUMIFS('Modeling - Base Estimates'!AK:AK,'Modeling - Base Estimates'!A:A,A42)</f>
        <v>78508921.646534726</v>
      </c>
      <c r="X42" s="4">
        <f>(W42*N42*(1-N$2))+(W42*O42*(1-'Modeling - Base Estimates'!$AA$51-N$2))+(W42*P42*(1-'Modeling - Base Estimates'!$AE$51))+(W42*Q42*(1-Q$2))+(W42*R42*(1-R$2))+(W42*S42*(1-S$2))+(W42*T42*(1-T$2))+(W42*U42*(1-U$2))+(W42*V42*(1-V$2))</f>
        <v>73404726.370016873</v>
      </c>
      <c r="Y42" s="5">
        <f>X42*N42*SUMIFS('Modeling - Base Estimates'!AN:AN,'Modeling - Base Estimates'!A:A,A42)</f>
        <v>322151.45653909014</v>
      </c>
      <c r="Z42" s="4">
        <f t="shared" si="4"/>
        <v>73082574.913477778</v>
      </c>
      <c r="AA42" s="4">
        <f>(((W42*N42*(1-N$2))/X42)*X42)-Y42-(((SUMIFS('Modeling - Base Estimates'!X:X,'Modeling - Base Estimates'!A:A,A42)*N42*(1-N$2))/SUMIFS('Modeling - Base Estimates'!Z:Z,'Modeling - Base Estimates'!A:A,A42))*SUMIFS('Modeling - Base Estimates'!Z:Z,'Modeling - Base Estimates'!A:A,A42))</f>
        <v>441.5634895786643</v>
      </c>
      <c r="AB42" s="4"/>
      <c r="AC42" s="18">
        <f>1-((((W42*O42*(1-N$2-'Modeling - Base Estimates'!$AA$51))/X42)*X42)/('Modeling - Base Estimates'!X42*'Modeling - Base Estimates'!P42))</f>
        <v>2.4919837130757738E-2</v>
      </c>
      <c r="AD42" s="18">
        <f t="shared" si="22"/>
        <v>-5.2080162869242261E-2</v>
      </c>
      <c r="AE42" s="18">
        <f>1-((((W42*P42*(1-'Modeling - Base Estimates'!$AE$51))/X42)*X42)/(SUMIFS('Modeling - Base Estimates'!X:X,'Modeling - Base Estimates'!A:A,A42)*'Modeling - Base Estimates'!Q42))</f>
        <v>-0.10239862111379971</v>
      </c>
      <c r="AF42" s="18">
        <f t="shared" si="23"/>
        <v>-0.17939862111379973</v>
      </c>
      <c r="AG42" s="18">
        <f>$N42*(1-$N$2)+$O42*(1-$N$2-'Modeling - Base Estimates'!$AA$51)+$P42*(1-'Modeling - Base Estimates'!$AE$51)+$Q42*(1-$Q$2)+$R42*(1-$R$2)+$S42*(1-$S$2)+$T42*(1-$T$2)+$U42*(1-$U$2)+$V42*(1-$V$2)</f>
        <v>0.93498579308606344</v>
      </c>
      <c r="AH42" s="18" t="e">
        <f>$O42*(1-$N$2-#REF!)+$P42*(1-#REF!)+$Q42*(1-$Q$2)+$R42*(1-$R$2)+$S42*(1-$S$2)+$T42*(1-$T$2)+$U42*(1-$U$2)+$V42*(1-$V$2)</f>
        <v>#REF!</v>
      </c>
      <c r="AJ42" s="7">
        <f>(SUMIFS('Modeling - Base Estimates'!$X:$X,'Modeling - Base Estimates'!$A:$A,$A42)*SUMIFS('Modeling - Base Estimates'!O:O,'Modeling - Base Estimates'!$A:$A,$A42)*($N$2))</f>
        <v>2425982.7622734015</v>
      </c>
      <c r="AK42" s="7">
        <f>(SUMIFS('Modeling - Base Estimates'!$X:$X,'Modeling - Base Estimates'!$A:$A,$A42)*SUMIFS('Modeling - Base Estimates'!P:P,'Modeling - Base Estimates'!$A:$A,$A42)*($N$2))</f>
        <v>301595.28293181048</v>
      </c>
      <c r="AL42" s="7">
        <f>(SUMIFS('Modeling - Base Estimates'!$X:$X,'Modeling - Base Estimates'!$A:$A,$A42)*SUMIFS('Modeling - Base Estimates'!Q:Q,'Modeling - Base Estimates'!$A:$A,$A42)*($N$2))</f>
        <v>550183.80433792365</v>
      </c>
      <c r="AM42" s="7">
        <f>(SUMIFS('Modeling - Base Estimates'!$X:$X,'Modeling - Base Estimates'!$A:$A,$A42)*SUMIFS('Modeling - Base Estimates'!R:R,'Modeling - Base Estimates'!$A:$A,$A42)*($N$2))</f>
        <v>685563.99960790481</v>
      </c>
      <c r="AN42" s="7">
        <f>(SUMIFS('Modeling - Base Estimates'!X:X,'Modeling - Base Estimates'!A:A,$A42)*$R42*($R$2))+(SUMIFS('Modeling - Base Estimates'!X:X,'Modeling - Base Estimates'!A:A,$A42)*$S42*($S$2))+(SUMIFS('Modeling - Base Estimates'!X:X,'Modeling - Base Estimates'!A:A,$A42)*$T42*($T$2))+(SUMIFS('Modeling - Base Estimates'!X:X,'Modeling - Base Estimates'!A:A,$A42)*$U42*($U$2))+(SUMIFS('Modeling - Base Estimates'!X:X,'Modeling - Base Estimates'!A:A,$A42)*$V42*($V$2))</f>
        <v>464654.87688735605</v>
      </c>
      <c r="AO42" s="7">
        <f>SUM(AJ42:AN42)-(SUMIFS('Modeling - Base Estimates'!X:X,'Modeling - Base Estimates'!A:A,A42)-SUMIFS('Modeling - Base Estimates'!Z:Z,'Modeling - Base Estimates'!A:A,A42))</f>
        <v>0</v>
      </c>
      <c r="AQ42" s="7">
        <f t="shared" si="5"/>
        <v>2289006.546873393</v>
      </c>
      <c r="AR42" s="7">
        <f>(W42*$O42*($N$2+'Modeling - Base Estimates'!$AA$51))</f>
        <v>906793.48173655826</v>
      </c>
      <c r="AS42" s="7">
        <f>(W42*P42*('Modeling - Base Estimates'!$AE$51))</f>
        <v>744492.35127441667</v>
      </c>
      <c r="AT42" s="7">
        <f t="shared" si="6"/>
        <v>693720.07474141265</v>
      </c>
      <c r="AU42" s="7">
        <f t="shared" si="7"/>
        <v>470182.82189206977</v>
      </c>
      <c r="AV42" s="5">
        <f t="shared" si="12"/>
        <v>0</v>
      </c>
      <c r="AX42" s="7">
        <f>SUMIFS('Modeling - Base Estimates'!X:X,'Modeling - Base Estimates'!A:A,A42)</f>
        <v>77585891.325063199</v>
      </c>
      <c r="AY42" s="5">
        <f t="shared" si="13"/>
        <v>2425982.7622734015</v>
      </c>
      <c r="AZ42" s="5">
        <f t="shared" si="13"/>
        <v>301595.28293181048</v>
      </c>
      <c r="BA42" s="5">
        <f t="shared" si="13"/>
        <v>550183.80433792365</v>
      </c>
      <c r="BB42" s="5">
        <f t="shared" si="13"/>
        <v>685563.99960790481</v>
      </c>
      <c r="BC42" s="5">
        <f t="shared" si="13"/>
        <v>464654.87688735605</v>
      </c>
      <c r="BD42" s="5">
        <f t="shared" si="14"/>
        <v>73157910.599024802</v>
      </c>
      <c r="BF42" s="5">
        <f t="shared" si="15"/>
        <v>78508921.646534726</v>
      </c>
      <c r="BG42" s="5">
        <f t="shared" si="16"/>
        <v>2289006.546873393</v>
      </c>
      <c r="BH42" s="5">
        <f t="shared" si="17"/>
        <v>322151.45653909014</v>
      </c>
      <c r="BI42" s="5">
        <f t="shared" si="18"/>
        <v>906793.48173655826</v>
      </c>
      <c r="BJ42" s="5">
        <f t="shared" si="18"/>
        <v>744492.35127441667</v>
      </c>
      <c r="BK42" s="5">
        <f t="shared" si="18"/>
        <v>693720.07474141265</v>
      </c>
      <c r="BL42" s="5">
        <f t="shared" si="18"/>
        <v>470182.82189206977</v>
      </c>
      <c r="BM42" s="5">
        <f t="shared" si="19"/>
        <v>73082574.913477778</v>
      </c>
      <c r="BO42" s="5">
        <f t="shared" si="20"/>
        <v>-75335.685547024012</v>
      </c>
      <c r="BP42" s="12">
        <f t="shared" si="21"/>
        <v>-1.0297681403168483E-3</v>
      </c>
    </row>
    <row r="43" spans="1:68" x14ac:dyDescent="0.25">
      <c r="A43" s="1">
        <v>62</v>
      </c>
      <c r="B43" s="1">
        <v>210062</v>
      </c>
      <c r="C43" s="4">
        <v>361328376.89999998</v>
      </c>
      <c r="D43" s="4">
        <f>SUM('Modeling - Base Estimates'!E43:G43)-SUM('Scenario 1 - increased MA % '!E43:F43)</f>
        <v>97451718.275000021</v>
      </c>
      <c r="E43" s="4">
        <f>((SUM('Modeling - Base Estimates'!F43:G43)/SUM('Modeling - Base Estimates'!E43:G43)+$E$63))*SUM('Modeling - Base Estimates'!E43:G43)*('Modeling - Base Estimates'!F43/SUM('Modeling - Base Estimates'!F43:G43))</f>
        <v>29402540.1771174</v>
      </c>
      <c r="F43" s="4">
        <f>((SUM('Modeling - Base Estimates'!F43:G43)/SUM('Modeling - Base Estimates'!E43:G43)+$E$63))*SUM('Modeling - Base Estimates'!E43:G43)*('Modeling - Base Estimates'!G43/SUM('Modeling - Base Estimates'!F43:G43))</f>
        <v>31888042.047882583</v>
      </c>
      <c r="G43" s="4">
        <v>14412588.5</v>
      </c>
      <c r="H43" s="4">
        <v>54390583.200000003</v>
      </c>
      <c r="I43" s="4">
        <v>15232751.1</v>
      </c>
      <c r="J43" s="4">
        <v>17701477.599999998</v>
      </c>
      <c r="K43" s="4">
        <v>1726075.9000000001</v>
      </c>
      <c r="L43" s="4">
        <v>19159376.799999997</v>
      </c>
      <c r="M43" s="4">
        <f t="shared" si="0"/>
        <v>79963223.300000012</v>
      </c>
      <c r="N43" s="12">
        <f t="shared" si="1"/>
        <v>0.26970402687738648</v>
      </c>
      <c r="O43" s="12">
        <f t="shared" si="2"/>
        <v>8.1373459868762946E-2</v>
      </c>
      <c r="P43" s="12">
        <f t="shared" si="2"/>
        <v>8.8252249439871172E-2</v>
      </c>
      <c r="Q43" s="12">
        <f t="shared" si="9"/>
        <v>0.19041729379323488</v>
      </c>
      <c r="R43" s="12">
        <f t="shared" si="10"/>
        <v>4.2157638518980106E-2</v>
      </c>
      <c r="S43" s="12">
        <f t="shared" si="10"/>
        <v>4.8990001150391239E-2</v>
      </c>
      <c r="T43" s="12">
        <f t="shared" si="10"/>
        <v>4.7770283496933958E-3</v>
      </c>
      <c r="U43" s="12">
        <f t="shared" si="10"/>
        <v>5.3024832880209906E-2</v>
      </c>
      <c r="V43" s="12">
        <f t="shared" si="11"/>
        <v>0.22130346912146998</v>
      </c>
      <c r="W43" s="4">
        <f>SUMIFS('Modeling - Base Estimates'!AK:AK,'Modeling - Base Estimates'!A:A,A43)</f>
        <v>205568698.65455058</v>
      </c>
      <c r="X43" s="4">
        <f>(W43*N43*(1-N$2))+(W43*O43*(1-'Modeling - Base Estimates'!$AA$51-N$2))+(W43*P43*(1-'Modeling - Base Estimates'!$AE$51))+(W43*Q43*(1-Q$2))+(W43*R43*(1-R$2))+(W43*S43*(1-S$2))+(W43*T43*(1-T$2))+(W43*U43*(1-U$2))+(W43*V43*(1-V$2))</f>
        <v>192183379.99147299</v>
      </c>
      <c r="Y43" s="5">
        <f>X43*N43*SUMIFS('Modeling - Base Estimates'!AN:AN,'Modeling - Base Estimates'!A:A,A43)</f>
        <v>671755.58797583706</v>
      </c>
      <c r="Z43" s="4">
        <f t="shared" si="4"/>
        <v>191511624.40349716</v>
      </c>
      <c r="AA43" s="4">
        <f>(((W43*N43*(1-N$2))/X43)*X43)-Y43-(((SUMIFS('Modeling - Base Estimates'!X:X,'Modeling - Base Estimates'!A:A,A43)*N43*(1-N$2))/SUMIFS('Modeling - Base Estimates'!Z:Z,'Modeling - Base Estimates'!A:A,A43))*SUMIFS('Modeling - Base Estimates'!Z:Z,'Modeling - Base Estimates'!A:A,A43))</f>
        <v>946.62017265707254</v>
      </c>
      <c r="AB43" s="4"/>
      <c r="AC43" s="18">
        <f>1-((((W43*O43*(1-N$2-'Modeling - Base Estimates'!$AA$51))/X43)*X43)/('Modeling - Base Estimates'!X43*'Modeling - Base Estimates'!P43))</f>
        <v>5.9286047074895265E-2</v>
      </c>
      <c r="AD43" s="18">
        <f t="shared" si="22"/>
        <v>-1.7713952925104734E-2</v>
      </c>
      <c r="AE43" s="18">
        <f>1-((((W43*P43*(1-'Modeling - Base Estimates'!$AE$51))/X43)*X43)/(SUMIFS('Modeling - Base Estimates'!X:X,'Modeling - Base Estimates'!A:A,A43)*'Modeling - Base Estimates'!Q43))</f>
        <v>-6.3545136140990444E-2</v>
      </c>
      <c r="AF43" s="18">
        <f t="shared" si="23"/>
        <v>-0.14054513614099046</v>
      </c>
      <c r="AG43" s="18">
        <f>$N43*(1-$N$2)+$O43*(1-$N$2-'Modeling - Base Estimates'!$AA$51)+$P43*(1-'Modeling - Base Estimates'!$AE$51)+$Q43*(1-$Q$2)+$R43*(1-$R$2)+$S43*(1-$S$2)+$T43*(1-$T$2)+$U43*(1-$U$2)+$V43*(1-$V$2)</f>
        <v>0.93488639685572439</v>
      </c>
      <c r="AH43" s="18" t="e">
        <f>$O43*(1-$N$2-#REF!)+$P43*(1-#REF!)+$Q43*(1-$Q$2)+$R43*(1-$R$2)+$S43*(1-$S$2)+$T43*(1-$T$2)+$U43*(1-$U$2)+$V43*(1-$V$2)</f>
        <v>#REF!</v>
      </c>
      <c r="AJ43" s="7">
        <f>(SUMIFS('Modeling - Base Estimates'!$X:$X,'Modeling - Base Estimates'!$A:$A,$A43)*SUMIFS('Modeling - Base Estimates'!O:O,'Modeling - Base Estimates'!$A:$A,$A43)*($N$2))</f>
        <v>4556101.2739291489</v>
      </c>
      <c r="AK43" s="7">
        <f>(SUMIFS('Modeling - Base Estimates'!$X:$X,'Modeling - Base Estimates'!$A:$A,$A43)*SUMIFS('Modeling - Base Estimates'!P:P,'Modeling - Base Estimates'!$A:$A,$A43)*($N$2))</f>
        <v>1106502.8199262698</v>
      </c>
      <c r="AL43" s="7">
        <f>(SUMIFS('Modeling - Base Estimates'!$X:$X,'Modeling - Base Estimates'!$A:$A,$A43)*SUMIFS('Modeling - Base Estimates'!Q:Q,'Modeling - Base Estimates'!$A:$A,$A43)*($N$2))</f>
        <v>1200039.4603786499</v>
      </c>
      <c r="AM43" s="7">
        <f>(SUMIFS('Modeling - Base Estimates'!$X:$X,'Modeling - Base Estimates'!$A:$A,$A43)*SUMIFS('Modeling - Base Estimates'!R:R,'Modeling - Base Estimates'!$A:$A,$A43)*($N$2))</f>
        <v>2974453.8241580091</v>
      </c>
      <c r="AN43" s="7">
        <f>(SUMIFS('Modeling - Base Estimates'!X:X,'Modeling - Base Estimates'!A:A,$A43)*$R43*($R$2))+(SUMIFS('Modeling - Base Estimates'!X:X,'Modeling - Base Estimates'!A:A,$A43)*$S43*($S$2))+(SUMIFS('Modeling - Base Estimates'!X:X,'Modeling - Base Estimates'!A:A,$A43)*$T43*($T$2))+(SUMIFS('Modeling - Base Estimates'!X:X,'Modeling - Base Estimates'!A:A,$A43)*$U43*($U$2))+(SUMIFS('Modeling - Base Estimates'!X:X,'Modeling - Base Estimates'!A:A,$A43)*$V43*($V$2))</f>
        <v>1308479.5089991756</v>
      </c>
      <c r="AO43" s="7">
        <f>SUM(AJ43:AN43)-(SUMIFS('Modeling - Base Estimates'!X:X,'Modeling - Base Estimates'!A:A,A43)-SUMIFS('Modeling - Base Estimates'!Z:Z,'Modeling - Base Estimates'!A:A,A43))</f>
        <v>1.4901161193847656E-8</v>
      </c>
      <c r="AQ43" s="7">
        <f t="shared" si="5"/>
        <v>4269088.3486848725</v>
      </c>
      <c r="AR43" s="7">
        <f>(W43*$O43*($N$2+'Modeling - Base Estimates'!$AA$51))</f>
        <v>3209620.1248422796</v>
      </c>
      <c r="AS43" s="7">
        <f>(W43*P43*('Modeling - Base Estimates'!$AE$51))</f>
        <v>1566625.6387044601</v>
      </c>
      <c r="AT43" s="7">
        <f t="shared" si="6"/>
        <v>3014075.3170525325</v>
      </c>
      <c r="AU43" s="7">
        <f t="shared" si="7"/>
        <v>1325909.2337934799</v>
      </c>
      <c r="AV43" s="5">
        <f t="shared" si="12"/>
        <v>3.166496753692627E-8</v>
      </c>
      <c r="AX43" s="7">
        <f>SUMIFS('Modeling - Base Estimates'!X:X,'Modeling - Base Estimates'!A:A,A43)</f>
        <v>202866397.65795752</v>
      </c>
      <c r="AY43" s="5">
        <f t="shared" si="13"/>
        <v>4556101.2739291489</v>
      </c>
      <c r="AZ43" s="5">
        <f t="shared" si="13"/>
        <v>1106502.8199262698</v>
      </c>
      <c r="BA43" s="5">
        <f t="shared" si="13"/>
        <v>1200039.4603786499</v>
      </c>
      <c r="BB43" s="5">
        <f t="shared" si="13"/>
        <v>2974453.8241580091</v>
      </c>
      <c r="BC43" s="5">
        <f t="shared" si="13"/>
        <v>1308479.5089991756</v>
      </c>
      <c r="BD43" s="5">
        <f t="shared" si="14"/>
        <v>191720820.77056628</v>
      </c>
      <c r="BF43" s="5">
        <f t="shared" si="15"/>
        <v>205568698.65455058</v>
      </c>
      <c r="BG43" s="5">
        <f t="shared" si="16"/>
        <v>4269088.3486848725</v>
      </c>
      <c r="BH43" s="5">
        <f t="shared" si="17"/>
        <v>671755.58797583706</v>
      </c>
      <c r="BI43" s="5">
        <f t="shared" si="18"/>
        <v>3209620.1248422796</v>
      </c>
      <c r="BJ43" s="5">
        <f t="shared" si="18"/>
        <v>1566625.6387044601</v>
      </c>
      <c r="BK43" s="5">
        <f t="shared" si="18"/>
        <v>3014075.3170525325</v>
      </c>
      <c r="BL43" s="5">
        <f t="shared" si="18"/>
        <v>1325909.2337934799</v>
      </c>
      <c r="BM43" s="5">
        <f t="shared" si="19"/>
        <v>191511624.40349713</v>
      </c>
      <c r="BO43" s="5">
        <f t="shared" si="20"/>
        <v>-209196.36706915498</v>
      </c>
      <c r="BP43" s="12">
        <f t="shared" si="21"/>
        <v>-1.0911510092036472E-3</v>
      </c>
    </row>
    <row r="44" spans="1:68" x14ac:dyDescent="0.25">
      <c r="A44" s="1">
        <v>63</v>
      </c>
      <c r="B44" s="1">
        <v>210063</v>
      </c>
      <c r="C44" s="4">
        <v>506646499.30000001</v>
      </c>
      <c r="D44" s="4">
        <f>SUM('Modeling - Base Estimates'!E44:G44)-SUM('Scenario 1 - increased MA % '!E44:F44)</f>
        <v>184906358.32499999</v>
      </c>
      <c r="E44" s="4">
        <f>((SUM('Modeling - Base Estimates'!F44:G44)/SUM('Modeling - Base Estimates'!E44:G44)+$E$63))*SUM('Modeling - Base Estimates'!E44:G44)*('Modeling - Base Estimates'!F44/SUM('Modeling - Base Estimates'!F44:G44))</f>
        <v>51724186.514395073</v>
      </c>
      <c r="F44" s="4">
        <f>((SUM('Modeling - Base Estimates'!F44:G44)/SUM('Modeling - Base Estimates'!E44:G44)+$E$63))*SUM('Modeling - Base Estimates'!E44:G44)*('Modeling - Base Estimates'!G44/SUM('Modeling - Base Estimates'!F44:G44))</f>
        <v>44799774.660604939</v>
      </c>
      <c r="G44" s="4">
        <v>5872375.2999999998</v>
      </c>
      <c r="H44" s="4">
        <v>48858997.899999999</v>
      </c>
      <c r="I44" s="4">
        <v>33098644.500000004</v>
      </c>
      <c r="J44" s="4">
        <v>36220367.599999994</v>
      </c>
      <c r="K44" s="4">
        <v>889040.20000000007</v>
      </c>
      <c r="L44" s="4">
        <v>16433809.099999998</v>
      </c>
      <c r="M44" s="4">
        <f t="shared" si="0"/>
        <v>83842945.200000048</v>
      </c>
      <c r="N44" s="12">
        <f t="shared" si="1"/>
        <v>0.36496128677583461</v>
      </c>
      <c r="O44" s="12">
        <f t="shared" si="2"/>
        <v>0.1020912738681881</v>
      </c>
      <c r="P44" s="12">
        <f t="shared" si="2"/>
        <v>8.8424127517908097E-2</v>
      </c>
      <c r="Q44" s="12">
        <f t="shared" si="9"/>
        <v>0.10802674700332227</v>
      </c>
      <c r="R44" s="12">
        <f t="shared" si="10"/>
        <v>6.5328872390769926E-2</v>
      </c>
      <c r="S44" s="12">
        <f t="shared" si="10"/>
        <v>7.1490413236928077E-2</v>
      </c>
      <c r="T44" s="12">
        <f t="shared" si="10"/>
        <v>1.7547544515324357E-3</v>
      </c>
      <c r="U44" s="12">
        <f t="shared" si="10"/>
        <v>3.2436440639983709E-2</v>
      </c>
      <c r="V44" s="12">
        <f t="shared" si="11"/>
        <v>0.16548608411553284</v>
      </c>
      <c r="W44" s="4">
        <f>SUMIFS('Modeling - Base Estimates'!AK:AK,'Modeling - Base Estimates'!A:A,A44)</f>
        <v>285571074.23979384</v>
      </c>
      <c r="X44" s="4">
        <f>(W44*N44*(1-N$2))+(W44*O44*(1-'Modeling - Base Estimates'!$AA$51-N$2))+(W44*P44*(1-'Modeling - Base Estimates'!$AE$51))+(W44*Q44*(1-Q$2))+(W44*R44*(1-R$2))+(W44*S44*(1-S$2))+(W44*T44*(1-T$2))+(W44*U44*(1-U$2))+(W44*V44*(1-V$2))</f>
        <v>265612814.74800536</v>
      </c>
      <c r="Y44" s="5">
        <f>X44*N44*SUMIFS('Modeling - Base Estimates'!AN:AN,'Modeling - Base Estimates'!A:A,A44)</f>
        <v>1781367.3302429989</v>
      </c>
      <c r="Z44" s="4">
        <f t="shared" si="4"/>
        <v>263831447.41776237</v>
      </c>
      <c r="AA44" s="4">
        <f>(((W44*N44*(1-N$2))/X44)*X44)-Y44-(((SUMIFS('Modeling - Base Estimates'!X:X,'Modeling - Base Estimates'!A:A,A44)*N44*(1-N$2))/SUMIFS('Modeling - Base Estimates'!Z:Z,'Modeling - Base Estimates'!A:A,A44))*SUMIFS('Modeling - Base Estimates'!Z:Z,'Modeling - Base Estimates'!A:A,A44))</f>
        <v>3505.3310725390911</v>
      </c>
      <c r="AB44" s="4"/>
      <c r="AC44" s="18">
        <f>1-((((W44*O44*(1-N$2-'Modeling - Base Estimates'!$AA$51))/X44)*X44)/('Modeling - Base Estimates'!X44*'Modeling - Base Estimates'!P44))</f>
        <v>3.6071244377758105E-2</v>
      </c>
      <c r="AD44" s="18">
        <f t="shared" si="22"/>
        <v>-4.0928755622241894E-2</v>
      </c>
      <c r="AE44" s="18">
        <f>1-((((W44*P44*(1-'Modeling - Base Estimates'!$AE$51))/X44)*X44)/(SUMIFS('Modeling - Base Estimates'!X:X,'Modeling - Base Estimates'!A:A,A44)*'Modeling - Base Estimates'!Q44))</f>
        <v>-8.9791148989253777E-2</v>
      </c>
      <c r="AF44" s="18">
        <f t="shared" si="23"/>
        <v>-0.16679114898925379</v>
      </c>
      <c r="AG44" s="18">
        <f>$N44*(1-$N$2)+$O44*(1-$N$2-'Modeling - Base Estimates'!$AA$51)+$P44*(1-'Modeling - Base Estimates'!$AE$51)+$Q44*(1-$Q$2)+$R44*(1-$R$2)+$S44*(1-$S$2)+$T44*(1-$T$2)+$U44*(1-$U$2)+$V44*(1-$V$2)</f>
        <v>0.9301110606355405</v>
      </c>
      <c r="AH44" s="18" t="e">
        <f>$O44*(1-$N$2-#REF!)+$P44*(1-#REF!)+$Q44*(1-$Q$2)+$R44*(1-$R$2)+$S44*(1-$S$2)+$T44*(1-$T$2)+$U44*(1-$U$2)+$V44*(1-$V$2)</f>
        <v>#REF!</v>
      </c>
      <c r="AJ44" s="7">
        <f>(SUMIFS('Modeling - Base Estimates'!$X:$X,'Modeling - Base Estimates'!$A:$A,$A44)*SUMIFS('Modeling - Base Estimates'!O:O,'Modeling - Base Estimates'!$A:$A,$A44)*($N$2))</f>
        <v>8475609.8830608968</v>
      </c>
      <c r="AK44" s="7">
        <f>(SUMIFS('Modeling - Base Estimates'!$X:$X,'Modeling - Base Estimates'!$A:$A,$A44)*SUMIFS('Modeling - Base Estimates'!P:P,'Modeling - Base Estimates'!$A:$A,$A44)*($N$2))</f>
        <v>1882037.3766104591</v>
      </c>
      <c r="AL44" s="7">
        <f>(SUMIFS('Modeling - Base Estimates'!$X:$X,'Modeling - Base Estimates'!$A:$A,$A44)*SUMIFS('Modeling - Base Estimates'!Q:Q,'Modeling - Base Estimates'!$A:$A,$A44)*($N$2))</f>
        <v>1630085.5761456864</v>
      </c>
      <c r="AM44" s="7">
        <f>(SUMIFS('Modeling - Base Estimates'!$X:$X,'Modeling - Base Estimates'!$A:$A,$A44)*SUMIFS('Modeling - Base Estimates'!R:R,'Modeling - Base Estimates'!$A:$A,$A44)*($N$2))</f>
        <v>2331323.3656723928</v>
      </c>
      <c r="AN44" s="7">
        <f>(SUMIFS('Modeling - Base Estimates'!X:X,'Modeling - Base Estimates'!A:A,$A44)*$R44*($R$2))+(SUMIFS('Modeling - Base Estimates'!X:X,'Modeling - Base Estimates'!A:A,$A44)*$S44*($S$2))+(SUMIFS('Modeling - Base Estimates'!X:X,'Modeling - Base Estimates'!A:A,$A44)*$T44*($T$2))+(SUMIFS('Modeling - Base Estimates'!X:X,'Modeling - Base Estimates'!A:A,$A44)*$U44*($U$2))+(SUMIFS('Modeling - Base Estimates'!X:X,'Modeling - Base Estimates'!A:A,$A44)*$V44*($V$2))</f>
        <v>1750168.5609526099</v>
      </c>
      <c r="AO44" s="7">
        <f>SUM(AJ44:AN44)-(SUMIFS('Modeling - Base Estimates'!X:X,'Modeling - Base Estimates'!A:A,A44)-SUMIFS('Modeling - Base Estimates'!Z:Z,'Modeling - Base Estimates'!A:A,A44))</f>
        <v>0</v>
      </c>
      <c r="AQ44" s="7">
        <f t="shared" si="5"/>
        <v>8025123.777479467</v>
      </c>
      <c r="AR44" s="7">
        <f>(W44*$O44*($N$2+'Modeling - Base Estimates'!$AA$51))</f>
        <v>5593925.8338439856</v>
      </c>
      <c r="AS44" s="7">
        <f>(W44*P44*('Modeling - Base Estimates'!$AE$51))</f>
        <v>2180557.0712962137</v>
      </c>
      <c r="AT44" s="7">
        <f t="shared" si="6"/>
        <v>2375397.192504426</v>
      </c>
      <c r="AU44" s="7">
        <f t="shared" si="7"/>
        <v>1783255.6166644401</v>
      </c>
      <c r="AV44" s="5">
        <f t="shared" si="12"/>
        <v>5.5879354476928711E-8</v>
      </c>
      <c r="AX44" s="7">
        <f>SUMIFS('Modeling - Base Estimates'!X:X,'Modeling - Base Estimates'!A:A,A44)</f>
        <v>280272503.49381578</v>
      </c>
      <c r="AY44" s="5">
        <f t="shared" si="13"/>
        <v>8475609.8830608968</v>
      </c>
      <c r="AZ44" s="5">
        <f t="shared" si="13"/>
        <v>1882037.3766104591</v>
      </c>
      <c r="BA44" s="5">
        <f t="shared" si="13"/>
        <v>1630085.5761456864</v>
      </c>
      <c r="BB44" s="5">
        <f t="shared" si="13"/>
        <v>2331323.3656723928</v>
      </c>
      <c r="BC44" s="5">
        <f t="shared" si="13"/>
        <v>1750168.5609526099</v>
      </c>
      <c r="BD44" s="5">
        <f t="shared" si="14"/>
        <v>264203278.73137373</v>
      </c>
      <c r="BF44" s="5">
        <f t="shared" si="15"/>
        <v>285571074.23979384</v>
      </c>
      <c r="BG44" s="5">
        <f t="shared" si="16"/>
        <v>8025123.777479467</v>
      </c>
      <c r="BH44" s="5">
        <f t="shared" si="17"/>
        <v>1781367.3302429989</v>
      </c>
      <c r="BI44" s="5">
        <f t="shared" si="18"/>
        <v>5593925.8338439856</v>
      </c>
      <c r="BJ44" s="5">
        <f t="shared" si="18"/>
        <v>2180557.0712962137</v>
      </c>
      <c r="BK44" s="5">
        <f t="shared" si="18"/>
        <v>2375397.192504426</v>
      </c>
      <c r="BL44" s="5">
        <f t="shared" si="18"/>
        <v>1783255.6166644401</v>
      </c>
      <c r="BM44" s="5">
        <f t="shared" si="19"/>
        <v>263831447.41776231</v>
      </c>
      <c r="BO44" s="5">
        <f t="shared" si="20"/>
        <v>-371831.31361141801</v>
      </c>
      <c r="BP44" s="12">
        <f t="shared" si="21"/>
        <v>-1.4073682786861783E-3</v>
      </c>
    </row>
    <row r="45" spans="1:68" x14ac:dyDescent="0.25">
      <c r="A45" s="1">
        <v>5033</v>
      </c>
      <c r="B45" s="1">
        <v>210064</v>
      </c>
      <c r="C45" s="4">
        <v>70446050.799999997</v>
      </c>
      <c r="D45" s="4">
        <f>SUM('Modeling - Base Estimates'!E45:G45)-SUM('Scenario 1 - increased MA % '!E45:F45)</f>
        <v>42819854.725000001</v>
      </c>
      <c r="E45" s="4">
        <f>((SUM('Modeling - Base Estimates'!F45:G45)/SUM('Modeling - Base Estimates'!E45:G45)+$E$63))*SUM('Modeling - Base Estimates'!E45:G45)*('Modeling - Base Estimates'!F45/SUM('Modeling - Base Estimates'!F45:G45))</f>
        <v>5537344.6418008776</v>
      </c>
      <c r="F45" s="4">
        <f>((SUM('Modeling - Base Estimates'!F45:G45)/SUM('Modeling - Base Estimates'!E45:G45)+$E$63))*SUM('Modeling - Base Estimates'!E45:G45)*('Modeling - Base Estimates'!G45/SUM('Modeling - Base Estimates'!F45:G45))</f>
        <v>8049556.1331991218</v>
      </c>
      <c r="G45" s="4">
        <v>1873970.5</v>
      </c>
      <c r="H45" s="4">
        <v>3518260.3</v>
      </c>
      <c r="I45" s="4">
        <v>2853112.6</v>
      </c>
      <c r="J45" s="4">
        <v>2078.5</v>
      </c>
      <c r="K45" s="4">
        <v>0</v>
      </c>
      <c r="L45" s="4">
        <v>4253279</v>
      </c>
      <c r="M45" s="4">
        <f t="shared" si="0"/>
        <v>1538594.3999999911</v>
      </c>
      <c r="N45" s="12">
        <f t="shared" si="1"/>
        <v>0.60783896668058512</v>
      </c>
      <c r="O45" s="12">
        <f t="shared" si="2"/>
        <v>7.8604046343515935E-2</v>
      </c>
      <c r="P45" s="12">
        <f t="shared" si="2"/>
        <v>0.11426554138644664</v>
      </c>
      <c r="Q45" s="12">
        <f t="shared" si="9"/>
        <v>7.6544117644136267E-2</v>
      </c>
      <c r="R45" s="12">
        <f t="shared" si="10"/>
        <v>4.0500674879563305E-2</v>
      </c>
      <c r="S45" s="12">
        <f t="shared" si="10"/>
        <v>2.9504847701129046E-5</v>
      </c>
      <c r="T45" s="12">
        <f t="shared" si="10"/>
        <v>0</v>
      </c>
      <c r="U45" s="12">
        <f t="shared" si="10"/>
        <v>6.0376400830122905E-2</v>
      </c>
      <c r="V45" s="12">
        <f t="shared" si="11"/>
        <v>2.1840747387928679E-2</v>
      </c>
      <c r="W45" s="4">
        <f>SUMIFS('Modeling - Base Estimates'!AK:AK,'Modeling - Base Estimates'!A:A,A45)</f>
        <v>43667018.236346222</v>
      </c>
      <c r="X45" s="4">
        <f>(W45*N45*(1-N$2))+(W45*O45*(1-'Modeling - Base Estimates'!$AA$51-N$2))+(W45*P45*(1-'Modeling - Base Estimates'!$AE$51))+(W45*Q45*(1-Q$2))+(W45*R45*(1-R$2))+(W45*S45*(1-S$2))+(W45*T45*(1-T$2))+(W45*U45*(1-U$2))+(W45*V45*(1-V$2))</f>
        <v>40217522.547529258</v>
      </c>
      <c r="Y45" s="5">
        <f>X45*N45*SUMIFS('Modeling - Base Estimates'!AN:AN,'Modeling - Base Estimates'!A:A,A45)</f>
        <v>588789.3438700008</v>
      </c>
      <c r="Z45" s="4">
        <f t="shared" si="4"/>
        <v>39628733.203659259</v>
      </c>
      <c r="AA45" s="4">
        <f>(((W45*N45*(1-N$2))/X45)*X45)-Y45-(((SUMIFS('Modeling - Base Estimates'!X:X,'Modeling - Base Estimates'!A:A,A45)*N45*(1-N$2))/SUMIFS('Modeling - Base Estimates'!Z:Z,'Modeling - Base Estimates'!A:A,A45))*SUMIFS('Modeling - Base Estimates'!Z:Z,'Modeling - Base Estimates'!A:A,A45))</f>
        <v>1340.0719637461007</v>
      </c>
      <c r="AB45" s="4"/>
      <c r="AC45" s="18">
        <f>1-((((W45*O45*(1-N$2-'Modeling - Base Estimates'!$AA$51))/X45)*X45)/('Modeling - Base Estimates'!X45*'Modeling - Base Estimates'!P45))</f>
        <v>-4.499050493322998E-2</v>
      </c>
      <c r="AD45" s="18">
        <f t="shared" si="22"/>
        <v>-0.12199050493322998</v>
      </c>
      <c r="AE45" s="18">
        <f>1-((((W45*P45*(1-'Modeling - Base Estimates'!$AE$51))/X45)*X45)/(SUMIFS('Modeling - Base Estimates'!X:X,'Modeling - Base Estimates'!A:A,A45)*'Modeling - Base Estimates'!Q45))</f>
        <v>-0.18143731724125778</v>
      </c>
      <c r="AF45" s="18">
        <f t="shared" si="23"/>
        <v>-0.25843731724125779</v>
      </c>
      <c r="AG45" s="18">
        <f>$N45*(1-$N$2)+$O45*(1-$N$2-'Modeling - Base Estimates'!$AA$51)+$P45*(1-'Modeling - Base Estimates'!$AE$51)+$Q45*(1-$Q$2)+$R45*(1-$R$2)+$S45*(1-$S$2)+$T45*(1-$T$2)+$U45*(1-$U$2)+$V45*(1-$V$2)</f>
        <v>0.92100455153253902</v>
      </c>
      <c r="AH45" s="18" t="e">
        <f>$O45*(1-$N$2-#REF!)+$P45*(1-#REF!)+$Q45*(1-$Q$2)+$R45*(1-$R$2)+$S45*(1-$S$2)+$T45*(1-$T$2)+$U45*(1-$U$2)+$V45*(1-$V$2)</f>
        <v>#REF!</v>
      </c>
      <c r="AJ45" s="7">
        <f>(SUMIFS('Modeling - Base Estimates'!$X:$X,'Modeling - Base Estimates'!$A:$A,$A45)*SUMIFS('Modeling - Base Estimates'!O:O,'Modeling - Base Estimates'!$A:$A,$A45)*($N$2))</f>
        <v>2125913.8879297823</v>
      </c>
      <c r="AK45" s="7">
        <f>(SUMIFS('Modeling - Base Estimates'!$X:$X,'Modeling - Base Estimates'!$A:$A,$A45)*SUMIFS('Modeling - Base Estimates'!P:P,'Modeling - Base Estimates'!$A:$A,$A45)*($N$2))</f>
        <v>204388.49153754924</v>
      </c>
      <c r="AL45" s="7">
        <f>(SUMIFS('Modeling - Base Estimates'!$X:$X,'Modeling - Base Estimates'!$A:$A,$A45)*SUMIFS('Modeling - Base Estimates'!Q:Q,'Modeling - Base Estimates'!$A:$A,$A45)*($N$2))</f>
        <v>297116.53184662998</v>
      </c>
      <c r="AM45" s="7">
        <f>(SUMIFS('Modeling - Base Estimates'!$X:$X,'Modeling - Base Estimates'!$A:$A,$A45)*SUMIFS('Modeling - Base Estimates'!R:R,'Modeling - Base Estimates'!$A:$A,$A45)*($N$2))</f>
        <v>251169.36885493458</v>
      </c>
      <c r="AN45" s="7">
        <f>(SUMIFS('Modeling - Base Estimates'!X:X,'Modeling - Base Estimates'!A:A,$A45)*$R45*($R$2))+(SUMIFS('Modeling - Base Estimates'!X:X,'Modeling - Base Estimates'!A:A,$A45)*$S45*($S$2))+(SUMIFS('Modeling - Base Estimates'!X:X,'Modeling - Base Estimates'!A:A,$A45)*$T45*($T$2))+(SUMIFS('Modeling - Base Estimates'!X:X,'Modeling - Base Estimates'!A:A,$A45)*$U45*($U$2))+(SUMIFS('Modeling - Base Estimates'!X:X,'Modeling - Base Estimates'!A:A,$A45)*$V45*($V$2))</f>
        <v>57473.798230571847</v>
      </c>
      <c r="AO45" s="7">
        <f>SUM(AJ45:AN45)-(SUMIFS('Modeling - Base Estimates'!X:X,'Modeling - Base Estimates'!A:A,A45)-SUMIFS('Modeling - Base Estimates'!Z:Z,'Modeling - Base Estimates'!A:A,A45))</f>
        <v>-4.6566128730773926E-9</v>
      </c>
      <c r="AQ45" s="7">
        <f t="shared" si="5"/>
        <v>2043773.6736958276</v>
      </c>
      <c r="AR45" s="7">
        <f>(W45*$O45*($N$2+'Modeling - Base Estimates'!$AA$51))</f>
        <v>658585.71507622767</v>
      </c>
      <c r="AS45" s="7">
        <f>(W45*P45*('Modeling - Base Estimates'!$AE$51))</f>
        <v>430874.98219742859</v>
      </c>
      <c r="AT45" s="7">
        <f t="shared" si="6"/>
        <v>257368.91034096773</v>
      </c>
      <c r="AU45" s="7">
        <f t="shared" si="7"/>
        <v>58892.407506514719</v>
      </c>
      <c r="AV45" s="5">
        <f t="shared" si="12"/>
        <v>0</v>
      </c>
      <c r="AX45" s="7">
        <f>SUMIFS('Modeling - Base Estimates'!X:X,'Modeling - Base Estimates'!A:A,A45)</f>
        <v>42615160.454577073</v>
      </c>
      <c r="AY45" s="5">
        <f t="shared" si="13"/>
        <v>2125913.8879297823</v>
      </c>
      <c r="AZ45" s="5">
        <f t="shared" si="13"/>
        <v>204388.49153754924</v>
      </c>
      <c r="BA45" s="5">
        <f t="shared" si="13"/>
        <v>297116.53184662998</v>
      </c>
      <c r="BB45" s="5">
        <f t="shared" si="13"/>
        <v>251169.36885493458</v>
      </c>
      <c r="BC45" s="5">
        <f t="shared" si="13"/>
        <v>57473.798230571847</v>
      </c>
      <c r="BD45" s="5">
        <f t="shared" si="14"/>
        <v>39679098.376177609</v>
      </c>
      <c r="BF45" s="5">
        <f t="shared" si="15"/>
        <v>43667018.236346222</v>
      </c>
      <c r="BG45" s="5">
        <f t="shared" si="16"/>
        <v>2043773.6736958276</v>
      </c>
      <c r="BH45" s="5">
        <f t="shared" si="17"/>
        <v>588789.3438700008</v>
      </c>
      <c r="BI45" s="5">
        <f t="shared" si="18"/>
        <v>658585.71507622767</v>
      </c>
      <c r="BJ45" s="5">
        <f t="shared" si="18"/>
        <v>430874.98219742859</v>
      </c>
      <c r="BK45" s="5">
        <f t="shared" si="18"/>
        <v>257368.91034096773</v>
      </c>
      <c r="BL45" s="5">
        <f t="shared" si="18"/>
        <v>58892.407506514719</v>
      </c>
      <c r="BM45" s="5">
        <f t="shared" si="19"/>
        <v>39628733.203659259</v>
      </c>
      <c r="BO45" s="5">
        <f t="shared" si="20"/>
        <v>-50365.172518350184</v>
      </c>
      <c r="BP45" s="12">
        <f t="shared" si="21"/>
        <v>-1.2693124234039613E-3</v>
      </c>
    </row>
    <row r="46" spans="1:68" x14ac:dyDescent="0.25">
      <c r="A46" s="1">
        <v>65</v>
      </c>
      <c r="B46" s="1">
        <v>210065</v>
      </c>
      <c r="C46" s="4">
        <v>180505379.09999999</v>
      </c>
      <c r="D46" s="4">
        <f>SUM('Modeling - Base Estimates'!E46:G46)-SUM('Scenario 1 - increased MA % '!E46:F46)</f>
        <v>50299951.834999993</v>
      </c>
      <c r="E46" s="4">
        <f>((SUM('Modeling - Base Estimates'!F46:G46)/SUM('Modeling - Base Estimates'!E46:G46)+$E$63))*SUM('Modeling - Base Estimates'!E46:G46)*('Modeling - Base Estimates'!F46/SUM('Modeling - Base Estimates'!F46:G46))</f>
        <v>14970573.913483206</v>
      </c>
      <c r="F46" s="4">
        <f>((SUM('Modeling - Base Estimates'!F46:G46)/SUM('Modeling - Base Estimates'!E46:G46)+$E$63))*SUM('Modeling - Base Estimates'!E46:G46)*('Modeling - Base Estimates'!G46/SUM('Modeling - Base Estimates'!F46:G46))</f>
        <v>11292173.551516796</v>
      </c>
      <c r="G46" s="4">
        <v>8587628</v>
      </c>
      <c r="H46" s="4">
        <v>27615563.199999999</v>
      </c>
      <c r="I46" s="4">
        <v>8436535.0999999996</v>
      </c>
      <c r="J46" s="4">
        <v>14101959.800000001</v>
      </c>
      <c r="K46" s="4">
        <v>2123815.0999999996</v>
      </c>
      <c r="L46" s="4">
        <v>10863401.9</v>
      </c>
      <c r="M46" s="4">
        <f t="shared" si="0"/>
        <v>32213776.699999988</v>
      </c>
      <c r="N46" s="12">
        <f t="shared" si="1"/>
        <v>0.27866178883862414</v>
      </c>
      <c r="O46" s="12">
        <f t="shared" si="2"/>
        <v>8.2936996050347656E-2</v>
      </c>
      <c r="P46" s="12">
        <f t="shared" si="2"/>
        <v>6.2558653973746298E-2</v>
      </c>
      <c r="Q46" s="12">
        <f t="shared" si="9"/>
        <v>0.20056571931822281</v>
      </c>
      <c r="R46" s="12">
        <f t="shared" si="10"/>
        <v>4.6738413791680734E-2</v>
      </c>
      <c r="S46" s="12">
        <f t="shared" si="10"/>
        <v>7.8124872900255868E-2</v>
      </c>
      <c r="T46" s="12">
        <f t="shared" si="10"/>
        <v>1.1765938004669688E-2</v>
      </c>
      <c r="U46" s="12">
        <f t="shared" si="10"/>
        <v>6.0183258549772495E-2</v>
      </c>
      <c r="V46" s="12">
        <f t="shared" si="11"/>
        <v>0.17846435857268028</v>
      </c>
      <c r="W46" s="4">
        <f>SUMIFS('Modeling - Base Estimates'!AK:AK,'Modeling - Base Estimates'!A:A,A46)</f>
        <v>105695024.99776249</v>
      </c>
      <c r="X46" s="4">
        <f>(W46*N46*(1-N$2))+(W46*O46*(1-'Modeling - Base Estimates'!$AA$51-N$2))+(W46*P46*(1-'Modeling - Base Estimates'!$AE$51))+(W46*Q46*(1-Q$2))+(W46*R46*(1-R$2))+(W46*S46*(1-S$2))+(W46*T46*(1-T$2))+(W46*U46*(1-U$2))+(W46*V46*(1-V$2))</f>
        <v>98863448.610746399</v>
      </c>
      <c r="Y46" s="5">
        <f>X46*N46*SUMIFS('Modeling - Base Estimates'!AN:AN,'Modeling - Base Estimates'!A:A,A46)</f>
        <v>351783.6598134684</v>
      </c>
      <c r="Z46" s="4">
        <f t="shared" si="4"/>
        <v>98511664.950932935</v>
      </c>
      <c r="AA46" s="4">
        <f>(((W46*N46*(1-N$2))/X46)*X46)-Y46-(((SUMIFS('Modeling - Base Estimates'!X:X,'Modeling - Base Estimates'!A:A,A46)*N46*(1-N$2))/SUMIFS('Modeling - Base Estimates'!Z:Z,'Modeling - Base Estimates'!A:A,A46))*SUMIFS('Modeling - Base Estimates'!Z:Z,'Modeling - Base Estimates'!A:A,A46))</f>
        <v>554.36470218747854</v>
      </c>
      <c r="AB46" s="4"/>
      <c r="AC46" s="18">
        <f>1-((((W46*O46*(1-N$2-'Modeling - Base Estimates'!$AA$51))/X46)*X46)/('Modeling - Base Estimates'!X46*'Modeling - Base Estimates'!P46))</f>
        <v>4.1556044349236987E-2</v>
      </c>
      <c r="AD46" s="18">
        <f t="shared" si="22"/>
        <v>-3.5443955650763012E-2</v>
      </c>
      <c r="AE46" s="18">
        <f>1-((((W46*P46*(1-'Modeling - Base Estimates'!$AE$51))/X46)*X46)/(SUMIFS('Modeling - Base Estimates'!X:X,'Modeling - Base Estimates'!A:A,A46)*'Modeling - Base Estimates'!Q46))</f>
        <v>-8.3590186077803663E-2</v>
      </c>
      <c r="AF46" s="18">
        <f t="shared" si="23"/>
        <v>-0.16059018607780368</v>
      </c>
      <c r="AG46" s="18">
        <f>$N46*(1-$N$2)+$O46*(1-$N$2-'Modeling - Base Estimates'!$AA$51)+$P46*(1-'Modeling - Base Estimates'!$AE$51)+$Q46*(1-$Q$2)+$R46*(1-$R$2)+$S46*(1-$S$2)+$T46*(1-$T$2)+$U46*(1-$U$2)+$V46*(1-$V$2)</f>
        <v>0.93536520392364064</v>
      </c>
      <c r="AH46" s="18" t="e">
        <f>$O46*(1-$N$2-#REF!)+$P46*(1-#REF!)+$Q46*(1-$Q$2)+$R46*(1-$R$2)+$S46*(1-$S$2)+$T46*(1-$T$2)+$U46*(1-$U$2)+$V46*(1-$V$2)</f>
        <v>#REF!</v>
      </c>
      <c r="AJ46" s="7">
        <f>(SUMIFS('Modeling - Base Estimates'!$X:$X,'Modeling - Base Estimates'!$A:$A,$A46)*SUMIFS('Modeling - Base Estimates'!O:O,'Modeling - Base Estimates'!$A:$A,$A46)*($N$2))</f>
        <v>2408863.9850571281</v>
      </c>
      <c r="AK46" s="7">
        <f>(SUMIFS('Modeling - Base Estimates'!$X:$X,'Modeling - Base Estimates'!$A:$A,$A46)*SUMIFS('Modeling - Base Estimates'!P:P,'Modeling - Base Estimates'!$A:$A,$A46)*($N$2))</f>
        <v>569123.43155702157</v>
      </c>
      <c r="AL46" s="7">
        <f>(SUMIFS('Modeling - Base Estimates'!$X:$X,'Modeling - Base Estimates'!$A:$A,$A46)*SUMIFS('Modeling - Base Estimates'!Q:Q,'Modeling - Base Estimates'!$A:$A,$A46)*($N$2))</f>
        <v>429284.84896551236</v>
      </c>
      <c r="AM46" s="7">
        <f>(SUMIFS('Modeling - Base Estimates'!$X:$X,'Modeling - Base Estimates'!$A:$A,$A46)*SUMIFS('Modeling - Base Estimates'!R:R,'Modeling - Base Estimates'!$A:$A,$A46)*($N$2))</f>
        <v>1611151.7805542899</v>
      </c>
      <c r="AN46" s="7">
        <f>(SUMIFS('Modeling - Base Estimates'!X:X,'Modeling - Base Estimates'!A:A,$A46)*$R46*($R$2))+(SUMIFS('Modeling - Base Estimates'!X:X,'Modeling - Base Estimates'!A:A,$A46)*$S46*($S$2))+(SUMIFS('Modeling - Base Estimates'!X:X,'Modeling - Base Estimates'!A:A,$A46)*$T46*($T$2))+(SUMIFS('Modeling - Base Estimates'!X:X,'Modeling - Base Estimates'!A:A,$A46)*$U46*($U$2))+(SUMIFS('Modeling - Base Estimates'!X:X,'Modeling - Base Estimates'!A:A,$A46)*$V46*($V$2))</f>
        <v>669633.69789915998</v>
      </c>
      <c r="AO46" s="7">
        <f>SUM(AJ46:AN46)-(SUMIFS('Modeling - Base Estimates'!X:X,'Modeling - Base Estimates'!A:A,A46)-SUMIFS('Modeling - Base Estimates'!Z:Z,'Modeling - Base Estimates'!A:A,A46))</f>
        <v>0</v>
      </c>
      <c r="AQ46" s="7">
        <f t="shared" si="5"/>
        <v>2267893.6847659084</v>
      </c>
      <c r="AR46" s="7">
        <f>(W46*$O46*($N$2+'Modeling - Base Estimates'!$AA$51))</f>
        <v>1681964.0656503292</v>
      </c>
      <c r="AS46" s="7">
        <f>(W46*P46*('Modeling - Base Estimates'!$AE$51))</f>
        <v>570984.60764744377</v>
      </c>
      <c r="AT46" s="7">
        <f t="shared" si="6"/>
        <v>1632307.5012116006</v>
      </c>
      <c r="AU46" s="7">
        <f t="shared" si="7"/>
        <v>678426.52774080471</v>
      </c>
      <c r="AV46" s="5">
        <f t="shared" si="12"/>
        <v>0</v>
      </c>
      <c r="AX46" s="7">
        <f>SUMIFS('Modeling - Base Estimates'!X:X,'Modeling - Base Estimates'!A:A,A46)</f>
        <v>104325151.72200997</v>
      </c>
      <c r="AY46" s="5">
        <f t="shared" si="13"/>
        <v>2408863.9850571281</v>
      </c>
      <c r="AZ46" s="5">
        <f t="shared" si="13"/>
        <v>569123.43155702157</v>
      </c>
      <c r="BA46" s="5">
        <f t="shared" si="13"/>
        <v>429284.84896551236</v>
      </c>
      <c r="BB46" s="5">
        <f t="shared" si="13"/>
        <v>1611151.7805542899</v>
      </c>
      <c r="BC46" s="5">
        <f t="shared" si="13"/>
        <v>669633.69789915998</v>
      </c>
      <c r="BD46" s="5">
        <f t="shared" si="14"/>
        <v>98637093.977976859</v>
      </c>
      <c r="BF46" s="5">
        <f t="shared" si="15"/>
        <v>105695024.99776249</v>
      </c>
      <c r="BG46" s="5">
        <f t="shared" si="16"/>
        <v>2267893.6847659084</v>
      </c>
      <c r="BH46" s="5">
        <f t="shared" si="17"/>
        <v>351783.6598134684</v>
      </c>
      <c r="BI46" s="5">
        <f t="shared" si="18"/>
        <v>1681964.0656503292</v>
      </c>
      <c r="BJ46" s="5">
        <f t="shared" si="18"/>
        <v>570984.60764744377</v>
      </c>
      <c r="BK46" s="5">
        <f t="shared" si="18"/>
        <v>1632307.5012116006</v>
      </c>
      <c r="BL46" s="5">
        <f t="shared" si="18"/>
        <v>678426.52774080471</v>
      </c>
      <c r="BM46" s="5">
        <f t="shared" si="19"/>
        <v>98511664.950932935</v>
      </c>
      <c r="BO46" s="5">
        <f t="shared" si="20"/>
        <v>-125429.02704392374</v>
      </c>
      <c r="BP46" s="12">
        <f t="shared" si="21"/>
        <v>-1.2716212733510663E-3</v>
      </c>
    </row>
    <row r="47" spans="1:68" x14ac:dyDescent="0.25">
      <c r="A47" s="1">
        <v>88</v>
      </c>
      <c r="B47" s="1">
        <v>210088</v>
      </c>
      <c r="C47" s="4">
        <v>9274920.8999999985</v>
      </c>
      <c r="D47" s="4">
        <f>SUM('Modeling - Base Estimates'!E47:G47)-SUM('Scenario 1 - increased MA % '!E47:F47)</f>
        <v>1949749.88</v>
      </c>
      <c r="E47" s="4">
        <f>((SUM('Modeling - Base Estimates'!F47:G47)/SUM('Modeling - Base Estimates'!E47:G47)+$E$63))*SUM('Modeling - Base Estimates'!E47:G47)*('Modeling - Base Estimates'!F47/SUM('Modeling - Base Estimates'!F47:G47))</f>
        <v>219804.28220277635</v>
      </c>
      <c r="F47" s="4">
        <f>((SUM('Modeling - Base Estimates'!F47:G47)/SUM('Modeling - Base Estimates'!E47:G47)+$E$63))*SUM('Modeling - Base Estimates'!E47:G47)*('Modeling - Base Estimates'!G47/SUM('Modeling - Base Estimates'!F47:G47))</f>
        <v>454256.23779722367</v>
      </c>
      <c r="G47" s="4">
        <v>51700</v>
      </c>
      <c r="H47" s="4">
        <v>2142456.5</v>
      </c>
      <c r="I47" s="4">
        <v>0</v>
      </c>
      <c r="J47" s="4">
        <v>1656427.4000000001</v>
      </c>
      <c r="K47" s="4">
        <v>27057.1</v>
      </c>
      <c r="L47" s="4">
        <v>945000</v>
      </c>
      <c r="M47" s="4">
        <f t="shared" si="0"/>
        <v>1828469.4999999981</v>
      </c>
      <c r="N47" s="12">
        <f t="shared" si="1"/>
        <v>0.21021741328273755</v>
      </c>
      <c r="O47" s="12">
        <f t="shared" si="2"/>
        <v>2.3698777010893578E-2</v>
      </c>
      <c r="P47" s="12">
        <f t="shared" si="2"/>
        <v>4.8976831467880629E-2</v>
      </c>
      <c r="Q47" s="12">
        <f t="shared" si="9"/>
        <v>0.23656875607424321</v>
      </c>
      <c r="R47" s="12">
        <f t="shared" si="10"/>
        <v>0</v>
      </c>
      <c r="S47" s="12">
        <f t="shared" si="10"/>
        <v>0.17859207834322344</v>
      </c>
      <c r="T47" s="12">
        <f t="shared" si="10"/>
        <v>2.9172324262086162E-3</v>
      </c>
      <c r="U47" s="12">
        <f t="shared" si="10"/>
        <v>0.10188766138156501</v>
      </c>
      <c r="V47" s="12">
        <f t="shared" si="11"/>
        <v>0.19714125001324792</v>
      </c>
      <c r="W47" s="4">
        <f>SUMIFS('Modeling - Base Estimates'!AK:AK,'Modeling - Base Estimates'!A:A,A47)</f>
        <v>5058564.3783659283</v>
      </c>
      <c r="X47" s="4">
        <f>(W47*N47*(1-N$2))+(W47*O47*(1-'Modeling - Base Estimates'!$AA$51-N$2))+(W47*P47*(1-'Modeling - Base Estimates'!$AE$51))+(W47*Q47*(1-Q$2))+(W47*R47*(1-R$2))+(W47*S47*(1-S$2))+(W47*T47*(1-T$2))+(W47*U47*(1-U$2))+(W47*V47*(1-V$2))</f>
        <v>4801831.8812718019</v>
      </c>
      <c r="Y47" s="5">
        <f>X47*N47*SUMIFS('Modeling - Base Estimates'!AN:AN,'Modeling - Base Estimates'!A:A,A47)</f>
        <v>3377.3006242025208</v>
      </c>
      <c r="Z47" s="4">
        <f t="shared" si="4"/>
        <v>4798454.580647599</v>
      </c>
      <c r="AA47" s="4">
        <f>(((W47*N47*(1-N$2))/X47)*X47)-Y47-(((SUMIFS('Modeling - Base Estimates'!X:X,'Modeling - Base Estimates'!A:A,A47)*N47*(1-N$2))/SUMIFS('Modeling - Base Estimates'!Z:Z,'Modeling - Base Estimates'!A:A,A47))*SUMIFS('Modeling - Base Estimates'!Z:Z,'Modeling - Base Estimates'!A:A,A47))</f>
        <v>2.2023489476414397</v>
      </c>
      <c r="AB47" s="4"/>
      <c r="AC47" s="18">
        <f>1-((((W47*O47*(1-N$2-'Modeling - Base Estimates'!$AA$51))/X47)*X47)/('Modeling - Base Estimates'!X47*'Modeling - Base Estimates'!P47))</f>
        <v>-6.8866537462468624E-3</v>
      </c>
      <c r="AD47" s="18">
        <f t="shared" si="22"/>
        <v>-8.3886653746246861E-2</v>
      </c>
      <c r="AE47" s="18">
        <f>1-((((W47*P47*(1-'Modeling - Base Estimates'!$AE$51))/X47)*X47)/(SUMIFS('Modeling - Base Estimates'!X:X,'Modeling - Base Estimates'!A:A,A47)*'Modeling - Base Estimates'!Q47))</f>
        <v>-0.13835815861695422</v>
      </c>
      <c r="AF47" s="18">
        <f t="shared" si="23"/>
        <v>-0.21535815861695423</v>
      </c>
      <c r="AG47" s="18">
        <f>$N47*(1-$N$2)+$O47*(1-$N$2-'Modeling - Base Estimates'!$AA$51)+$P47*(1-'Modeling - Base Estimates'!$AE$51)+$Q47*(1-$Q$2)+$R47*(1-$R$2)+$S47*(1-$S$2)+$T47*(1-$T$2)+$U47*(1-$U$2)+$V47*(1-$V$2)</f>
        <v>0.94924795299787035</v>
      </c>
      <c r="AH47" s="18" t="e">
        <f>$O47*(1-$N$2-#REF!)+$P47*(1-#REF!)+$Q47*(1-$Q$2)+$R47*(1-$R$2)+$S47*(1-$S$2)+$T47*(1-$T$2)+$U47*(1-$U$2)+$V47*(1-$V$2)</f>
        <v>#REF!</v>
      </c>
      <c r="AJ47" s="7">
        <f>(SUMIFS('Modeling - Base Estimates'!$X:$X,'Modeling - Base Estimates'!$A:$A,$A47)*SUMIFS('Modeling - Base Estimates'!O:O,'Modeling - Base Estimates'!$A:$A,$A47)*($N$2))</f>
        <v>87090.245611354054</v>
      </c>
      <c r="AK47" s="7">
        <f>(SUMIFS('Modeling - Base Estimates'!$X:$X,'Modeling - Base Estimates'!$A:$A,$A47)*SUMIFS('Modeling - Base Estimates'!P:P,'Modeling - Base Estimates'!$A:$A,$A47)*($N$2))</f>
        <v>7408.7164558328304</v>
      </c>
      <c r="AL47" s="7">
        <f>(SUMIFS('Modeling - Base Estimates'!$X:$X,'Modeling - Base Estimates'!$A:$A,$A47)*SUMIFS('Modeling - Base Estimates'!Q:Q,'Modeling - Base Estimates'!$A:$A,$A47)*($N$2))</f>
        <v>15311.146945846418</v>
      </c>
      <c r="AM47" s="7">
        <f>(SUMIFS('Modeling - Base Estimates'!$X:$X,'Modeling - Base Estimates'!$A:$A,$A47)*SUMIFS('Modeling - Base Estimates'!R:R,'Modeling - Base Estimates'!$A:$A,$A47)*($N$2))</f>
        <v>91828.496623329018</v>
      </c>
      <c r="AN47" s="7">
        <f>(SUMIFS('Modeling - Base Estimates'!X:X,'Modeling - Base Estimates'!A:A,$A47)*$R47*($R$2))+(SUMIFS('Modeling - Base Estimates'!X:X,'Modeling - Base Estimates'!A:A,$A47)*$S47*($S$2))+(SUMIFS('Modeling - Base Estimates'!X:X,'Modeling - Base Estimates'!A:A,$A47)*$T47*($T$2))+(SUMIFS('Modeling - Base Estimates'!X:X,'Modeling - Base Estimates'!A:A,$A47)*$U47*($U$2))+(SUMIFS('Modeling - Base Estimates'!X:X,'Modeling - Base Estimates'!A:A,$A47)*$V47*($V$2))</f>
        <v>38176.662874721871</v>
      </c>
      <c r="AO47" s="7">
        <f>SUM(AJ47:AN47)-(SUMIFS('Modeling - Base Estimates'!X:X,'Modeling - Base Estimates'!A:A,A47)-SUMIFS('Modeling - Base Estimates'!Z:Z,'Modeling - Base Estimates'!A:A,A47))</f>
        <v>2.9103830456733704E-10</v>
      </c>
      <c r="AQ47" s="7">
        <f t="shared" si="5"/>
        <v>81881.670527909926</v>
      </c>
      <c r="AR47" s="7">
        <f>(W47*$O47*($N$2+'Modeling - Base Estimates'!$AA$51))</f>
        <v>23002.078538815415</v>
      </c>
      <c r="AS47" s="7">
        <f>(W47*P47*('Modeling - Base Estimates'!$AE$51))</f>
        <v>21394.415501544252</v>
      </c>
      <c r="AT47" s="7">
        <f t="shared" si="6"/>
        <v>92145.767753385895</v>
      </c>
      <c r="AU47" s="7">
        <f t="shared" si="7"/>
        <v>38308.564772470956</v>
      </c>
      <c r="AV47" s="5">
        <f t="shared" si="12"/>
        <v>0</v>
      </c>
      <c r="AX47" s="7">
        <f>SUMIFS('Modeling - Base Estimates'!X:X,'Modeling - Base Estimates'!A:A,A47)</f>
        <v>5041147.0137281418</v>
      </c>
      <c r="AY47" s="5">
        <f t="shared" si="13"/>
        <v>87090.245611354054</v>
      </c>
      <c r="AZ47" s="5">
        <f t="shared" si="13"/>
        <v>7408.7164558328304</v>
      </c>
      <c r="BA47" s="5">
        <f t="shared" si="13"/>
        <v>15311.146945846418</v>
      </c>
      <c r="BB47" s="5">
        <f t="shared" si="13"/>
        <v>91828.496623329018</v>
      </c>
      <c r="BC47" s="5">
        <f t="shared" si="13"/>
        <v>38176.662874721871</v>
      </c>
      <c r="BD47" s="5">
        <f t="shared" si="14"/>
        <v>4801331.7452170579</v>
      </c>
      <c r="BF47" s="5">
        <f t="shared" si="15"/>
        <v>5058564.3783659283</v>
      </c>
      <c r="BG47" s="5">
        <f t="shared" si="16"/>
        <v>81881.670527909926</v>
      </c>
      <c r="BH47" s="5">
        <f t="shared" si="17"/>
        <v>3377.3006242025208</v>
      </c>
      <c r="BI47" s="5">
        <f t="shared" si="18"/>
        <v>23002.078538815415</v>
      </c>
      <c r="BJ47" s="5">
        <f t="shared" si="18"/>
        <v>21394.415501544252</v>
      </c>
      <c r="BK47" s="5">
        <f t="shared" si="18"/>
        <v>92145.767753385895</v>
      </c>
      <c r="BL47" s="5">
        <f t="shared" si="18"/>
        <v>38308.564772470956</v>
      </c>
      <c r="BM47" s="5">
        <f t="shared" si="19"/>
        <v>4798454.580647599</v>
      </c>
      <c r="BO47" s="5">
        <f t="shared" si="20"/>
        <v>-2877.1645694589242</v>
      </c>
      <c r="BP47" s="12">
        <f t="shared" si="21"/>
        <v>-5.9924302717159024E-4</v>
      </c>
    </row>
    <row r="48" spans="1:68" x14ac:dyDescent="0.25">
      <c r="A48" s="1">
        <v>333</v>
      </c>
      <c r="B48" s="1">
        <v>210333</v>
      </c>
      <c r="C48" s="4">
        <v>24873230.300000001</v>
      </c>
      <c r="D48" s="4">
        <f>SUM('Modeling - Base Estimates'!E48:G48)-SUM('Scenario 1 - increased MA % '!E48:F48)</f>
        <v>3041581.2749999999</v>
      </c>
      <c r="E48" s="4">
        <f>((SUM('Modeling - Base Estimates'!F48:G48)/SUM('Modeling - Base Estimates'!E48:G48)+$E$63))*SUM('Modeling - Base Estimates'!E48:G48)*('Modeling - Base Estimates'!F48/SUM('Modeling - Base Estimates'!F48:G48))</f>
        <v>685072.00696546037</v>
      </c>
      <c r="F48" s="4">
        <f>((SUM('Modeling - Base Estimates'!F48:G48)/SUM('Modeling - Base Estimates'!E48:G48)+$E$63))*SUM('Modeling - Base Estimates'!E48:G48)*('Modeling - Base Estimates'!G48/SUM('Modeling - Base Estimates'!F48:G48))</f>
        <v>900777.2180345396</v>
      </c>
      <c r="G48" s="4">
        <v>-49828.4</v>
      </c>
      <c r="H48" s="4">
        <v>6163363</v>
      </c>
      <c r="I48" s="4">
        <v>0</v>
      </c>
      <c r="J48" s="4">
        <v>4408470.5999999996</v>
      </c>
      <c r="K48" s="4">
        <v>71935.399999999994</v>
      </c>
      <c r="L48" s="4">
        <v>4423000</v>
      </c>
      <c r="M48" s="4">
        <f t="shared" si="0"/>
        <v>5228859.1999999993</v>
      </c>
      <c r="N48" s="12">
        <f t="shared" si="1"/>
        <v>0.12228332381098082</v>
      </c>
      <c r="O48" s="12">
        <f t="shared" si="2"/>
        <v>2.7542542673496668E-2</v>
      </c>
      <c r="P48" s="12">
        <f t="shared" si="2"/>
        <v>3.6214725918994911E-2</v>
      </c>
      <c r="Q48" s="12">
        <f t="shared" si="9"/>
        <v>0.24578772142836627</v>
      </c>
      <c r="R48" s="12">
        <f t="shared" si="10"/>
        <v>0</v>
      </c>
      <c r="S48" s="12">
        <f t="shared" si="10"/>
        <v>0.17723755808267491</v>
      </c>
      <c r="T48" s="12">
        <f t="shared" si="10"/>
        <v>2.8920811302905031E-3</v>
      </c>
      <c r="U48" s="12">
        <f t="shared" si="10"/>
        <v>0.17782169612283932</v>
      </c>
      <c r="V48" s="12">
        <f t="shared" si="11"/>
        <v>0.21022035083235646</v>
      </c>
      <c r="W48" s="4">
        <f>SUMIFS('Modeling - Base Estimates'!AK:AK,'Modeling - Base Estimates'!A:A,A48)</f>
        <v>13258993.388533849</v>
      </c>
      <c r="X48" s="4">
        <f>(W48*N48*(1-N$2))+(W48*O48*(1-'Modeling - Base Estimates'!$AA$51-N$2))+(W48*P48*(1-'Modeling - Base Estimates'!$AE$51))+(W48*Q48*(1-Q$2))+(W48*R48*(1-R$2))+(W48*S48*(1-S$2))+(W48*T48*(1-T$2))+(W48*U48*(1-U$2))+(W48*V48*(1-V$2))</f>
        <v>12668166.981328689</v>
      </c>
      <c r="Y48" s="5">
        <f>X48*N48*SUMIFS('Modeling - Base Estimates'!AN:AN,'Modeling - Base Estimates'!A:A,A48)</f>
        <v>5353.5248602798165</v>
      </c>
      <c r="Z48" s="4">
        <f t="shared" si="4"/>
        <v>12662813.456468409</v>
      </c>
      <c r="AA48" s="4">
        <f>(((W48*N48*(1-N$2))/X48)*X48)-Y48-(((SUMIFS('Modeling - Base Estimates'!X:X,'Modeling - Base Estimates'!A:A,A48)*N48*(1-N$2))/SUMIFS('Modeling - Base Estimates'!Z:Z,'Modeling - Base Estimates'!A:A,A48))*SUMIFS('Modeling - Base Estimates'!Z:Z,'Modeling - Base Estimates'!A:A,A48))</f>
        <v>2.8633932089433074</v>
      </c>
      <c r="AB48" s="4"/>
      <c r="AC48" s="18">
        <f>1-((((W48*O48*(1-N$2-'Modeling - Base Estimates'!$AA$51))/X48)*X48)/('Modeling - Base Estimates'!X48*'Modeling - Base Estimates'!P48))</f>
        <v>5.0430206295225988E-2</v>
      </c>
      <c r="AD48" s="18">
        <f t="shared" si="22"/>
        <v>-2.6569793704774011E-2</v>
      </c>
      <c r="AE48" s="18">
        <f>1-((((W48*P48*(1-'Modeling - Base Estimates'!$AE$51))/X48)*X48)/(SUMIFS('Modeling - Base Estimates'!X:X,'Modeling - Base Estimates'!A:A,A48)*'Modeling - Base Estimates'!Q48))</f>
        <v>-7.3557304407837032E-2</v>
      </c>
      <c r="AF48" s="18">
        <f t="shared" si="23"/>
        <v>-0.15055730440783704</v>
      </c>
      <c r="AG48" s="18">
        <f>$N48*(1-$N$2)+$O48*(1-$N$2-'Modeling - Base Estimates'!$AA$51)+$P48*(1-'Modeling - Base Estimates'!$AE$51)+$Q48*(1-$Q$2)+$R48*(1-$R$2)+$S48*(1-$S$2)+$T48*(1-$T$2)+$U48*(1-$U$2)+$V48*(1-$V$2)</f>
        <v>0.95543957298326287</v>
      </c>
      <c r="AH48" s="18" t="e">
        <f>$O48*(1-$N$2-#REF!)+$P48*(1-#REF!)+$Q48*(1-$Q$2)+$R48*(1-$R$2)+$S48*(1-$S$2)+$T48*(1-$T$2)+$U48*(1-$U$2)+$V48*(1-$V$2)</f>
        <v>#REF!</v>
      </c>
      <c r="AJ48" s="7">
        <f>(SUMIFS('Modeling - Base Estimates'!$X:$X,'Modeling - Base Estimates'!$A:$A,$A48)*SUMIFS('Modeling - Base Estimates'!O:O,'Modeling - Base Estimates'!$A:$A,$A48)*($N$2))</f>
        <v>133860.2376132964</v>
      </c>
      <c r="AK48" s="7">
        <f>(SUMIFS('Modeling - Base Estimates'!$X:$X,'Modeling - Base Estimates'!$A:$A,$A48)*SUMIFS('Modeling - Base Estimates'!P:P,'Modeling - Base Estimates'!$A:$A,$A48)*($N$2))</f>
        <v>23930.845130049634</v>
      </c>
      <c r="AL48" s="7">
        <f>(SUMIFS('Modeling - Base Estimates'!$X:$X,'Modeling - Base Estimates'!$A:$A,$A48)*SUMIFS('Modeling - Base Estimates'!Q:Q,'Modeling - Base Estimates'!$A:$A,$A48)*($N$2))</f>
        <v>31465.831156852881</v>
      </c>
      <c r="AM48" s="7">
        <f>(SUMIFS('Modeling - Base Estimates'!$X:$X,'Modeling - Base Estimates'!$A:$A,$A48)*SUMIFS('Modeling - Base Estimates'!R:R,'Modeling - Base Estimates'!$A:$A,$A48)*($N$2))</f>
        <v>250036.96790650598</v>
      </c>
      <c r="AN48" s="7">
        <f>(SUMIFS('Modeling - Base Estimates'!X:X,'Modeling - Base Estimates'!A:A,$A48)*$R48*($R$2))+(SUMIFS('Modeling - Base Estimates'!X:X,'Modeling - Base Estimates'!A:A,$A48)*$S48*($S$2))+(SUMIFS('Modeling - Base Estimates'!X:X,'Modeling - Base Estimates'!A:A,$A48)*$T48*($T$2))+(SUMIFS('Modeling - Base Estimates'!X:X,'Modeling - Base Estimates'!A:A,$A48)*$U48*($U$2))+(SUMIFS('Modeling - Base Estimates'!X:X,'Modeling - Base Estimates'!A:A,$A48)*$V48*($V$2))</f>
        <v>103142.45953870963</v>
      </c>
      <c r="AO48" s="7">
        <f>SUM(AJ48:AN48)-(SUMIFS('Modeling - Base Estimates'!X:X,'Modeling - Base Estimates'!A:A,A48)-SUMIFS('Modeling - Base Estimates'!Z:Z,'Modeling - Base Estimates'!A:A,A48))</f>
        <v>-1.862645149230957E-9</v>
      </c>
      <c r="AQ48" s="7">
        <f t="shared" si="5"/>
        <v>124844.24120920588</v>
      </c>
      <c r="AR48" s="7">
        <f>(W48*$O48*($N$2+'Modeling - Base Estimates'!$AA$51))</f>
        <v>70069.408440886487</v>
      </c>
      <c r="AS48" s="7">
        <f>(W48*P48*('Modeling - Base Estimates'!$AE$51))</f>
        <v>41464.670258647369</v>
      </c>
      <c r="AT48" s="7">
        <f t="shared" si="6"/>
        <v>250935.12855191613</v>
      </c>
      <c r="AU48" s="7">
        <f t="shared" si="7"/>
        <v>103512.95874450353</v>
      </c>
      <c r="AV48" s="5">
        <f t="shared" si="12"/>
        <v>-1.280568540096283E-9</v>
      </c>
      <c r="AX48" s="7">
        <f>SUMIFS('Modeling - Base Estimates'!X:X,'Modeling - Base Estimates'!A:A,A48)</f>
        <v>13211536.079036944</v>
      </c>
      <c r="AY48" s="5">
        <f t="shared" si="13"/>
        <v>133860.2376132964</v>
      </c>
      <c r="AZ48" s="5">
        <f t="shared" si="13"/>
        <v>23930.845130049634</v>
      </c>
      <c r="BA48" s="5">
        <f t="shared" si="13"/>
        <v>31465.831156852881</v>
      </c>
      <c r="BB48" s="5">
        <f t="shared" si="13"/>
        <v>250036.96790650598</v>
      </c>
      <c r="BC48" s="5">
        <f t="shared" si="13"/>
        <v>103142.45953870963</v>
      </c>
      <c r="BD48" s="5">
        <f t="shared" si="14"/>
        <v>12669099.737691529</v>
      </c>
      <c r="BF48" s="5">
        <f t="shared" si="15"/>
        <v>13258993.388533849</v>
      </c>
      <c r="BG48" s="5">
        <f t="shared" si="16"/>
        <v>124844.24120920588</v>
      </c>
      <c r="BH48" s="5">
        <f t="shared" si="17"/>
        <v>5353.5248602798165</v>
      </c>
      <c r="BI48" s="5">
        <f t="shared" si="18"/>
        <v>70069.408440886487</v>
      </c>
      <c r="BJ48" s="5">
        <f t="shared" si="18"/>
        <v>41464.670258647369</v>
      </c>
      <c r="BK48" s="5">
        <f t="shared" si="18"/>
        <v>250935.12855191613</v>
      </c>
      <c r="BL48" s="5">
        <f t="shared" si="18"/>
        <v>103512.95874450353</v>
      </c>
      <c r="BM48" s="5">
        <f t="shared" si="19"/>
        <v>12662813.456468411</v>
      </c>
      <c r="BO48" s="5">
        <f t="shared" si="20"/>
        <v>-6286.2812231183052</v>
      </c>
      <c r="BP48" s="12">
        <f t="shared" si="21"/>
        <v>-4.9619004927525703E-4</v>
      </c>
    </row>
    <row r="49" spans="1:70" x14ac:dyDescent="0.25">
      <c r="A49" s="1">
        <v>8992</v>
      </c>
      <c r="B49" s="1">
        <v>218992</v>
      </c>
      <c r="C49" s="4">
        <v>285922097.10000002</v>
      </c>
      <c r="D49" s="4">
        <f>SUM('Modeling - Base Estimates'!E49:G49)-SUM('Scenario 1 - increased MA % '!E49:F49)</f>
        <v>57697229.424999997</v>
      </c>
      <c r="E49" s="4">
        <f>((SUM('Modeling - Base Estimates'!F49:G49)/SUM('Modeling - Base Estimates'!E49:G49)+$E$63))*SUM('Modeling - Base Estimates'!E49:G49)*('Modeling - Base Estimates'!F49/SUM('Modeling - Base Estimates'!F49:G49))</f>
        <v>14078628.509180943</v>
      </c>
      <c r="F49" s="4">
        <f>((SUM('Modeling - Base Estimates'!F49:G49)/SUM('Modeling - Base Estimates'!E49:G49)+$E$63))*SUM('Modeling - Base Estimates'!E49:G49)*('Modeling - Base Estimates'!G49/SUM('Modeling - Base Estimates'!F49:G49))</f>
        <v>23169295.565819059</v>
      </c>
      <c r="G49" s="4">
        <v>27585714.599999998</v>
      </c>
      <c r="H49" s="4">
        <v>62453304.199999996</v>
      </c>
      <c r="I49" s="4">
        <v>30350576.300000001</v>
      </c>
      <c r="J49" s="4">
        <v>4638282.5999999996</v>
      </c>
      <c r="K49" s="4">
        <v>463298.2</v>
      </c>
      <c r="L49" s="4">
        <v>12584000</v>
      </c>
      <c r="M49" s="4">
        <f t="shared" si="0"/>
        <v>52901767.700000048</v>
      </c>
      <c r="N49" s="12">
        <f t="shared" si="1"/>
        <v>0.20179353051128693</v>
      </c>
      <c r="O49" s="12">
        <f t="shared" si="2"/>
        <v>4.9239386014495422E-2</v>
      </c>
      <c r="P49" s="12">
        <f t="shared" si="2"/>
        <v>8.1033595517158288E-2</v>
      </c>
      <c r="Q49" s="12">
        <f t="shared" si="9"/>
        <v>0.31490752101090402</v>
      </c>
      <c r="R49" s="12">
        <f t="shared" si="10"/>
        <v>0.10614981006307118</v>
      </c>
      <c r="S49" s="12">
        <f t="shared" si="10"/>
        <v>1.6222190054718928E-2</v>
      </c>
      <c r="T49" s="12">
        <f t="shared" si="10"/>
        <v>1.62036514385932E-3</v>
      </c>
      <c r="U49" s="12">
        <f t="shared" si="10"/>
        <v>4.4011988327012024E-2</v>
      </c>
      <c r="V49" s="12">
        <f t="shared" si="11"/>
        <v>0.18502161335749395</v>
      </c>
      <c r="W49" s="4">
        <f>SUMIFS('Modeling - Base Estimates'!AK:AK,'Modeling - Base Estimates'!A:A,A49)</f>
        <v>158134609.52560094</v>
      </c>
      <c r="X49" s="4">
        <f>(W49*N49*(1-N$2))+(W49*O49*(1-'Modeling - Base Estimates'!$AA$51-N$2))+(W49*P49*(1-'Modeling - Base Estimates'!$AE$51))+(W49*Q49*(1-Q$2))+(W49*R49*(1-R$2))+(W49*S49*(1-S$2))+(W49*T49*(1-T$2))+(W49*U49*(1-U$2))+(W49*V49*(1-V$2))</f>
        <v>148223219.43148577</v>
      </c>
      <c r="Y49" s="5">
        <f>X49*N49*SUMIFS('Modeling - Base Estimates'!AN:AN,'Modeling - Base Estimates'!A:A,A49)</f>
        <v>222422.44625038729</v>
      </c>
      <c r="Z49" s="4">
        <f t="shared" si="4"/>
        <v>148000796.98523539</v>
      </c>
      <c r="AA49" s="4">
        <f>(((W49*N49*(1-N$2))/X49)*X49)-Y49-(((SUMIFS('Modeling - Base Estimates'!X:X,'Modeling - Base Estimates'!A:A,A49)*N49*(1-N$2))/SUMIFS('Modeling - Base Estimates'!Z:Z,'Modeling - Base Estimates'!A:A,A49))*SUMIFS('Modeling - Base Estimates'!Z:Z,'Modeling - Base Estimates'!A:A,A49))</f>
        <v>193.98890006169677</v>
      </c>
      <c r="AB49" s="4"/>
      <c r="AC49" s="18">
        <f>1-((((W49*O49*(1-N$2-'Modeling - Base Estimates'!$AA$51))/X49)*X49)/('Modeling - Base Estimates'!X49*'Modeling - Base Estimates'!P49))</f>
        <v>6.6779222694007045E-2</v>
      </c>
      <c r="AD49" s="18">
        <f t="shared" si="22"/>
        <v>-1.0220777305992954E-2</v>
      </c>
      <c r="AE49" s="18">
        <f>1-((((W49*P49*(1-'Modeling - Base Estimates'!$AE$51))/X49)*X49)/(SUMIFS('Modeling - Base Estimates'!X:X,'Modeling - Base Estimates'!A:A,A49)*'Modeling - Base Estimates'!Q49))</f>
        <v>-5.5073559357020851E-2</v>
      </c>
      <c r="AF49" s="18">
        <f t="shared" si="23"/>
        <v>-0.13207355935702086</v>
      </c>
      <c r="AG49" s="18">
        <f>$N49*(1-$N$2)+$O49*(1-$N$2-'Modeling - Base Estimates'!$AA$51)+$P49*(1-'Modeling - Base Estimates'!$AE$51)+$Q49*(1-$Q$2)+$R49*(1-$R$2)+$S49*(1-$S$2)+$T49*(1-$T$2)+$U49*(1-$U$2)+$V49*(1-$V$2)</f>
        <v>0.93732308111520268</v>
      </c>
      <c r="AH49" s="18" t="e">
        <f>$O49*(1-$N$2-#REF!)+$P49*(1-#REF!)+$Q49*(1-$Q$2)+$R49*(1-$R$2)+$S49*(1-$S$2)+$T49*(1-$T$2)+$U49*(1-$U$2)+$V49*(1-$V$2)</f>
        <v>#REF!</v>
      </c>
      <c r="AJ49" s="7">
        <f>(SUMIFS('Modeling - Base Estimates'!$X:$X,'Modeling - Base Estimates'!$A:$A,$A49)*SUMIFS('Modeling - Base Estimates'!O:O,'Modeling - Base Estimates'!$A:$A,$A49)*($N$2))</f>
        <v>2639180.3139847396</v>
      </c>
      <c r="AK49" s="7">
        <f>(SUMIFS('Modeling - Base Estimates'!$X:$X,'Modeling - Base Estimates'!$A:$A,$A49)*SUMIFS('Modeling - Base Estimates'!P:P,'Modeling - Base Estimates'!$A:$A,$A49)*($N$2))</f>
        <v>519189.0235658529</v>
      </c>
      <c r="AL49" s="7">
        <f>(SUMIFS('Modeling - Base Estimates'!$X:$X,'Modeling - Base Estimates'!$A:$A,$A49)*SUMIFS('Modeling - Base Estimates'!Q:Q,'Modeling - Base Estimates'!$A:$A,$A49)*($N$2))</f>
        <v>854432.93952118582</v>
      </c>
      <c r="AM49" s="7">
        <f>(SUMIFS('Modeling - Base Estimates'!$X:$X,'Modeling - Base Estimates'!$A:$A,$A49)*SUMIFS('Modeling - Base Estimates'!R:R,'Modeling - Base Estimates'!$A:$A,$A49)*($N$2))</f>
        <v>3805447.317181373</v>
      </c>
      <c r="AN49" s="7">
        <f>(SUMIFS('Modeling - Base Estimates'!X:X,'Modeling - Base Estimates'!A:A,$A49)*$R49*($R$2))+(SUMIFS('Modeling - Base Estimates'!X:X,'Modeling - Base Estimates'!A:A,$A49)*$S49*($S$2))+(SUMIFS('Modeling - Base Estimates'!X:X,'Modeling - Base Estimates'!A:A,$A49)*$T49*($T$2))+(SUMIFS('Modeling - Base Estimates'!X:X,'Modeling - Base Estimates'!A:A,$A49)*$U49*($U$2))+(SUMIFS('Modeling - Base Estimates'!X:X,'Modeling - Base Estimates'!A:A,$A49)*$V49*($V$2))</f>
        <v>1011577.0114887555</v>
      </c>
      <c r="AO49" s="7">
        <f>SUM(AJ49:AN49)-(SUMIFS('Modeling - Base Estimates'!X:X,'Modeling - Base Estimates'!A:A,A49)-SUMIFS('Modeling - Base Estimates'!Z:Z,'Modeling - Base Estimates'!A:A,A49))</f>
        <v>1.862645149230957E-8</v>
      </c>
      <c r="AQ49" s="7">
        <f t="shared" si="5"/>
        <v>2457111.6687189993</v>
      </c>
      <c r="AR49" s="7">
        <f>(W49*$O49*($N$2+'Modeling - Base Estimates'!$AA$51))</f>
        <v>1494009.7282038068</v>
      </c>
      <c r="AS49" s="7">
        <f>(W49*P49*('Modeling - Base Estimates'!$AE$51))</f>
        <v>1106558.8072171616</v>
      </c>
      <c r="AT49" s="7">
        <f t="shared" si="6"/>
        <v>3834428.8961235397</v>
      </c>
      <c r="AU49" s="7">
        <f t="shared" si="7"/>
        <v>1019280.9938516639</v>
      </c>
      <c r="AV49" s="5">
        <f t="shared" si="12"/>
        <v>0</v>
      </c>
      <c r="AX49" s="7">
        <f>SUMIFS('Modeling - Base Estimates'!X:X,'Modeling - Base Estimates'!A:A,A49)</f>
        <v>156939388.3352724</v>
      </c>
      <c r="AY49" s="5">
        <f t="shared" si="13"/>
        <v>2639180.3139847396</v>
      </c>
      <c r="AZ49" s="5">
        <f t="shared" si="13"/>
        <v>519189.0235658529</v>
      </c>
      <c r="BA49" s="5">
        <f t="shared" si="13"/>
        <v>854432.93952118582</v>
      </c>
      <c r="BB49" s="5">
        <f t="shared" si="13"/>
        <v>3805447.317181373</v>
      </c>
      <c r="BC49" s="5">
        <f t="shared" si="13"/>
        <v>1011577.0114887555</v>
      </c>
      <c r="BD49" s="5">
        <f t="shared" si="14"/>
        <v>148109561.72953048</v>
      </c>
      <c r="BF49" s="5">
        <f t="shared" si="15"/>
        <v>158134609.52560094</v>
      </c>
      <c r="BG49" s="5">
        <f t="shared" si="16"/>
        <v>2457111.6687189993</v>
      </c>
      <c r="BH49" s="5">
        <f t="shared" si="17"/>
        <v>222422.44625038729</v>
      </c>
      <c r="BI49" s="5">
        <f t="shared" si="18"/>
        <v>1494009.7282038068</v>
      </c>
      <c r="BJ49" s="5">
        <f t="shared" si="18"/>
        <v>1106558.8072171616</v>
      </c>
      <c r="BK49" s="5">
        <f t="shared" si="18"/>
        <v>3834428.8961235397</v>
      </c>
      <c r="BL49" s="5">
        <f t="shared" si="18"/>
        <v>1019280.9938516639</v>
      </c>
      <c r="BM49" s="5">
        <f t="shared" si="19"/>
        <v>148000796.98523539</v>
      </c>
      <c r="BO49" s="5">
        <f t="shared" si="20"/>
        <v>-108764.74429509044</v>
      </c>
      <c r="BP49" s="12">
        <f t="shared" si="21"/>
        <v>-7.3435329242085411E-4</v>
      </c>
    </row>
    <row r="50" spans="1:70" x14ac:dyDescent="0.25">
      <c r="W50" s="4"/>
      <c r="X50" s="4"/>
      <c r="Y50" s="7"/>
      <c r="Z50" s="4"/>
      <c r="AA50" s="4"/>
      <c r="AB50" s="4"/>
      <c r="AC50" s="18"/>
      <c r="AD50" s="18"/>
      <c r="AE50" s="18"/>
      <c r="AF50" s="18"/>
      <c r="AG50" s="18"/>
      <c r="AH50" s="18"/>
    </row>
    <row r="51" spans="1:70" x14ac:dyDescent="0.25">
      <c r="A51" s="3" t="s">
        <v>50</v>
      </c>
      <c r="C51" s="5">
        <f t="shared" ref="C51:M51" si="24">SUM(C5:C49)</f>
        <v>20859879502.200001</v>
      </c>
      <c r="D51" s="5">
        <f t="shared" si="24"/>
        <v>6102995953.7449999</v>
      </c>
      <c r="E51" s="5">
        <f t="shared" si="24"/>
        <v>1295279260.2123303</v>
      </c>
      <c r="F51" s="5">
        <f t="shared" si="24"/>
        <v>1491778999.1426699</v>
      </c>
      <c r="G51" s="5">
        <f t="shared" si="24"/>
        <v>809549649.19999993</v>
      </c>
      <c r="H51" s="5">
        <f t="shared" si="24"/>
        <v>3440281653.6999998</v>
      </c>
      <c r="I51" s="5">
        <f t="shared" si="24"/>
        <v>1327048884.1999996</v>
      </c>
      <c r="J51" s="5">
        <f t="shared" si="24"/>
        <v>1507094294.9000001</v>
      </c>
      <c r="K51" s="5">
        <f t="shared" si="24"/>
        <v>80239814.299999982</v>
      </c>
      <c r="L51" s="5">
        <f t="shared" si="24"/>
        <v>821793065.19999981</v>
      </c>
      <c r="M51" s="5">
        <f t="shared" si="24"/>
        <v>3983817927.6000004</v>
      </c>
      <c r="N51" s="12">
        <f>D51/$C51</f>
        <v>0.29257100709049366</v>
      </c>
      <c r="O51" s="12">
        <f>E51/$C51</f>
        <v>6.2094282954785182E-2</v>
      </c>
      <c r="P51" s="12">
        <f>F51/$C51</f>
        <v>7.1514267327639089E-2</v>
      </c>
      <c r="Q51" s="12">
        <f t="shared" ref="Q51" si="25">(G51+H51)/$C51</f>
        <v>0.20373230355677693</v>
      </c>
      <c r="R51" s="12">
        <f t="shared" ref="R51:U51" si="26">I51/$C51</f>
        <v>6.3617284273384297E-2</v>
      </c>
      <c r="S51" s="12">
        <f t="shared" si="26"/>
        <v>7.2248465996222727E-2</v>
      </c>
      <c r="T51" s="12">
        <f t="shared" si="26"/>
        <v>3.8466096744009205E-3</v>
      </c>
      <c r="U51" s="12">
        <f t="shared" si="26"/>
        <v>3.9395868279743847E-2</v>
      </c>
      <c r="V51" s="12">
        <f t="shared" ref="V51" si="27">(M51)/$C51</f>
        <v>0.19097991084655327</v>
      </c>
      <c r="W51" s="4">
        <f>SUM(W5:W49)</f>
        <v>11647330065.614653</v>
      </c>
      <c r="X51" s="4">
        <f t="shared" ref="X51:AA51" si="28">SUM(X5:X49)</f>
        <v>10912645924.400297</v>
      </c>
      <c r="Y51" s="4">
        <f t="shared" si="28"/>
        <v>32221766.755598653</v>
      </c>
      <c r="Z51" s="4">
        <f t="shared" si="28"/>
        <v>10880424157.644701</v>
      </c>
      <c r="AA51" s="4">
        <f t="shared" si="28"/>
        <v>47311.481767312507</v>
      </c>
      <c r="AB51" s="4"/>
      <c r="AC51" s="18">
        <f>1-((((W51*O51*(1-N$2-'Modeling - Base Estimates'!$AA$51))/X51)*X51)/('Modeling - Base Estimates'!X51*'Modeling - Base Estimates'!P51))</f>
        <v>2.7402158306685465E-2</v>
      </c>
      <c r="AD51" s="18">
        <f t="shared" ref="AD51" si="29">AC51-$N$2</f>
        <v>-4.9597841693314534E-2</v>
      </c>
      <c r="AE51" s="18">
        <f>1-((((W51*P51*(1-'Modeling - Base Estimates'!$AE$51))/X51)*X51)/('Modeling - Base Estimates'!X51*'Modeling - Base Estimates'!Q51))</f>
        <v>-9.6882379763950865E-2</v>
      </c>
      <c r="AF51" s="18">
        <f t="shared" ref="AF51" si="30">AE51-$N$2</f>
        <v>-0.17388237976395088</v>
      </c>
      <c r="AG51" s="18">
        <f>$N51*(1-$N$2)+$O51*(1-$N$2-'Modeling - Base Estimates'!$AA$51)+$P51*(1-'Modeling - Base Estimates'!$AE$51)+$Q51*(1-$Q$2)+$R51*(1-$R$2)+$S51*(1-$S$2)+$T51*(1-$T$2)+$U51*(1-$U$2)+$V51*(1-$V$2)</f>
        <v>0.93692199705947099</v>
      </c>
      <c r="AH51" s="18" t="e">
        <f>$O51*(1-$N$2-#REF!)+$P51*(1-#REF!)+$Q51*(1-$Q$2)+$R51*(1-$R$2)+$S51*(1-$S$2)+$T51*(1-$T$2)+$U51*(1-$U$2)+$V51*(1-$V$2)</f>
        <v>#REF!</v>
      </c>
      <c r="AJ51" s="7">
        <f>('Modeling - Base Estimates'!$X51*'Modeling - Base Estimates'!O51)*($N$2)</f>
        <v>278648744.7068252</v>
      </c>
      <c r="AK51" s="7">
        <f>('Modeling - Base Estimates'!$X51*'Modeling - Base Estimates'!P51)*($N$2)</f>
        <v>46271655.713391773</v>
      </c>
      <c r="AL51" s="7">
        <f>('Modeling - Base Estimates'!$X51*'Modeling - Base Estimates'!Q51)*($N$2)</f>
        <v>53422929.426486149</v>
      </c>
      <c r="AM51" s="7">
        <f>('Modeling - Base Estimates'!$X51*'Modeling - Base Estimates'!R51)*($N$2)</f>
        <v>180864513.07086664</v>
      </c>
      <c r="AN51" s="7">
        <f>('Modeling - Base Estimates'!X51*$R51*($R$2))+('Modeling - Base Estimates'!X51*$S51*($S$2))+('Modeling - Base Estimates'!X51*$T51*($T$2))+('Modeling - Base Estimates'!X51*$U51*($U$2))+('Modeling - Base Estimates'!X51*$V51*($V$2))</f>
        <v>78086629.361523464</v>
      </c>
      <c r="AO51" s="7">
        <f>SUM(AO5:AO49)</f>
        <v>3.5291304811835289E-7</v>
      </c>
      <c r="AQ51" s="7">
        <f t="shared" ref="AQ51" si="31">(W51*$N51*($N$2))</f>
        <v>262390673.71534437</v>
      </c>
      <c r="AR51" s="7">
        <f>(W51*$O51*($N$2+'Modeling - Base Estimates'!$AA$51))</f>
        <v>138768810.34100139</v>
      </c>
      <c r="AS51" s="7">
        <f>(W51*P51*('Modeling - Base Estimates'!$AE$51))</f>
        <v>71928588.130734667</v>
      </c>
      <c r="AT51" s="7">
        <f t="shared" ref="AT51" si="32">(W51*$Q51*($Q$2))</f>
        <v>182716178.610641</v>
      </c>
      <c r="AU51" s="7">
        <f t="shared" ref="AU51" si="33">(W51*$R51*($R$2))+(W51*$S51*($S$2))+(W51*$T51*($T$2))+(W51*$U51*($U$2))+(W51*$V51*($V$2))</f>
        <v>78886069.330431074</v>
      </c>
      <c r="AV51" s="7">
        <f t="shared" ref="AV51" si="34">SUM(AV5:AV49)</f>
        <v>-7.5669959187507629E-9</v>
      </c>
      <c r="AX51" s="5">
        <f>SUM(AX5:AX49)</f>
        <v>11529294761.478643</v>
      </c>
      <c r="AY51" s="5">
        <f>AJ51</f>
        <v>278648744.7068252</v>
      </c>
      <c r="AZ51" s="5">
        <f t="shared" ref="AZ51:BC51" si="35">AK51</f>
        <v>46271655.713391773</v>
      </c>
      <c r="BA51" s="5">
        <f t="shared" si="35"/>
        <v>53422929.426486149</v>
      </c>
      <c r="BB51" s="5">
        <f t="shared" si="35"/>
        <v>180864513.07086664</v>
      </c>
      <c r="BC51" s="5">
        <f t="shared" si="35"/>
        <v>78086629.361523464</v>
      </c>
      <c r="BD51" s="5">
        <f t="shared" ref="BD51:BF51" si="36">SUM(BD5:BD49)</f>
        <v>10892258817.33247</v>
      </c>
      <c r="BF51" s="5">
        <f t="shared" si="36"/>
        <v>11647330065.614653</v>
      </c>
      <c r="BG51" s="5">
        <f t="shared" si="16"/>
        <v>262390673.71534437</v>
      </c>
      <c r="BH51" s="5">
        <f>Y51</f>
        <v>32221766.755598653</v>
      </c>
      <c r="BI51" s="5">
        <f>AR51</f>
        <v>138768810.34100139</v>
      </c>
      <c r="BJ51" s="5">
        <f t="shared" ref="BJ51:BL51" si="37">AS51</f>
        <v>71928588.130734667</v>
      </c>
      <c r="BK51" s="5">
        <f t="shared" si="37"/>
        <v>182716178.610641</v>
      </c>
      <c r="BL51" s="5">
        <f t="shared" si="37"/>
        <v>78886069.330431074</v>
      </c>
      <c r="BM51" s="5">
        <f t="shared" si="19"/>
        <v>10880417978.730902</v>
      </c>
      <c r="BO51" s="16">
        <f>SUM(BO5:BO49)</f>
        <v>-11834659.687769663</v>
      </c>
      <c r="BP51" s="12">
        <f>BO51/BD51</f>
        <v>-1.0865202421501024E-3</v>
      </c>
    </row>
    <row r="52" spans="1:70" ht="17.25" customHeight="1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12"/>
      <c r="O52" s="12"/>
      <c r="P52" s="12"/>
      <c r="Q52" s="12"/>
      <c r="R52" s="12"/>
      <c r="S52" s="12"/>
      <c r="T52" s="12"/>
      <c r="U52" s="12"/>
      <c r="V52" s="12"/>
      <c r="W52" s="5"/>
      <c r="X52" s="5"/>
      <c r="Y52" s="5"/>
      <c r="Z52" s="5"/>
      <c r="AA52" s="4"/>
      <c r="AB52" s="4"/>
      <c r="AC52" s="18"/>
      <c r="AD52" s="18"/>
      <c r="AE52" s="18"/>
      <c r="AF52" s="18"/>
      <c r="AG52" s="18"/>
      <c r="AH52" s="18"/>
      <c r="AJ52" s="4"/>
      <c r="AK52" s="4"/>
      <c r="AL52" s="4"/>
      <c r="AM52" s="4"/>
      <c r="AN52" s="4"/>
      <c r="AO52" s="5"/>
      <c r="AQ52" s="4"/>
      <c r="AR52" s="4"/>
      <c r="AS52" s="4"/>
      <c r="AT52" s="4"/>
      <c r="AU52" s="4"/>
      <c r="AV52" s="5"/>
    </row>
    <row r="53" spans="1:70" x14ac:dyDescent="0.25">
      <c r="C53" s="5"/>
      <c r="D53" s="48" t="s">
        <v>42</v>
      </c>
      <c r="E53" s="25">
        <f>SUM('Modeling - Base Estimates'!E51:G51)</f>
        <v>8890054213.1000023</v>
      </c>
      <c r="F53" s="5"/>
      <c r="G53" s="5"/>
      <c r="H53" s="5"/>
      <c r="I53" s="28"/>
      <c r="J53" s="25"/>
      <c r="K53" s="5"/>
      <c r="L53" s="5"/>
      <c r="M53" s="5"/>
      <c r="N53" s="12"/>
      <c r="O53" s="12"/>
      <c r="P53" s="12"/>
      <c r="Q53" s="12"/>
      <c r="R53" s="12"/>
      <c r="S53" s="12"/>
      <c r="T53" s="12"/>
      <c r="U53" s="12"/>
      <c r="V53" s="12"/>
      <c r="W53" s="4"/>
      <c r="X53" s="5"/>
      <c r="Y53" s="5"/>
      <c r="Z53" s="4"/>
      <c r="AA53" s="4"/>
      <c r="AB53" s="4"/>
      <c r="AC53" s="18"/>
      <c r="AD53" s="18"/>
      <c r="AE53" s="18"/>
      <c r="AF53" s="18"/>
      <c r="AG53" s="18"/>
      <c r="AH53" s="18"/>
      <c r="AJ53" s="4"/>
      <c r="AK53" s="4"/>
      <c r="AL53" s="4"/>
      <c r="AM53" s="4"/>
      <c r="AN53" s="4"/>
      <c r="AX53" s="1" t="s">
        <v>89</v>
      </c>
      <c r="AY53" s="5">
        <f>$AX$51*N51</f>
        <v>3373137379.4089594</v>
      </c>
      <c r="AZ53" s="5">
        <f t="shared" ref="AZ53:BB53" si="38">$AX$51*O51</f>
        <v>715903291.18837738</v>
      </c>
      <c r="BA53" s="5">
        <f t="shared" si="38"/>
        <v>824509067.67153263</v>
      </c>
      <c r="BB53" s="5">
        <f t="shared" si="38"/>
        <v>2348889780.1411252</v>
      </c>
      <c r="BC53" s="5">
        <f>AX51-SUM(AY53:BB53)</f>
        <v>4266855243.0686493</v>
      </c>
      <c r="BF53" s="1" t="s">
        <v>89</v>
      </c>
      <c r="BG53" s="5">
        <f>$BF$51*N51</f>
        <v>3407671087.2122645</v>
      </c>
      <c r="BI53" s="5">
        <f>$BF$51*O51</f>
        <v>723232608.76205289</v>
      </c>
      <c r="BJ53" s="5">
        <f t="shared" ref="BJ53:BK53" si="39">$BF$51*P51</f>
        <v>832950275.96561444</v>
      </c>
      <c r="BK53" s="5">
        <f t="shared" si="39"/>
        <v>2372937384.5537791</v>
      </c>
      <c r="BL53" s="5">
        <f>BF51-SUM(BG53:BK53)</f>
        <v>4310538709.1209412</v>
      </c>
    </row>
    <row r="54" spans="1:70" x14ac:dyDescent="0.25">
      <c r="D54" s="1" t="s">
        <v>43</v>
      </c>
      <c r="E54" s="6">
        <f>SUM('Modeling - Base Estimates'!F51:G51)/E53</f>
        <v>0.2635029542618661</v>
      </c>
      <c r="J54" s="6"/>
      <c r="W54" s="4"/>
      <c r="X54" s="4"/>
      <c r="Y54" s="7"/>
      <c r="Z54" s="4"/>
      <c r="AA54" s="22"/>
      <c r="AB54" s="22"/>
      <c r="AF54" s="26"/>
      <c r="AX54" s="1" t="s">
        <v>87</v>
      </c>
      <c r="AY54" s="5">
        <f>AY51</f>
        <v>278648744.7068252</v>
      </c>
      <c r="AZ54" s="5">
        <f t="shared" ref="AZ54:BB54" si="40">AZ51</f>
        <v>46271655.713391773</v>
      </c>
      <c r="BA54" s="5">
        <f t="shared" si="40"/>
        <v>53422929.426486149</v>
      </c>
      <c r="BB54" s="5">
        <f t="shared" si="40"/>
        <v>180864513.07086664</v>
      </c>
      <c r="BC54" s="5">
        <f>BC51</f>
        <v>78086629.361523464</v>
      </c>
      <c r="BF54" s="1" t="s">
        <v>87</v>
      </c>
      <c r="BG54" s="5">
        <f>BG51+BH51</f>
        <v>294612440.47094303</v>
      </c>
      <c r="BI54" s="5">
        <f>BI51</f>
        <v>138768810.34100139</v>
      </c>
      <c r="BJ54" s="5">
        <f t="shared" ref="BJ54:BK54" si="41">BJ51</f>
        <v>71928588.130734667</v>
      </c>
      <c r="BK54" s="5">
        <f t="shared" si="41"/>
        <v>182716178.610641</v>
      </c>
      <c r="BL54" s="5">
        <f>BL51</f>
        <v>78886069.330431074</v>
      </c>
    </row>
    <row r="55" spans="1:70" x14ac:dyDescent="0.25">
      <c r="D55" s="1" t="s">
        <v>44</v>
      </c>
      <c r="E55" s="6">
        <f>E54+E63</f>
        <v>0.31350295426186608</v>
      </c>
      <c r="J55" s="6"/>
      <c r="AA55" s="20"/>
      <c r="AB55" s="20"/>
      <c r="AC55" s="5"/>
      <c r="AD55" s="5"/>
      <c r="AJ55" s="5"/>
      <c r="AK55" s="5"/>
      <c r="AL55" s="5"/>
      <c r="AM55" s="5"/>
      <c r="AN55" s="5"/>
      <c r="AX55" s="1" t="s">
        <v>38</v>
      </c>
      <c r="AY55" s="5">
        <f>AY53-AY54</f>
        <v>3094488634.7021341</v>
      </c>
      <c r="AZ55" s="5">
        <f t="shared" ref="AZ55:BB55" si="42">AZ53-AZ54</f>
        <v>669631635.4749856</v>
      </c>
      <c r="BA55" s="5">
        <f t="shared" si="42"/>
        <v>771086138.2450465</v>
      </c>
      <c r="BB55" s="5">
        <f t="shared" si="42"/>
        <v>2168025267.0702586</v>
      </c>
      <c r="BC55" s="5">
        <f>BC53-BC54</f>
        <v>4188768613.7071257</v>
      </c>
      <c r="BF55" s="1" t="s">
        <v>38</v>
      </c>
      <c r="BG55" s="5">
        <f>BG53-BG54</f>
        <v>3113058646.7413216</v>
      </c>
      <c r="BI55" s="5">
        <f t="shared" ref="BI55:BK55" si="43">BI53-BI54</f>
        <v>584463798.4210515</v>
      </c>
      <c r="BJ55" s="5">
        <f t="shared" si="43"/>
        <v>761021687.83487976</v>
      </c>
      <c r="BK55" s="5">
        <f t="shared" si="43"/>
        <v>2190221205.9431381</v>
      </c>
      <c r="BL55" s="5">
        <f>BL53-BL54</f>
        <v>4231652639.7905102</v>
      </c>
    </row>
    <row r="56" spans="1:70" x14ac:dyDescent="0.25">
      <c r="D56" s="3" t="s">
        <v>45</v>
      </c>
      <c r="E56" s="29">
        <f>E53*E55</f>
        <v>2787058259.355</v>
      </c>
      <c r="I56" s="3"/>
      <c r="J56" s="29"/>
      <c r="W56" s="20"/>
      <c r="X56" s="4"/>
      <c r="Y56" s="4"/>
      <c r="Z56" s="4"/>
      <c r="AA56" s="44"/>
      <c r="AB56" s="20"/>
      <c r="AC56" s="5"/>
      <c r="AD56" s="5"/>
      <c r="AE56" s="5"/>
      <c r="BQ56" s="12"/>
      <c r="BR56" s="12"/>
    </row>
    <row r="57" spans="1:70" x14ac:dyDescent="0.25">
      <c r="D57" s="1" t="s">
        <v>26</v>
      </c>
      <c r="E57" s="21">
        <f>E56*('Modeling - Base Estimates'!F51/SUM('Modeling - Base Estimates'!F51:G51))</f>
        <v>1293568753.4994786</v>
      </c>
      <c r="J57" s="21"/>
      <c r="W57" s="20"/>
      <c r="X57" s="4"/>
      <c r="Y57" s="4"/>
      <c r="Z57" s="4"/>
      <c r="AA57" s="3"/>
      <c r="AC57" s="21"/>
      <c r="AY57" s="6"/>
      <c r="AZ57" s="6"/>
      <c r="BA57" s="6"/>
      <c r="BB57" s="6"/>
      <c r="BF57" s="1" t="s">
        <v>39</v>
      </c>
      <c r="BG57" s="6">
        <f>1-BG55/AY53</f>
        <v>7.7102917377533164E-2</v>
      </c>
      <c r="BI57" s="12">
        <f>1-BI55/AZ53</f>
        <v>0.18359950901907485</v>
      </c>
      <c r="BJ57" s="6">
        <f t="shared" ref="BJ57" si="44">1-BJ55/BA53</f>
        <v>7.7000220283744536E-2</v>
      </c>
      <c r="BK57" s="6">
        <f>1-BK55/BB53</f>
        <v>6.7550455342546556E-2</v>
      </c>
    </row>
    <row r="58" spans="1:70" x14ac:dyDescent="0.25">
      <c r="D58" s="1" t="s">
        <v>27</v>
      </c>
      <c r="E58" s="21">
        <f>E56-E57</f>
        <v>1493489505.8555214</v>
      </c>
      <c r="J58" s="21"/>
      <c r="X58" s="5"/>
      <c r="Y58" s="5"/>
      <c r="AC58" s="12"/>
      <c r="AD58" s="12"/>
      <c r="BQ58" s="12"/>
    </row>
    <row r="59" spans="1:70" x14ac:dyDescent="0.25">
      <c r="D59" s="1" t="s">
        <v>93</v>
      </c>
      <c r="E59" s="5">
        <f>E53-E56</f>
        <v>6102995953.7450027</v>
      </c>
      <c r="X59" s="4"/>
      <c r="Y59" s="5"/>
      <c r="Z59" s="21"/>
      <c r="BF59" s="5"/>
      <c r="BK59" s="1" t="s">
        <v>90</v>
      </c>
      <c r="BL59" s="5">
        <f>BL55-BC55</f>
        <v>42884026.083384514</v>
      </c>
    </row>
    <row r="60" spans="1:70" x14ac:dyDescent="0.25">
      <c r="X60" s="5"/>
      <c r="Y60" s="5"/>
      <c r="Z60" s="21"/>
      <c r="AD60" s="6"/>
      <c r="BK60" s="47"/>
      <c r="BL60" s="47"/>
    </row>
    <row r="61" spans="1:70" x14ac:dyDescent="0.25">
      <c r="D61" s="30" t="s">
        <v>92</v>
      </c>
      <c r="X61" s="5"/>
      <c r="Y61" s="5"/>
      <c r="BK61" s="12">
        <f>BK55/BB55-1</f>
        <v>1.0237859867230137E-2</v>
      </c>
      <c r="BL61" s="12">
        <f>BL55/BC55-1</f>
        <v>1.0237859867229915E-2</v>
      </c>
    </row>
    <row r="62" spans="1:70" x14ac:dyDescent="0.25">
      <c r="X62" s="5"/>
      <c r="Y62" s="5"/>
      <c r="Z62" s="21"/>
      <c r="AA62" s="21"/>
    </row>
    <row r="63" spans="1:70" x14ac:dyDescent="0.25">
      <c r="E63" s="9">
        <v>0.05</v>
      </c>
      <c r="F63" s="9"/>
      <c r="G63" s="12"/>
      <c r="I63" s="10"/>
      <c r="J63" s="10"/>
      <c r="K63" s="10"/>
      <c r="X63" s="5"/>
      <c r="Y63" s="5"/>
      <c r="Z63" s="21"/>
      <c r="AA63" s="21"/>
    </row>
    <row r="64" spans="1:70" x14ac:dyDescent="0.25">
      <c r="W64" s="20"/>
      <c r="X64" s="5"/>
      <c r="Y64" s="5"/>
      <c r="Z64" s="4"/>
      <c r="AD64" s="21"/>
      <c r="AE64" s="21"/>
    </row>
    <row r="65" spans="4:26" x14ac:dyDescent="0.25">
      <c r="D65" s="4"/>
      <c r="E65" s="4"/>
      <c r="X65" s="5"/>
      <c r="Y65" s="5"/>
      <c r="Z65" s="21"/>
    </row>
    <row r="66" spans="4:26" x14ac:dyDescent="0.25">
      <c r="X66" s="5"/>
      <c r="Y66" s="5"/>
      <c r="Z66" s="21"/>
    </row>
    <row r="67" spans="4:26" x14ac:dyDescent="0.25">
      <c r="X67" s="5"/>
      <c r="Y67" s="5"/>
    </row>
    <row r="68" spans="4:26" x14ac:dyDescent="0.25">
      <c r="E68" s="33"/>
      <c r="F68" s="34"/>
      <c r="G68" s="4"/>
      <c r="H68" s="4"/>
    </row>
    <row r="69" spans="4:26" x14ac:dyDescent="0.25">
      <c r="G69" s="4"/>
      <c r="H69" s="5"/>
      <c r="X69" s="5"/>
      <c r="Y69" s="5"/>
    </row>
    <row r="70" spans="4:26" x14ac:dyDescent="0.25">
      <c r="G70" s="5"/>
      <c r="H70" s="5"/>
    </row>
    <row r="75" spans="4:26" ht="15.75" x14ac:dyDescent="0.25">
      <c r="H75" s="35"/>
    </row>
    <row r="77" spans="4:26" x14ac:dyDescent="0.25">
      <c r="H77" s="21">
        <f>(('Modeling - Base Estimates'!F5/SUM('Modeling - Base Estimates'!F5:G5)+E63))*G70</f>
        <v>0</v>
      </c>
    </row>
  </sheetData>
  <pageMargins left="0.7" right="0.7" top="0.75" bottom="0.75" header="0.3" footer="0.3"/>
  <ignoredErrors>
    <ignoredError sqref="D5:D4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63285-21BB-44C6-81E3-9B9F72123816}">
  <sheetPr>
    <tabColor theme="7" tint="0.79998168889431442"/>
  </sheetPr>
  <dimension ref="A1:BR77"/>
  <sheetViews>
    <sheetView topLeftCell="A2" zoomScaleNormal="100" workbookViewId="0">
      <pane xSplit="2" ySplit="3" topLeftCell="BG42" activePane="bottomRight" state="frozen"/>
      <selection activeCell="AP57" sqref="AP57"/>
      <selection pane="topRight" activeCell="AP57" sqref="AP57"/>
      <selection pane="bottomLeft" activeCell="AP57" sqref="AP57"/>
      <selection pane="bottomRight" activeCell="BO51" sqref="BO51"/>
    </sheetView>
  </sheetViews>
  <sheetFormatPr defaultRowHeight="15" x14ac:dyDescent="0.25"/>
  <cols>
    <col min="1" max="1" width="8" style="1" bestFit="1" customWidth="1"/>
    <col min="2" max="2" width="7.5703125" style="1" bestFit="1" customWidth="1"/>
    <col min="3" max="3" width="16.140625" style="1" bestFit="1" customWidth="1"/>
    <col min="4" max="4" width="15.140625" style="1" bestFit="1" customWidth="1"/>
    <col min="5" max="5" width="17.42578125" style="1" customWidth="1"/>
    <col min="6" max="6" width="15" style="1" bestFit="1" customWidth="1"/>
    <col min="7" max="7" width="13.28515625" style="1" customWidth="1"/>
    <col min="8" max="8" width="18.140625" style="1" customWidth="1"/>
    <col min="9" max="10" width="14.28515625" style="1" bestFit="1" customWidth="1"/>
    <col min="11" max="11" width="20.42578125" style="1" customWidth="1"/>
    <col min="12" max="12" width="12.28515625" style="1" customWidth="1"/>
    <col min="13" max="13" width="14.28515625" style="1" bestFit="1" customWidth="1"/>
    <col min="14" max="22" width="13.28515625" style="1" customWidth="1"/>
    <col min="23" max="23" width="20.42578125" style="1" customWidth="1"/>
    <col min="24" max="24" width="17.28515625" style="1" bestFit="1" customWidth="1"/>
    <col min="25" max="27" width="19" style="1" customWidth="1"/>
    <col min="28" max="28" width="5.28515625" style="1" customWidth="1"/>
    <col min="29" max="29" width="19" style="1" customWidth="1"/>
    <col min="30" max="30" width="22.42578125" style="1" customWidth="1"/>
    <col min="31" max="32" width="19" style="1" customWidth="1"/>
    <col min="33" max="34" width="19" style="1" hidden="1" customWidth="1"/>
    <col min="35" max="35" width="4.7109375" style="1" customWidth="1"/>
    <col min="36" max="36" width="13.28515625" style="1" customWidth="1"/>
    <col min="37" max="37" width="15.28515625" style="1" bestFit="1" customWidth="1"/>
    <col min="38" max="38" width="14.28515625" style="1" bestFit="1" customWidth="1"/>
    <col min="39" max="39" width="14.28515625" style="1" customWidth="1"/>
    <col min="40" max="40" width="15.5703125" style="1" customWidth="1"/>
    <col min="41" max="41" width="14.42578125" style="1" customWidth="1"/>
    <col min="42" max="42" width="9.140625" style="1"/>
    <col min="43" max="43" width="15.140625" style="1" customWidth="1"/>
    <col min="44" max="44" width="12.5703125" style="1" bestFit="1" customWidth="1"/>
    <col min="45" max="45" width="11.85546875" style="1" customWidth="1"/>
    <col min="46" max="46" width="12.5703125" style="1" bestFit="1" customWidth="1"/>
    <col min="47" max="47" width="12.5703125" style="1" customWidth="1"/>
    <col min="48" max="48" width="17" style="1" customWidth="1"/>
    <col min="49" max="49" width="9.140625" style="1"/>
    <col min="50" max="50" width="15.28515625" style="1" bestFit="1" customWidth="1"/>
    <col min="51" max="51" width="14.140625" style="1" customWidth="1"/>
    <col min="52" max="55" width="19.5703125" style="1" customWidth="1"/>
    <col min="56" max="56" width="15.28515625" style="1" bestFit="1" customWidth="1"/>
    <col min="57" max="57" width="4.42578125" style="1" customWidth="1"/>
    <col min="58" max="58" width="15.28515625" style="1" bestFit="1" customWidth="1"/>
    <col min="59" max="59" width="14.5703125" style="1" bestFit="1" customWidth="1"/>
    <col min="60" max="60" width="11.5703125" style="1" bestFit="1" customWidth="1"/>
    <col min="61" max="61" width="19.42578125" style="1" bestFit="1" customWidth="1"/>
    <col min="62" max="62" width="22" style="1" bestFit="1" customWidth="1"/>
    <col min="63" max="63" width="15" style="1" customWidth="1"/>
    <col min="64" max="64" width="15.42578125" style="1" customWidth="1"/>
    <col min="65" max="65" width="15.28515625" style="1" bestFit="1" customWidth="1"/>
    <col min="66" max="66" width="4.28515625" style="1" customWidth="1"/>
    <col min="67" max="67" width="13.5703125" style="1" customWidth="1"/>
    <col min="68" max="16384" width="9.140625" style="1"/>
  </cols>
  <sheetData>
    <row r="1" spans="1:68" x14ac:dyDescent="0.25">
      <c r="N1" s="1">
        <v>7.6999999999999999E-2</v>
      </c>
      <c r="O1" s="1">
        <v>0.11219999999999999</v>
      </c>
      <c r="P1" s="1">
        <v>7.6999999999999999E-2</v>
      </c>
      <c r="Q1" s="1">
        <v>7.6999999999999999E-2</v>
      </c>
      <c r="R1" s="1">
        <v>2.2499999999999999E-2</v>
      </c>
      <c r="S1" s="1">
        <v>0.02</v>
      </c>
      <c r="T1" s="1">
        <v>0.02</v>
      </c>
      <c r="U1" s="1">
        <v>0</v>
      </c>
      <c r="V1" s="1">
        <v>0.02</v>
      </c>
    </row>
    <row r="2" spans="1:68" x14ac:dyDescent="0.25">
      <c r="A2" s="1" t="s">
        <v>30</v>
      </c>
      <c r="N2" s="9">
        <v>7.6999999999999999E-2</v>
      </c>
      <c r="O2" s="11"/>
      <c r="P2" s="9">
        <v>7.6999999999999999E-2</v>
      </c>
      <c r="Q2" s="9">
        <v>7.6999999999999999E-2</v>
      </c>
      <c r="R2" s="9">
        <v>2.2499999999999999E-2</v>
      </c>
      <c r="S2" s="10">
        <v>0.02</v>
      </c>
      <c r="T2" s="10">
        <v>0.02</v>
      </c>
      <c r="U2" s="10">
        <v>0</v>
      </c>
      <c r="V2" s="10">
        <v>0.02</v>
      </c>
      <c r="AD2" s="1" t="s">
        <v>25</v>
      </c>
      <c r="AF2" s="1" t="s">
        <v>28</v>
      </c>
    </row>
    <row r="3" spans="1:68" x14ac:dyDescent="0.25"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 t="s">
        <v>15</v>
      </c>
      <c r="O3" s="2"/>
      <c r="P3" s="2"/>
      <c r="Q3" s="2"/>
      <c r="R3" s="2"/>
      <c r="S3" s="2"/>
      <c r="T3" s="2"/>
      <c r="U3" s="2"/>
      <c r="V3" s="2"/>
      <c r="W3" s="5"/>
      <c r="AC3" s="2" t="s">
        <v>26</v>
      </c>
      <c r="AD3" s="2"/>
      <c r="AE3" s="2" t="s">
        <v>27</v>
      </c>
      <c r="AF3" s="2"/>
      <c r="AG3"/>
      <c r="AH3" s="2"/>
      <c r="AJ3" s="1" t="s">
        <v>32</v>
      </c>
      <c r="AQ3" s="1" t="s">
        <v>37</v>
      </c>
    </row>
    <row r="4" spans="1:68" ht="33.75" customHeight="1" x14ac:dyDescent="0.25">
      <c r="A4" s="1" t="s">
        <v>1</v>
      </c>
      <c r="B4" s="1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26</v>
      </c>
      <c r="P4" s="3" t="s">
        <v>29</v>
      </c>
      <c r="Q4" s="3" t="s">
        <v>16</v>
      </c>
      <c r="R4" s="3" t="s">
        <v>17</v>
      </c>
      <c r="S4" s="3" t="s">
        <v>10</v>
      </c>
      <c r="T4" s="3" t="s">
        <v>18</v>
      </c>
      <c r="U4" s="3" t="s">
        <v>12</v>
      </c>
      <c r="V4" s="3" t="s">
        <v>19</v>
      </c>
      <c r="W4" s="38" t="s">
        <v>62</v>
      </c>
      <c r="X4" s="8" t="s">
        <v>81</v>
      </c>
      <c r="Y4" s="1" t="s">
        <v>21</v>
      </c>
      <c r="Z4" s="8" t="s">
        <v>115</v>
      </c>
      <c r="AA4" s="1" t="s">
        <v>22</v>
      </c>
      <c r="AC4" s="8" t="s">
        <v>23</v>
      </c>
      <c r="AD4" s="1" t="s">
        <v>24</v>
      </c>
      <c r="AE4" s="8" t="s">
        <v>23</v>
      </c>
      <c r="AF4" s="1" t="s">
        <v>24</v>
      </c>
      <c r="AG4" s="17" t="s">
        <v>40</v>
      </c>
      <c r="AH4" s="17" t="s">
        <v>41</v>
      </c>
      <c r="AJ4" s="24" t="s">
        <v>33</v>
      </c>
      <c r="AK4" s="24" t="s">
        <v>26</v>
      </c>
      <c r="AL4" s="24" t="s">
        <v>34</v>
      </c>
      <c r="AM4" s="24" t="s">
        <v>16</v>
      </c>
      <c r="AN4" s="24" t="s">
        <v>35</v>
      </c>
      <c r="AO4" s="24" t="s">
        <v>36</v>
      </c>
      <c r="AQ4" s="24" t="s">
        <v>33</v>
      </c>
      <c r="AR4" s="24" t="s">
        <v>26</v>
      </c>
      <c r="AS4" s="24" t="s">
        <v>34</v>
      </c>
      <c r="AT4" s="24" t="s">
        <v>16</v>
      </c>
      <c r="AU4" s="24" t="s">
        <v>35</v>
      </c>
      <c r="AV4" s="24" t="s">
        <v>36</v>
      </c>
      <c r="AX4" s="32" t="s">
        <v>63</v>
      </c>
      <c r="AY4" s="8" t="s">
        <v>65</v>
      </c>
      <c r="AZ4" s="8" t="s">
        <v>67</v>
      </c>
      <c r="BA4" s="8" t="s">
        <v>69</v>
      </c>
      <c r="BB4" s="8" t="s">
        <v>71</v>
      </c>
      <c r="BC4" s="8" t="s">
        <v>73</v>
      </c>
      <c r="BD4" s="8" t="s">
        <v>75</v>
      </c>
      <c r="BF4" s="32" t="s">
        <v>64</v>
      </c>
      <c r="BG4" s="8" t="s">
        <v>66</v>
      </c>
      <c r="BH4" s="8" t="s">
        <v>79</v>
      </c>
      <c r="BI4" s="8" t="s">
        <v>68</v>
      </c>
      <c r="BJ4" s="8" t="s">
        <v>70</v>
      </c>
      <c r="BK4" s="8" t="s">
        <v>72</v>
      </c>
      <c r="BL4" s="8" t="s">
        <v>74</v>
      </c>
      <c r="BM4" s="8" t="s">
        <v>76</v>
      </c>
      <c r="BO4" s="8" t="s">
        <v>91</v>
      </c>
    </row>
    <row r="5" spans="1:68" x14ac:dyDescent="0.25">
      <c r="A5" s="1">
        <v>1</v>
      </c>
      <c r="B5" s="1">
        <v>210001</v>
      </c>
      <c r="C5" s="7">
        <v>540426100</v>
      </c>
      <c r="D5" s="7">
        <v>195056900</v>
      </c>
      <c r="E5" s="7">
        <f>IF(('Modeling - Base Estimates'!F5/SUM('Modeling - Base Estimates'!F5:G5)+$E$63)&gt;1,SUM('Modeling - Base Estimates'!F5:G5),(('Modeling - Base Estimates'!F5/SUM('Modeling - Base Estimates'!F5:G5)+$E$63))*SUM('Modeling - Base Estimates'!F5:G5))</f>
        <v>24188250.994674824</v>
      </c>
      <c r="F5" s="7">
        <f>SUM('Modeling - Base Estimates'!F5:G5)-E5</f>
        <v>58540349.005325176</v>
      </c>
      <c r="G5" s="7">
        <v>15216900</v>
      </c>
      <c r="H5" s="7">
        <v>83029700</v>
      </c>
      <c r="I5" s="7">
        <v>28769300</v>
      </c>
      <c r="J5" s="7">
        <v>39563100</v>
      </c>
      <c r="K5" s="7">
        <v>0</v>
      </c>
      <c r="L5" s="7">
        <v>24180500</v>
      </c>
      <c r="M5" s="7">
        <f t="shared" ref="M5:M49" si="0">C5-SUM(D5:L5)</f>
        <v>71881100</v>
      </c>
      <c r="N5" s="18">
        <f t="shared" ref="N5:N49" si="1">D5/$C5</f>
        <v>0.36093167965055722</v>
      </c>
      <c r="O5" s="18">
        <f t="shared" ref="O5:O49" si="2">E5/$C5</f>
        <v>4.4757740225120184E-2</v>
      </c>
      <c r="P5" s="18">
        <f t="shared" ref="P5:P49" si="3">F5/$C5</f>
        <v>0.10832257917470155</v>
      </c>
      <c r="Q5" s="18">
        <f>(G5+H5)/$C5</f>
        <v>0.18179469866462777</v>
      </c>
      <c r="R5" s="18">
        <f>I5/$C5</f>
        <v>5.3234475536988311E-2</v>
      </c>
      <c r="S5" s="18">
        <f t="shared" ref="S5:U20" si="4">J5/$C5</f>
        <v>7.3207234069561034E-2</v>
      </c>
      <c r="T5" s="18">
        <f t="shared" si="4"/>
        <v>0</v>
      </c>
      <c r="U5" s="18">
        <f t="shared" si="4"/>
        <v>4.4743397848475489E-2</v>
      </c>
      <c r="V5" s="18">
        <f>(M5)/$C5</f>
        <v>0.13300819482996842</v>
      </c>
      <c r="W5" s="5">
        <f>SUMIFS('Modeling - Base Estimates'!AK:AK,'Modeling - Base Estimates'!A:A,A5)</f>
        <v>314227282.01218486</v>
      </c>
      <c r="X5" s="5">
        <f>(W5*N5*(1-N$2))+(W5*O5*(1-'Modeling - Base Estimates'!$AA$51-N$2))+(W5*P5*(1-'Modeling - Base Estimates'!$AE$51))+(W5*Q5*(1-Q$2))+(W5*R5*(1-R$2))+(W5*S5*(1-S$2))+(W5*T5*(1-T$2))+(W5*U5*(1-U$2))+(W5*V5*(1-V$2))</f>
        <v>293785570.16545361</v>
      </c>
      <c r="Y5" s="5">
        <f>X5*N5*SUMIFS('Modeling - Base Estimates'!AN:AN,'Modeling - Base Estimates'!A:A,A5)</f>
        <v>821441.7669510768</v>
      </c>
      <c r="Z5" s="5">
        <f t="shared" ref="Z5:Z49" si="5">X5-Y5</f>
        <v>292964128.39850253</v>
      </c>
      <c r="AA5" s="7">
        <f>(((W5*N5*(1-N$2))/X5)*X5)-Y5-(((SUMIFS('Modeling - Base Estimates'!X:X,'Modeling - Base Estimates'!A:A,A5)*N5*(1-N$2))/SUMIFS('Modeling - Base Estimates'!Z:Z,'Modeling - Base Estimates'!A:A,A5))*SUMIFS('Modeling - Base Estimates'!Z:Z,'Modeling - Base Estimates'!A:A,A5))</f>
        <v>1218.5995248556137</v>
      </c>
      <c r="AB5" s="7"/>
      <c r="AC5" s="18">
        <f>1-((((W5*O5*(1-N$2-'Modeling - Base Estimates'!$AA$51))/X5)*X5)/('Modeling - Base Estimates'!X5*'Modeling - Base Estimates'!P5))</f>
        <v>-0.15319721122118346</v>
      </c>
      <c r="AD5" s="18">
        <f>AC5-$N$2</f>
        <v>-0.23019721122118347</v>
      </c>
      <c r="AE5" s="18">
        <f>1-((((W5*P5*(1-'Modeling - Base Estimates'!$AE$51))/X5)*X5)/(SUMIFS('Modeling - Base Estimates'!X:X,'Modeling - Base Estimates'!A:A,A5)*'Modeling - Base Estimates'!Q5))</f>
        <v>0.17876915438770569</v>
      </c>
      <c r="AF5" s="18">
        <f>AE5-$N$2</f>
        <v>0.10176915438770569</v>
      </c>
      <c r="AG5" s="18">
        <f>$N5*(1-$N$2)+$O5*(1-$N$2-'Modeling - Base Estimates'!$AA$51)+$P5*(1-'Modeling - Base Estimates'!$AE$51)+$Q5*(1-$Q$2)+$R5*(1-$R$2)+$S5*(1-$S$2)+$T5*(1-$T$2)+$U5*(1-$U$2)+$V5*(1-$V$2)</f>
        <v>0.93494609469989132</v>
      </c>
      <c r="AH5" s="18">
        <f>$S5*(1-$R$2-'Modeling - Base Estimates'!$AA$51)+$T5*(1-'Modeling - Base Estimates'!$AE$51)+$U5*(1-$U$2)+$V5*(1-$V$2)+$W5*(1-$W$2)+$X5*(1-$X$2)+$Y5*(1-$Y$2)+$Z5*(1-$Z$2)</f>
        <v>901798422.58133411</v>
      </c>
      <c r="AI5" s="5"/>
      <c r="AJ5" s="7">
        <f>(SUMIFS('Modeling - Base Estimates'!$X:$X,'Modeling - Base Estimates'!$A:$A,$A5)*SUMIFS('Modeling - Base Estimates'!O:O,'Modeling - Base Estimates'!$A:$A,$A5)*($N$2))</f>
        <v>8664293.4083499908</v>
      </c>
      <c r="AK5" s="7">
        <f>(SUMIFS('Modeling - Base Estimates'!$X:$X,'Modeling - Base Estimates'!$A:$A,$A5)*SUMIFS('Modeling - Base Estimates'!P:P,'Modeling - Base Estimates'!$A:$A,$A5)*($N$2))</f>
        <v>758889.94555817463</v>
      </c>
      <c r="AL5" s="7">
        <f>(SUMIFS('Modeling - Base Estimates'!$X:$X,'Modeling - Base Estimates'!$A:$A,$A5)*SUMIFS('Modeling - Base Estimates'!Q:Q,'Modeling - Base Estimates'!$A:$A,$A5)*($N$2))</f>
        <v>2915857.5956055732</v>
      </c>
      <c r="AM5" s="7">
        <f>(SUMIFS('Modeling - Base Estimates'!$X:$X,'Modeling - Base Estimates'!$A:$A,$A5)*SUMIFS('Modeling - Base Estimates'!R:R,'Modeling - Base Estimates'!$A:$A,$A5)*($N$2))</f>
        <v>4364046.4334909357</v>
      </c>
      <c r="AN5" s="7">
        <f>(SUMIFS('Modeling - Base Estimates'!X:X,'Modeling - Base Estimates'!A:A,$A5)*$R5*($R$2))+(SUMIFS('Modeling - Base Estimates'!X:X,'Modeling - Base Estimates'!A:A,$A5)*$S5*($S$2))+(SUMIFS('Modeling - Base Estimates'!X:X,'Modeling - Base Estimates'!A:A,$A5)*$T5*($T$2))+(SUMIFS('Modeling - Base Estimates'!X:X,'Modeling - Base Estimates'!A:A,$A5)*$U5*($U$2))+(SUMIFS('Modeling - Base Estimates'!X:X,'Modeling - Base Estimates'!A:A,$A5)*$V5*($V$2))</f>
        <v>1659201.6488133059</v>
      </c>
      <c r="AO5" s="5">
        <f>SUM(AJ5:AN5)-(SUMIFS('Modeling - Base Estimates'!X:X,'Modeling - Base Estimates'!A:A,A5)-SUMIFS('Modeling - Base Estimates'!Z:Z,'Modeling - Base Estimates'!A:A,A5))</f>
        <v>0</v>
      </c>
      <c r="AQ5" s="7">
        <f t="shared" ref="AQ5" si="6">(W5*$N5*($N$2))</f>
        <v>8732922.7130289152</v>
      </c>
      <c r="AR5" s="7">
        <f>(W5*$O5*($N$2+'Modeling - Base Estimates'!$AA$51))</f>
        <v>2698521.6464212015</v>
      </c>
      <c r="AS5" s="7">
        <f>(W5*P5*('Modeling - Base Estimates'!$AE$51))</f>
        <v>2939309.6485876446</v>
      </c>
      <c r="AT5" s="7">
        <f t="shared" ref="AT5" si="7">(W5*$Q5*($Q$2))</f>
        <v>4398613.7615119824</v>
      </c>
      <c r="AU5" s="7">
        <f t="shared" ref="AU5" si="8">(W5*$R5*($R$2))+(W5*$S5*($S$2))+(W5*$T5*($T$2))+(W5*$U5*($U$2))+(W5*$V5*($V$2))</f>
        <v>1672344.0771814915</v>
      </c>
      <c r="AV5" s="5">
        <f>SUM(AQ5:AU5)-(W5-X5)</f>
        <v>0</v>
      </c>
      <c r="AX5" s="7">
        <f>SUMIFS('Modeling - Base Estimates'!X:X,'Modeling - Base Estimates'!A:A,A5)</f>
        <v>311757868.2106095</v>
      </c>
      <c r="AY5" s="5">
        <f>AJ5</f>
        <v>8664293.4083499908</v>
      </c>
      <c r="AZ5" s="5">
        <f>AK5</f>
        <v>758889.94555817463</v>
      </c>
      <c r="BA5" s="5">
        <f>AL5</f>
        <v>2915857.5956055732</v>
      </c>
      <c r="BB5" s="5">
        <f>AM5</f>
        <v>4364046.4334909357</v>
      </c>
      <c r="BC5" s="5">
        <f>AN5</f>
        <v>1659201.6488133059</v>
      </c>
      <c r="BD5" s="5">
        <f>AX5-SUM(AY5:BC5)</f>
        <v>293395579.17879152</v>
      </c>
      <c r="BF5" s="5">
        <f>W5</f>
        <v>314227282.01218486</v>
      </c>
      <c r="BG5" s="5">
        <f>AQ5</f>
        <v>8732922.7130289152</v>
      </c>
      <c r="BH5" s="5">
        <f>Y5</f>
        <v>821441.7669510768</v>
      </c>
      <c r="BI5" s="5">
        <f>AR5</f>
        <v>2698521.6464212015</v>
      </c>
      <c r="BJ5" s="5">
        <f t="shared" ref="BJ5:BL5" si="9">AS5</f>
        <v>2939309.6485876446</v>
      </c>
      <c r="BK5" s="5">
        <f t="shared" si="9"/>
        <v>4398613.7615119824</v>
      </c>
      <c r="BL5" s="5">
        <f t="shared" si="9"/>
        <v>1672344.0771814915</v>
      </c>
      <c r="BM5" s="5">
        <f>BF5-SUM(BG5:BL5)</f>
        <v>292964128.39850253</v>
      </c>
      <c r="BO5" s="5">
        <f>BM5-BD5</f>
        <v>-431450.78028899431</v>
      </c>
      <c r="BP5" s="18">
        <f>BO5/BD5</f>
        <v>-1.4705428810366421E-3</v>
      </c>
    </row>
    <row r="6" spans="1:68" x14ac:dyDescent="0.25">
      <c r="A6" s="1">
        <v>2</v>
      </c>
      <c r="B6" s="1">
        <v>210002</v>
      </c>
      <c r="C6" s="4">
        <v>1998942647.6000001</v>
      </c>
      <c r="D6" s="4">
        <v>560484780.4000001</v>
      </c>
      <c r="E6" s="4">
        <f>IF(('Modeling - Base Estimates'!F6/SUM('Modeling - Base Estimates'!F6:G6)+$E$63)&gt;1,SUM('Modeling - Base Estimates'!F6:G6),(('Modeling - Base Estimates'!F6/SUM('Modeling - Base Estimates'!F6:G6)+$E$63))*SUM('Modeling - Base Estimates'!F6:G6))</f>
        <v>114970098.82772051</v>
      </c>
      <c r="F6" s="4">
        <f>SUM('Modeling - Base Estimates'!F6:G6)-E6</f>
        <v>114339732.9722795</v>
      </c>
      <c r="G6" s="4">
        <v>89178014.5</v>
      </c>
      <c r="H6" s="4">
        <v>411314296.19999999</v>
      </c>
      <c r="I6" s="4">
        <v>196198153</v>
      </c>
      <c r="J6" s="4">
        <v>109210700.3</v>
      </c>
      <c r="K6" s="4">
        <v>6086659.5</v>
      </c>
      <c r="L6" s="4">
        <v>43032337.200000003</v>
      </c>
      <c r="M6" s="4">
        <f t="shared" si="0"/>
        <v>354127874.70000005</v>
      </c>
      <c r="N6" s="12">
        <f t="shared" si="1"/>
        <v>0.28039062605069615</v>
      </c>
      <c r="O6" s="12">
        <f t="shared" si="2"/>
        <v>5.7515456466826397E-2</v>
      </c>
      <c r="P6" s="12">
        <f t="shared" si="3"/>
        <v>5.72001068212536E-2</v>
      </c>
      <c r="Q6" s="12">
        <f t="shared" ref="Q6:Q49" si="10">(G6+H6)/$C6</f>
        <v>0.25037852451690318</v>
      </c>
      <c r="R6" s="12">
        <f t="shared" ref="R6:U49" si="11">I6/$C6</f>
        <v>9.8150966580037857E-2</v>
      </c>
      <c r="S6" s="12">
        <f t="shared" si="4"/>
        <v>5.4634233969204742E-2</v>
      </c>
      <c r="T6" s="12">
        <f t="shared" si="4"/>
        <v>3.0449395370636843E-3</v>
      </c>
      <c r="U6" s="12">
        <f t="shared" si="4"/>
        <v>2.1527549703172385E-2</v>
      </c>
      <c r="V6" s="12">
        <f t="shared" ref="V6:V49" si="12">(M6)/$C6</f>
        <v>0.17715759635484202</v>
      </c>
      <c r="W6" s="4">
        <f>SUMIFS('Modeling - Base Estimates'!AK:AK,'Modeling - Base Estimates'!A:A,A6)</f>
        <v>1119457962.8635352</v>
      </c>
      <c r="X6" s="4">
        <f>(W6*N6*(1-N$2))+(W6*O6*(1-'Modeling - Base Estimates'!$AA$51-N$2))+(W6*P6*(1-'Modeling - Base Estimates'!$AE$51))+(W6*Q6*(1-Q$2))+(W6*R6*(1-R$2))+(W6*S6*(1-S$2))+(W6*T6*(1-T$2))+(W6*U6*(1-U$2))+(W6*V6*(1-V$2))</f>
        <v>1048093102.1528804</v>
      </c>
      <c r="Y6" s="5">
        <f>X6*N6*SUMIFS('Modeling - Base Estimates'!AN:AN,'Modeling - Base Estimates'!A:A,A6)</f>
        <v>2586050.0682223057</v>
      </c>
      <c r="Z6" s="4">
        <f t="shared" si="5"/>
        <v>1045507052.0846581</v>
      </c>
      <c r="AA6" s="4">
        <f>(((W6*N6*(1-N$2))/X6)*X6)-Y6-(((SUMIFS('Modeling - Base Estimates'!X:X,'Modeling - Base Estimates'!A:A,A6)*N6*(1-N$2))/SUMIFS('Modeling - Base Estimates'!Z:Z,'Modeling - Base Estimates'!A:A,A6))*SUMIFS('Modeling - Base Estimates'!Z:Z,'Modeling - Base Estimates'!A:A,A6))</f>
        <v>2870.9037563204765</v>
      </c>
      <c r="AB6" s="4"/>
      <c r="AC6" s="18">
        <f>1-((((W6*O6*(1-N$2-'Modeling - Base Estimates'!$AA$51))/X6)*X6)/('Modeling - Base Estimates'!X6*'Modeling - Base Estimates'!P6))</f>
        <v>1.6079121197488E-2</v>
      </c>
      <c r="AD6" s="18">
        <f>AC6-$N$2</f>
        <v>-6.0920878802511999E-2</v>
      </c>
      <c r="AE6" s="18">
        <f>1-((((W6*P6*(1-'Modeling - Base Estimates'!$AE$51))/X6)*X6)/(SUMIFS('Modeling - Base Estimates'!X:X,'Modeling - Base Estimates'!A:A,A6)*'Modeling - Base Estimates'!Q6))</f>
        <v>0.21354725019699028</v>
      </c>
      <c r="AF6" s="18">
        <f>AE6-$N$2</f>
        <v>0.13654725019699027</v>
      </c>
      <c r="AG6" s="18">
        <f>$N6*(1-$N$2)+$O6*(1-$N$2-'Modeling - Base Estimates'!$AA$51)+$P6*(1-'Modeling - Base Estimates'!$AE$51)+$Q6*(1-$Q$2)+$R6*(1-$R$2)+$S6*(1-$S$2)+$T6*(1-$T$2)+$U6*(1-$U$2)+$V6*(1-$V$2)</f>
        <v>0.93625052205792003</v>
      </c>
      <c r="AH6" s="18" t="e">
        <f>$O6*(1-$N$2-#REF!)+$P6*(1-#REF!)+$Q6*(1-$Q$2)+$R6*(1-$R$2)+$S6*(1-$S$2)+$T6*(1-$T$2)+$U6*(1-$U$2)+$V6*(1-$V$2)</f>
        <v>#REF!</v>
      </c>
      <c r="AJ6" s="7">
        <f>(SUMIFS('Modeling - Base Estimates'!$X:$X,'Modeling - Base Estimates'!$A:$A,$A6)*SUMIFS('Modeling - Base Estimates'!O:O,'Modeling - Base Estimates'!$A:$A,$A6)*($N$2))</f>
        <v>23953207.810603052</v>
      </c>
      <c r="AK6" s="7">
        <f>(SUMIFS('Modeling - Base Estimates'!$X:$X,'Modeling - Base Estimates'!$A:$A,$A6)*SUMIFS('Modeling - Base Estimates'!P:P,'Modeling - Base Estimates'!$A:$A,$A6)*($N$2))</f>
        <v>4071950.8436950906</v>
      </c>
      <c r="AL6" s="7">
        <f>(SUMIFS('Modeling - Base Estimates'!$X:$X,'Modeling - Base Estimates'!$A:$A,$A6)*SUMIFS('Modeling - Base Estimates'!Q:Q,'Modeling - Base Estimates'!$A:$A,$A6)*($N$2))</f>
        <v>5727969.2365609016</v>
      </c>
      <c r="AM6" s="7">
        <f>(SUMIFS('Modeling - Base Estimates'!$X:$X,'Modeling - Base Estimates'!$A:$A,$A6)*SUMIFS('Modeling - Base Estimates'!R:R,'Modeling - Base Estimates'!$A:$A,$A6)*($N$2))</f>
        <v>21389334.278176602</v>
      </c>
      <c r="AN6" s="7">
        <f>(SUMIFS('Modeling - Base Estimates'!X:X,'Modeling - Base Estimates'!A:A,$A6)*$R6*($R$2))+(SUMIFS('Modeling - Base Estimates'!X:X,'Modeling - Base Estimates'!A:A,$A6)*$S6*($S$2))+(SUMIFS('Modeling - Base Estimates'!X:X,'Modeling - Base Estimates'!A:A,$A6)*$T6*($T$2))+(SUMIFS('Modeling - Base Estimates'!X:X,'Modeling - Base Estimates'!A:A,$A6)*$U6*($U$2))+(SUMIFS('Modeling - Base Estimates'!X:X,'Modeling - Base Estimates'!A:A,$A6)*$V6*($V$2))</f>
        <v>7660929.416650922</v>
      </c>
      <c r="AO6" s="7">
        <f>SUM(AJ6:AN6)-(SUMIFS('Modeling - Base Estimates'!X:X,'Modeling - Base Estimates'!A:A,A6)-SUMIFS('Modeling - Base Estimates'!Z:Z,'Modeling - Base Estimates'!A:A,A6))</f>
        <v>1.1920928955078125E-7</v>
      </c>
      <c r="AQ6" s="7">
        <f t="shared" ref="AQ6:AQ49" si="13">(W6*$N6*($N$2))</f>
        <v>24169184.966445256</v>
      </c>
      <c r="AR6" s="7">
        <f>(W6*$O6*($N$2+'Modeling - Base Estimates'!$AA$51))</f>
        <v>12353961.020830156</v>
      </c>
      <c r="AS6" s="7">
        <f>(W6*P6*('Modeling - Base Estimates'!$AE$51))</f>
        <v>5529515.6176923802</v>
      </c>
      <c r="AT6" s="7">
        <f t="shared" ref="AT6:AT49" si="14">(W6*$Q6*($Q$2))</f>
        <v>21582193.941036198</v>
      </c>
      <c r="AU6" s="7">
        <f t="shared" ref="AU6:AU49" si="15">(W6*$R6*($R$2))+(W6*$S6*($S$2))+(W6*$T6*($T$2))+(W6*$U6*($U$2))+(W6*$V6*($V$2))</f>
        <v>7730005.1646508928</v>
      </c>
      <c r="AV6" s="5">
        <f t="shared" ref="AV6:AV49" si="16">SUM(AQ6:AU6)-(W6-X6)</f>
        <v>1.4901161193847656E-7</v>
      </c>
      <c r="AX6" s="7">
        <f>SUMIFS('Modeling - Base Estimates'!X:X,'Modeling - Base Estimates'!A:A,A6)</f>
        <v>1109454425.4153407</v>
      </c>
      <c r="AY6" s="5">
        <f t="shared" ref="AY6:AY49" si="17">AJ6</f>
        <v>23953207.810603052</v>
      </c>
      <c r="AZ6" s="5">
        <f t="shared" ref="AZ6:AZ49" si="18">AK6</f>
        <v>4071950.8436950906</v>
      </c>
      <c r="BA6" s="5">
        <f t="shared" ref="BA6:BA49" si="19">AL6</f>
        <v>5727969.2365609016</v>
      </c>
      <c r="BB6" s="5">
        <f t="shared" ref="BB6:BB49" si="20">AM6</f>
        <v>21389334.278176602</v>
      </c>
      <c r="BC6" s="5">
        <f t="shared" ref="BC6:BC49" si="21">AN6</f>
        <v>7660929.416650922</v>
      </c>
      <c r="BD6" s="5">
        <f t="shared" ref="BD6:BD49" si="22">AX6-SUM(AY6:BC6)</f>
        <v>1046651033.8296541</v>
      </c>
      <c r="BF6" s="5">
        <f t="shared" ref="BF6:BF49" si="23">W6</f>
        <v>1119457962.8635352</v>
      </c>
      <c r="BG6" s="5">
        <f t="shared" ref="BG6:BG51" si="24">AQ6</f>
        <v>24169184.966445256</v>
      </c>
      <c r="BH6" s="5">
        <f t="shared" ref="BH6:BH49" si="25">Y6</f>
        <v>2586050.0682223057</v>
      </c>
      <c r="BI6" s="5">
        <f t="shared" ref="BI6:BI49" si="26">AR6</f>
        <v>12353961.020830156</v>
      </c>
      <c r="BJ6" s="5">
        <f t="shared" ref="BJ6:BJ49" si="27">AS6</f>
        <v>5529515.6176923802</v>
      </c>
      <c r="BK6" s="5">
        <f t="shared" ref="BK6:BK49" si="28">AT6</f>
        <v>21582193.941036198</v>
      </c>
      <c r="BL6" s="5">
        <f t="shared" ref="BL6:BL49" si="29">AU6</f>
        <v>7730005.1646508928</v>
      </c>
      <c r="BM6" s="5">
        <f t="shared" ref="BM6:BM51" si="30">BF6-SUM(BG6:BL6)</f>
        <v>1045507052.084658</v>
      </c>
      <c r="BO6" s="5">
        <f t="shared" ref="BO6:BO49" si="31">BM6-BD6</f>
        <v>-1143981.7449960709</v>
      </c>
      <c r="BP6" s="12">
        <f t="shared" ref="BP6:BP49" si="32">BO6/BD6</f>
        <v>-1.0929925142387597E-3</v>
      </c>
    </row>
    <row r="7" spans="1:68" x14ac:dyDescent="0.25">
      <c r="A7" s="1">
        <v>3</v>
      </c>
      <c r="B7" s="1">
        <v>210003</v>
      </c>
      <c r="C7" s="4">
        <v>484325106.80000001</v>
      </c>
      <c r="D7" s="4">
        <v>113354044.7</v>
      </c>
      <c r="E7" s="4">
        <f>IF(('Modeling - Base Estimates'!F7/SUM('Modeling - Base Estimates'!F7:G7)+$E$63)&gt;1,SUM('Modeling - Base Estimates'!F7:G7),(('Modeling - Base Estimates'!F7/SUM('Modeling - Base Estimates'!F7:G7)+$E$63))*SUM('Modeling - Base Estimates'!F7:G7))</f>
        <v>46430987.79773663</v>
      </c>
      <c r="F7" s="4">
        <f>SUM('Modeling - Base Estimates'!F7:G7)-E7</f>
        <v>23041954.802263364</v>
      </c>
      <c r="G7" s="4">
        <v>27626914.899999999</v>
      </c>
      <c r="H7" s="4">
        <v>117325710.39999999</v>
      </c>
      <c r="I7" s="4">
        <v>30292846.5</v>
      </c>
      <c r="J7" s="4">
        <v>21023955.199999999</v>
      </c>
      <c r="K7" s="4">
        <v>1018742.4</v>
      </c>
      <c r="L7" s="4">
        <v>30929000</v>
      </c>
      <c r="M7" s="4">
        <f t="shared" si="0"/>
        <v>73280950.100000024</v>
      </c>
      <c r="N7" s="12">
        <f t="shared" si="1"/>
        <v>0.23404536149064242</v>
      </c>
      <c r="O7" s="12">
        <f t="shared" si="2"/>
        <v>9.5867398046969532E-2</v>
      </c>
      <c r="P7" s="12">
        <f t="shared" si="3"/>
        <v>4.7575387851570623E-2</v>
      </c>
      <c r="Q7" s="12">
        <f t="shared" si="10"/>
        <v>0.29928786111816735</v>
      </c>
      <c r="R7" s="12">
        <f t="shared" si="11"/>
        <v>6.2546512816873859E-2</v>
      </c>
      <c r="S7" s="12">
        <f t="shared" si="4"/>
        <v>4.340876594011004E-2</v>
      </c>
      <c r="T7" s="12">
        <f t="shared" si="4"/>
        <v>2.1034267802694882E-3</v>
      </c>
      <c r="U7" s="12">
        <f t="shared" si="4"/>
        <v>6.3859997274045927E-2</v>
      </c>
      <c r="V7" s="12">
        <f t="shared" si="12"/>
        <v>0.15130528868135074</v>
      </c>
      <c r="W7" s="4">
        <f>SUMIFS('Modeling - Base Estimates'!AK:AK,'Modeling - Base Estimates'!A:A,A7)</f>
        <v>265060938.83484814</v>
      </c>
      <c r="X7" s="4">
        <f>(W7*N7*(1-N$2))+(W7*O7*(1-'Modeling - Base Estimates'!$AA$51-N$2))+(W7*P7*(1-'Modeling - Base Estimates'!$AE$51))+(W7*Q7*(1-Q$2))+(W7*R7*(1-R$2))+(W7*S7*(1-S$2))+(W7*T7*(1-T$2))+(W7*U7*(1-U$2))+(W7*V7*(1-V$2))</f>
        <v>246794795.78419763</v>
      </c>
      <c r="Y7" s="5">
        <f>X7*N7*SUMIFS('Modeling - Base Estimates'!AN:AN,'Modeling - Base Estimates'!A:A,A7)</f>
        <v>802106.95244136453</v>
      </c>
      <c r="Z7" s="4">
        <f t="shared" si="5"/>
        <v>245992688.83175626</v>
      </c>
      <c r="AA7" s="4">
        <f>(((W7*N7*(1-N$2))/X7)*X7)-Y7-(((SUMIFS('Modeling - Base Estimates'!X:X,'Modeling - Base Estimates'!A:A,A7)*N7*(1-N$2))/SUMIFS('Modeling - Base Estimates'!Z:Z,'Modeling - Base Estimates'!A:A,A7))*SUMIFS('Modeling - Base Estimates'!Z:Z,'Modeling - Base Estimates'!A:A,A7))</f>
        <v>1119.6239038184285</v>
      </c>
      <c r="AB7" s="4"/>
      <c r="AC7" s="18">
        <f>1-((((W7*O7*(1-N$2-'Modeling - Base Estimates'!$AA$51))/X7)*X7)/('Modeling - Base Estimates'!X7*'Modeling - Base Estimates'!P7))</f>
        <v>5.9548131448990738E-2</v>
      </c>
      <c r="AD7" s="18">
        <f t="shared" ref="AD7:AD49" si="33">AC7-$N$2</f>
        <v>-1.7451868551009261E-2</v>
      </c>
      <c r="AE7" s="18">
        <f>1-((((W7*P7*(1-'Modeling - Base Estimates'!$AE$51))/X7)*X7)/(SUMIFS('Modeling - Base Estimates'!X:X,'Modeling - Base Estimates'!A:A,A7)*'Modeling - Base Estimates'!Q7))</f>
        <v>0.26391980247419766</v>
      </c>
      <c r="AF7" s="18">
        <f t="shared" ref="AF7:AF49" si="34">AE7-$N$2</f>
        <v>0.18691980247419765</v>
      </c>
      <c r="AG7" s="18">
        <f>$N7*(1-$N$2)+$O7*(1-$N$2-'Modeling - Base Estimates'!$AA$51)+$P7*(1-'Modeling - Base Estimates'!$AE$51)+$Q7*(1-$Q$2)+$R7*(1-$R$2)+$S7*(1-$S$2)+$T7*(1-$T$2)+$U7*(1-$U$2)+$V7*(1-$V$2)</f>
        <v>0.93108700538470668</v>
      </c>
      <c r="AH7" s="18" t="e">
        <f>$O7*(1-$N$2-#REF!)+$P7*(1-#REF!)+$Q7*(1-$Q$2)+$R7*(1-$R$2)+$S7*(1-$S$2)+$T7*(1-$T$2)+$U7*(1-$U$2)+$V7*(1-$V$2)</f>
        <v>#REF!</v>
      </c>
      <c r="AJ7" s="7">
        <f>(SUMIFS('Modeling - Base Estimates'!$X:$X,'Modeling - Base Estimates'!$A:$A,$A7)*SUMIFS('Modeling - Base Estimates'!O:O,'Modeling - Base Estimates'!$A:$A,$A7)*($N$2))</f>
        <v>4709785.742409708</v>
      </c>
      <c r="AK7" s="7">
        <f>(SUMIFS('Modeling - Base Estimates'!$X:$X,'Modeling - Base Estimates'!$A:$A,$A7)*SUMIFS('Modeling - Base Estimates'!P:P,'Modeling - Base Estimates'!$A:$A,$A7)*($N$2))</f>
        <v>1681320.2384314812</v>
      </c>
      <c r="AL7" s="7">
        <f>(SUMIFS('Modeling - Base Estimates'!$X:$X,'Modeling - Base Estimates'!$A:$A,$A7)*SUMIFS('Modeling - Base Estimates'!Q:Q,'Modeling - Base Estimates'!$A:$A,$A7)*($N$2))</f>
        <v>1205234.6737173926</v>
      </c>
      <c r="AM7" s="7">
        <f>(SUMIFS('Modeling - Base Estimates'!$X:$X,'Modeling - Base Estimates'!$A:$A,$A7)*SUMIFS('Modeling - Base Estimates'!R:R,'Modeling - Base Estimates'!$A:$A,$A7)*($N$2))</f>
        <v>6022685.9109403845</v>
      </c>
      <c r="AN7" s="7">
        <f>(SUMIFS('Modeling - Base Estimates'!X:X,'Modeling - Base Estimates'!A:A,$A7)*$R7*($R$2))+(SUMIFS('Modeling - Base Estimates'!X:X,'Modeling - Base Estimates'!A:A,$A7)*$S7*($S$2))+(SUMIFS('Modeling - Base Estimates'!X:X,'Modeling - Base Estimates'!A:A,$A7)*$T7*($T$2))+(SUMIFS('Modeling - Base Estimates'!X:X,'Modeling - Base Estimates'!A:A,$A7)*$U7*($U$2))+(SUMIFS('Modeling - Base Estimates'!X:X,'Modeling - Base Estimates'!A:A,$A7)*$V7*($V$2))</f>
        <v>1396522.9605446386</v>
      </c>
      <c r="AO7" s="7">
        <f>SUM(AJ7:AN7)-(SUMIFS('Modeling - Base Estimates'!X:X,'Modeling - Base Estimates'!A:A,A7)-SUMIFS('Modeling - Base Estimates'!Z:Z,'Modeling - Base Estimates'!A:A,A7))</f>
        <v>0</v>
      </c>
      <c r="AQ7" s="7">
        <f t="shared" si="13"/>
        <v>4776793.8099921336</v>
      </c>
      <c r="AR7" s="7">
        <f>(W7*$O7*($N$2+'Modeling - Base Estimates'!$AA$51))</f>
        <v>4875627.7265355876</v>
      </c>
      <c r="AS7" s="7">
        <f>(W7*P7*('Modeling - Base Estimates'!$AE$51))</f>
        <v>1088956.4928129199</v>
      </c>
      <c r="AT7" s="7">
        <f t="shared" si="14"/>
        <v>6108373.1516388403</v>
      </c>
      <c r="AU7" s="7">
        <f t="shared" si="15"/>
        <v>1416391.8696710027</v>
      </c>
      <c r="AV7" s="5">
        <f t="shared" si="16"/>
        <v>0</v>
      </c>
      <c r="AX7" s="7">
        <f>SUMIFS('Modeling - Base Estimates'!X:X,'Modeling - Base Estimates'!A:A,A7)</f>
        <v>261342708.15347484</v>
      </c>
      <c r="AY7" s="5">
        <f t="shared" si="17"/>
        <v>4709785.742409708</v>
      </c>
      <c r="AZ7" s="5">
        <f t="shared" si="18"/>
        <v>1681320.2384314812</v>
      </c>
      <c r="BA7" s="5">
        <f t="shared" si="19"/>
        <v>1205234.6737173926</v>
      </c>
      <c r="BB7" s="5">
        <f t="shared" si="20"/>
        <v>6022685.9109403845</v>
      </c>
      <c r="BC7" s="5">
        <f t="shared" si="21"/>
        <v>1396522.9605446386</v>
      </c>
      <c r="BD7" s="5">
        <f t="shared" si="22"/>
        <v>246327158.62743124</v>
      </c>
      <c r="BF7" s="5">
        <f t="shared" si="23"/>
        <v>265060938.83484814</v>
      </c>
      <c r="BG7" s="5">
        <f t="shared" si="24"/>
        <v>4776793.8099921336</v>
      </c>
      <c r="BH7" s="5">
        <f t="shared" si="25"/>
        <v>802106.95244136453</v>
      </c>
      <c r="BI7" s="5">
        <f t="shared" si="26"/>
        <v>4875627.7265355876</v>
      </c>
      <c r="BJ7" s="5">
        <f t="shared" si="27"/>
        <v>1088956.4928129199</v>
      </c>
      <c r="BK7" s="5">
        <f t="shared" si="28"/>
        <v>6108373.1516388403</v>
      </c>
      <c r="BL7" s="5">
        <f t="shared" si="29"/>
        <v>1416391.8696710027</v>
      </c>
      <c r="BM7" s="5">
        <f t="shared" si="30"/>
        <v>245992688.83175629</v>
      </c>
      <c r="BO7" s="5">
        <f t="shared" si="31"/>
        <v>-334469.79567494988</v>
      </c>
      <c r="BP7" s="12">
        <f t="shared" si="32"/>
        <v>-1.3578275231146315E-3</v>
      </c>
    </row>
    <row r="8" spans="1:68" x14ac:dyDescent="0.25">
      <c r="A8" s="1">
        <v>4</v>
      </c>
      <c r="B8" s="1">
        <v>210004</v>
      </c>
      <c r="C8" s="4">
        <v>638008057</v>
      </c>
      <c r="D8" s="4">
        <v>115293285.8</v>
      </c>
      <c r="E8" s="4">
        <f>IF(('Modeling - Base Estimates'!F8/SUM('Modeling - Base Estimates'!F8:G8)+$E$63)&gt;1,SUM('Modeling - Base Estimates'!F8:G8),(('Modeling - Base Estimates'!F8/SUM('Modeling - Base Estimates'!F8:G8)+$E$63))*SUM('Modeling - Base Estimates'!F8:G8))</f>
        <v>98548489.953197047</v>
      </c>
      <c r="F8" s="4">
        <f>SUM('Modeling - Base Estimates'!F8:G8)-E8</f>
        <v>12290776.946802959</v>
      </c>
      <c r="G8" s="4">
        <v>38011102.5</v>
      </c>
      <c r="H8" s="4">
        <v>131463830.69999999</v>
      </c>
      <c r="I8" s="4">
        <v>38795590.100000001</v>
      </c>
      <c r="J8" s="4">
        <v>21621495.800000001</v>
      </c>
      <c r="K8" s="4">
        <v>4480781.6000000006</v>
      </c>
      <c r="L8" s="4">
        <v>38345457.699999996</v>
      </c>
      <c r="M8" s="4">
        <f t="shared" si="0"/>
        <v>139157245.89999998</v>
      </c>
      <c r="N8" s="12">
        <f t="shared" si="1"/>
        <v>0.18070819723206097</v>
      </c>
      <c r="O8" s="12">
        <f t="shared" si="2"/>
        <v>0.15446276715780888</v>
      </c>
      <c r="P8" s="12">
        <f t="shared" si="3"/>
        <v>1.9264297389277263E-2</v>
      </c>
      <c r="Q8" s="12">
        <f t="shared" si="10"/>
        <v>0.26563133700363284</v>
      </c>
      <c r="R8" s="12">
        <f t="shared" si="11"/>
        <v>6.0807367045523066E-2</v>
      </c>
      <c r="S8" s="12">
        <f t="shared" si="4"/>
        <v>3.3889063880583568E-2</v>
      </c>
      <c r="T8" s="12">
        <f t="shared" si="4"/>
        <v>7.0230799608851967E-3</v>
      </c>
      <c r="U8" s="12">
        <f t="shared" si="4"/>
        <v>6.0101839278183279E-2</v>
      </c>
      <c r="V8" s="12">
        <f t="shared" si="12"/>
        <v>0.2181120510520449</v>
      </c>
      <c r="W8" s="4">
        <f>SUMIFS('Modeling - Base Estimates'!AK:AK,'Modeling - Base Estimates'!A:A,A8)</f>
        <v>360144957.90650022</v>
      </c>
      <c r="X8" s="4">
        <f>(W8*N8*(1-N$2))+(W8*O8*(1-'Modeling - Base Estimates'!$AA$51-N$2))+(W8*P8*(1-'Modeling - Base Estimates'!$AE$51))+(W8*Q8*(1-Q$2))+(W8*R8*(1-R$2))+(W8*S8*(1-S$2))+(W8*T8*(1-T$2))+(W8*U8*(1-U$2))+(W8*V8*(1-V$2))</f>
        <v>334136161.51488018</v>
      </c>
      <c r="Y8" s="5">
        <f>X8*N8*SUMIFS('Modeling - Base Estimates'!AN:AN,'Modeling - Base Estimates'!A:A,A8)</f>
        <v>1264525.3017785659</v>
      </c>
      <c r="Z8" s="4">
        <f t="shared" si="5"/>
        <v>332871636.21310163</v>
      </c>
      <c r="AA8" s="4">
        <f>(((W8*N8*(1-N$2))/X8)*X8)-Y8-(((SUMIFS('Modeling - Base Estimates'!X:X,'Modeling - Base Estimates'!A:A,A8)*N8*(1-N$2))/SUMIFS('Modeling - Base Estimates'!Z:Z,'Modeling - Base Estimates'!A:A,A8))*SUMIFS('Modeling - Base Estimates'!Z:Z,'Modeling - Base Estimates'!A:A,A8))</f>
        <v>2145.3605987951159</v>
      </c>
      <c r="AB8" s="4"/>
      <c r="AC8" s="18">
        <f>1-((((W8*O8*(1-N$2-'Modeling - Base Estimates'!$AA$51))/X8)*X8)/('Modeling - Base Estimates'!X8*'Modeling - Base Estimates'!P8))</f>
        <v>8.621670349274313E-2</v>
      </c>
      <c r="AD8" s="18">
        <f t="shared" si="33"/>
        <v>9.2167034927431307E-3</v>
      </c>
      <c r="AE8" s="18">
        <f>1-((((W8*P8*(1-'Modeling - Base Estimates'!$AE$51))/X8)*X8)/(SUMIFS('Modeling - Base Estimates'!X:X,'Modeling - Base Estimates'!A:A,A8)*'Modeling - Base Estimates'!Q8))</f>
        <v>0.47398834127319067</v>
      </c>
      <c r="AF8" s="18">
        <f t="shared" si="34"/>
        <v>0.39698834127319066</v>
      </c>
      <c r="AG8" s="18">
        <f>$N8*(1-$N$2)+$O8*(1-$N$2-'Modeling - Base Estimates'!$AA$51)+$P8*(1-'Modeling - Base Estimates'!$AE$51)+$Q8*(1-$Q$2)+$R8*(1-$R$2)+$S8*(1-$S$2)+$T8*(1-$T$2)+$U8*(1-$U$2)+$V8*(1-$V$2)</f>
        <v>0.92778242254783294</v>
      </c>
      <c r="AH8" s="18" t="e">
        <f>$O8*(1-$N$2-#REF!)+$P8*(1-#REF!)+$Q8*(1-$Q$2)+$R8*(1-$R$2)+$S8*(1-$S$2)+$T8*(1-$T$2)+$U8*(1-$U$2)+$V8*(1-$V$2)</f>
        <v>#REF!</v>
      </c>
      <c r="AJ8" s="7">
        <f>(SUMIFS('Modeling - Base Estimates'!$X:$X,'Modeling - Base Estimates'!$A:$A,$A8)*SUMIFS('Modeling - Base Estimates'!O:O,'Modeling - Base Estimates'!$A:$A,$A8)*($N$2))</f>
        <v>4905577.9983093422</v>
      </c>
      <c r="AK8" s="7">
        <f>(SUMIFS('Modeling - Base Estimates'!$X:$X,'Modeling - Base Estimates'!$A:$A,$A8)*SUMIFS('Modeling - Base Estimates'!P:P,'Modeling - Base Estimates'!$A:$A,$A8)*($N$2))</f>
        <v>3788159.6767625152</v>
      </c>
      <c r="AL8" s="7">
        <f>(SUMIFS('Modeling - Base Estimates'!$X:$X,'Modeling - Base Estimates'!$A:$A,$A8)*SUMIFS('Modeling - Base Estimates'!Q:Q,'Modeling - Base Estimates'!$A:$A,$A8)*($N$2))</f>
        <v>927905.66286697658</v>
      </c>
      <c r="AM8" s="7">
        <f>(SUMIFS('Modeling - Base Estimates'!$X:$X,'Modeling - Base Estimates'!$A:$A,$A8)*SUMIFS('Modeling - Base Estimates'!R:R,'Modeling - Base Estimates'!$A:$A,$A8)*($N$2))</f>
        <v>7210935.9864463629</v>
      </c>
      <c r="AN8" s="7">
        <f>(SUMIFS('Modeling - Base Estimates'!X:X,'Modeling - Base Estimates'!A:A,$A8)*$R8*($R$2))+(SUMIFS('Modeling - Base Estimates'!X:X,'Modeling - Base Estimates'!A:A,$A8)*$S8*($S$2))+(SUMIFS('Modeling - Base Estimates'!X:X,'Modeling - Base Estimates'!A:A,$A8)*$T8*($T$2))+(SUMIFS('Modeling - Base Estimates'!X:X,'Modeling - Base Estimates'!A:A,$A8)*$U8*($U$2))+(SUMIFS('Modeling - Base Estimates'!X:X,'Modeling - Base Estimates'!A:A,$A8)*$V8*($V$2))</f>
        <v>2308731.1560566095</v>
      </c>
      <c r="AO8" s="7">
        <f>SUM(AJ8:AN8)-(SUMIFS('Modeling - Base Estimates'!X:X,'Modeling - Base Estimates'!A:A,A8)-SUMIFS('Modeling - Base Estimates'!Z:Z,'Modeling - Base Estimates'!A:A,A8))</f>
        <v>0</v>
      </c>
      <c r="AQ8" s="7">
        <f t="shared" si="13"/>
        <v>5011248.2485835105</v>
      </c>
      <c r="AR8" s="7">
        <f>(W8*$O8*($N$2+'Modeling - Base Estimates'!$AA$51))</f>
        <v>10673700.579704188</v>
      </c>
      <c r="AS8" s="7">
        <f>(W8*P8*('Modeling - Base Estimates'!$AE$51))</f>
        <v>599118.83383153763</v>
      </c>
      <c r="AT8" s="7">
        <f t="shared" si="14"/>
        <v>7366265.5746541955</v>
      </c>
      <c r="AU8" s="7">
        <f t="shared" si="15"/>
        <v>2358463.1548466296</v>
      </c>
      <c r="AV8" s="5">
        <f t="shared" si="16"/>
        <v>0</v>
      </c>
      <c r="AX8" s="7">
        <f>SUMIFS('Modeling - Base Estimates'!X:X,'Modeling - Base Estimates'!A:A,A8)</f>
        <v>352550720.71266001</v>
      </c>
      <c r="AY8" s="5">
        <f t="shared" si="17"/>
        <v>4905577.9983093422</v>
      </c>
      <c r="AZ8" s="5">
        <f t="shared" si="18"/>
        <v>3788159.6767625152</v>
      </c>
      <c r="BA8" s="5">
        <f t="shared" si="19"/>
        <v>927905.66286697658</v>
      </c>
      <c r="BB8" s="5">
        <f t="shared" si="20"/>
        <v>7210935.9864463629</v>
      </c>
      <c r="BC8" s="5">
        <f t="shared" si="21"/>
        <v>2308731.1560566095</v>
      </c>
      <c r="BD8" s="5">
        <f t="shared" si="22"/>
        <v>333409410.23221821</v>
      </c>
      <c r="BF8" s="5">
        <f t="shared" si="23"/>
        <v>360144957.90650022</v>
      </c>
      <c r="BG8" s="5">
        <f t="shared" si="24"/>
        <v>5011248.2485835105</v>
      </c>
      <c r="BH8" s="5">
        <f t="shared" si="25"/>
        <v>1264525.3017785659</v>
      </c>
      <c r="BI8" s="5">
        <f t="shared" si="26"/>
        <v>10673700.579704188</v>
      </c>
      <c r="BJ8" s="5">
        <f t="shared" si="27"/>
        <v>599118.83383153763</v>
      </c>
      <c r="BK8" s="5">
        <f t="shared" si="28"/>
        <v>7366265.5746541955</v>
      </c>
      <c r="BL8" s="5">
        <f t="shared" si="29"/>
        <v>2358463.1548466296</v>
      </c>
      <c r="BM8" s="5">
        <f t="shared" si="30"/>
        <v>332871636.21310157</v>
      </c>
      <c r="BO8" s="5">
        <f t="shared" si="31"/>
        <v>-537774.01911664009</v>
      </c>
      <c r="BP8" s="12">
        <f t="shared" si="32"/>
        <v>-1.612953931750405E-3</v>
      </c>
    </row>
    <row r="9" spans="1:68" x14ac:dyDescent="0.25">
      <c r="A9" s="1">
        <v>5</v>
      </c>
      <c r="B9" s="1">
        <v>210005</v>
      </c>
      <c r="C9" s="4">
        <v>464628200</v>
      </c>
      <c r="D9" s="4">
        <v>162379200</v>
      </c>
      <c r="E9" s="4">
        <f>IF(('Modeling - Base Estimates'!F9/SUM('Modeling - Base Estimates'!F9:G9)+$E$63)&gt;1,SUM('Modeling - Base Estimates'!F9:G9),(('Modeling - Base Estimates'!F9/SUM('Modeling - Base Estimates'!F9:G9)+$E$63))*SUM('Modeling - Base Estimates'!F9:G9))</f>
        <v>21578432.241136149</v>
      </c>
      <c r="F9" s="4">
        <f>SUM('Modeling - Base Estimates'!F9:G9)-E9</f>
        <v>27378167.758863851</v>
      </c>
      <c r="G9" s="4">
        <v>7748400</v>
      </c>
      <c r="H9" s="4">
        <v>62118500</v>
      </c>
      <c r="I9" s="4">
        <v>37567300</v>
      </c>
      <c r="J9" s="4">
        <v>37785400</v>
      </c>
      <c r="K9" s="4">
        <v>3671900</v>
      </c>
      <c r="L9" s="4">
        <v>30488500</v>
      </c>
      <c r="M9" s="4">
        <f t="shared" si="0"/>
        <v>73912400</v>
      </c>
      <c r="N9" s="12">
        <f t="shared" si="1"/>
        <v>0.34948201594307016</v>
      </c>
      <c r="O9" s="12">
        <f t="shared" si="2"/>
        <v>4.6442364542522707E-2</v>
      </c>
      <c r="P9" s="12">
        <f t="shared" si="3"/>
        <v>5.8924894698306841E-2</v>
      </c>
      <c r="Q9" s="12">
        <f t="shared" si="10"/>
        <v>0.15037163047787458</v>
      </c>
      <c r="R9" s="12">
        <f t="shared" si="11"/>
        <v>8.0854541330035501E-2</v>
      </c>
      <c r="S9" s="12">
        <f t="shared" si="4"/>
        <v>8.1323948912270072E-2</v>
      </c>
      <c r="T9" s="12">
        <f t="shared" si="4"/>
        <v>7.9028780431321215E-3</v>
      </c>
      <c r="U9" s="12">
        <f t="shared" si="4"/>
        <v>6.561913375038364E-2</v>
      </c>
      <c r="V9" s="12">
        <f t="shared" si="12"/>
        <v>0.15907859230240437</v>
      </c>
      <c r="W9" s="4">
        <f>SUMIFS('Modeling - Base Estimates'!AK:AK,'Modeling - Base Estimates'!A:A,A9)</f>
        <v>257208789.33883423</v>
      </c>
      <c r="X9" s="4">
        <f>(W9*N9*(1-N$2))+(W9*O9*(1-'Modeling - Base Estimates'!$AA$51-N$2))+(W9*P9*(1-'Modeling - Base Estimates'!$AE$51))+(W9*Q9*(1-Q$2))+(W9*R9*(1-R$2))+(W9*S9*(1-S$2))+(W9*T9*(1-T$2))+(W9*U9*(1-U$2))+(W9*V9*(1-V$2))</f>
        <v>241963123.51884326</v>
      </c>
      <c r="Y9" s="5">
        <f>X9*N9*SUMIFS('Modeling - Base Estimates'!AN:AN,'Modeling - Base Estimates'!A:A,A9)</f>
        <v>656617.94444494951</v>
      </c>
      <c r="Z9" s="4">
        <f t="shared" si="5"/>
        <v>241306505.57439831</v>
      </c>
      <c r="AA9" s="4">
        <f>(((W9*N9*(1-N$2))/X9)*X9)-Y9-(((SUMIFS('Modeling - Base Estimates'!X:X,'Modeling - Base Estimates'!A:A,A9)*N9*(1-N$2))/SUMIFS('Modeling - Base Estimates'!Z:Z,'Modeling - Base Estimates'!A:A,A9))*SUMIFS('Modeling - Base Estimates'!Z:Z,'Modeling - Base Estimates'!A:A,A9))</f>
        <v>666.35627110302448</v>
      </c>
      <c r="AB9" s="4"/>
      <c r="AC9" s="18">
        <f>1-((((W9*O9*(1-N$2-'Modeling - Base Estimates'!$AA$51))/X9)*X9)/('Modeling - Base Estimates'!X9*'Modeling - Base Estimates'!P9))</f>
        <v>-1.166258313344537E-2</v>
      </c>
      <c r="AD9" s="18">
        <f t="shared" si="33"/>
        <v>-8.8662583133445369E-2</v>
      </c>
      <c r="AE9" s="18">
        <f>1-((((W9*P9*(1-'Modeling - Base Estimates'!$AE$51))/X9)*X9)/(SUMIFS('Modeling - Base Estimates'!X:X,'Modeling - Base Estimates'!A:A,A9)*'Modeling - Base Estimates'!Q9))</f>
        <v>0.20164009817465556</v>
      </c>
      <c r="AF9" s="18">
        <f t="shared" si="34"/>
        <v>0.12464009817465556</v>
      </c>
      <c r="AG9" s="18">
        <f>$N9*(1-$N$2)+$O9*(1-$N$2-'Modeling - Base Estimates'!$AA$51)+$P9*(1-'Modeling - Base Estimates'!$AE$51)+$Q9*(1-$Q$2)+$R9*(1-$R$2)+$S9*(1-$S$2)+$T9*(1-$T$2)+$U9*(1-$U$2)+$V9*(1-$V$2)</f>
        <v>0.94072649749186033</v>
      </c>
      <c r="AH9" s="18" t="e">
        <f>$O9*(1-$N$2-#REF!)+$P9*(1-#REF!)+$Q9*(1-$Q$2)+$R9*(1-$R$2)+$S9*(1-$S$2)+$T9*(1-$T$2)+$U9*(1-$U$2)+$V9*(1-$V$2)</f>
        <v>#REF!</v>
      </c>
      <c r="AJ9" s="7">
        <f>(SUMIFS('Modeling - Base Estimates'!$X:$X,'Modeling - Base Estimates'!$A:$A,$A9)*SUMIFS('Modeling - Base Estimates'!O:O,'Modeling - Base Estimates'!$A:$A,$A9)*($N$2))</f>
        <v>6866685.1238261079</v>
      </c>
      <c r="AK9" s="7">
        <f>(SUMIFS('Modeling - Base Estimates'!$X:$X,'Modeling - Base Estimates'!$A:$A,$A9)*SUMIFS('Modeling - Base Estimates'!P:P,'Modeling - Base Estimates'!$A:$A,$A9)*($N$2))</f>
        <v>734741.85911831295</v>
      </c>
      <c r="AL9" s="7">
        <f>(SUMIFS('Modeling - Base Estimates'!$X:$X,'Modeling - Base Estimates'!$A:$A,$A9)*SUMIFS('Modeling - Base Estimates'!Q:Q,'Modeling - Base Estimates'!$A:$A,$A9)*($N$2))</f>
        <v>1335532.8862499685</v>
      </c>
      <c r="AM9" s="7">
        <f>(SUMIFS('Modeling - Base Estimates'!$X:$X,'Modeling - Base Estimates'!$A:$A,$A9)*SUMIFS('Modeling - Base Estimates'!R:R,'Modeling - Base Estimates'!$A:$A,$A9)*($N$2))</f>
        <v>2954528.6765660029</v>
      </c>
      <c r="AN9" s="7">
        <f>(SUMIFS('Modeling - Base Estimates'!X:X,'Modeling - Base Estimates'!A:A,$A9)*$R9*($R$2))+(SUMIFS('Modeling - Base Estimates'!X:X,'Modeling - Base Estimates'!A:A,$A9)*$S9*($S$2))+(SUMIFS('Modeling - Base Estimates'!X:X,'Modeling - Base Estimates'!A:A,$A9)*$T9*($T$2))+(SUMIFS('Modeling - Base Estimates'!X:X,'Modeling - Base Estimates'!A:A,$A9)*$U9*($U$2))+(SUMIFS('Modeling - Base Estimates'!X:X,'Modeling - Base Estimates'!A:A,$A9)*$V9*($V$2))</f>
        <v>1731421.898078707</v>
      </c>
      <c r="AO9" s="7">
        <f>SUM(AJ9:AN9)-(SUMIFS('Modeling - Base Estimates'!X:X,'Modeling - Base Estimates'!A:A,A9)-SUMIFS('Modeling - Base Estimates'!Z:Z,'Modeling - Base Estimates'!A:A,A9))</f>
        <v>2.6077032089233398E-8</v>
      </c>
      <c r="AQ9" s="7">
        <f t="shared" si="13"/>
        <v>6921518.1586637413</v>
      </c>
      <c r="AR9" s="7">
        <f>(W9*$O9*($N$2+'Modeling - Base Estimates'!$AA$51))</f>
        <v>2291996.7329254253</v>
      </c>
      <c r="AS9" s="7">
        <f>(W9*P9*('Modeling - Base Estimates'!$AE$51))</f>
        <v>1308781.2954380559</v>
      </c>
      <c r="AT9" s="7">
        <f t="shared" si="14"/>
        <v>2978121.6870112917</v>
      </c>
      <c r="AU9" s="7">
        <f t="shared" si="15"/>
        <v>1745247.9459524578</v>
      </c>
      <c r="AV9" s="5">
        <f t="shared" si="16"/>
        <v>0</v>
      </c>
      <c r="AX9" s="7">
        <f>SUMIFS('Modeling - Base Estimates'!X:X,'Modeling - Base Estimates'!A:A,A9)</f>
        <v>255171152.77080637</v>
      </c>
      <c r="AY9" s="5">
        <f t="shared" si="17"/>
        <v>6866685.1238261079</v>
      </c>
      <c r="AZ9" s="5">
        <f t="shared" si="18"/>
        <v>734741.85911831295</v>
      </c>
      <c r="BA9" s="5">
        <f t="shared" si="19"/>
        <v>1335532.8862499685</v>
      </c>
      <c r="BB9" s="5">
        <f t="shared" si="20"/>
        <v>2954528.6765660029</v>
      </c>
      <c r="BC9" s="5">
        <f t="shared" si="21"/>
        <v>1731421.898078707</v>
      </c>
      <c r="BD9" s="5">
        <f t="shared" si="22"/>
        <v>241548242.32696727</v>
      </c>
      <c r="BF9" s="5">
        <f t="shared" si="23"/>
        <v>257208789.33883423</v>
      </c>
      <c r="BG9" s="5">
        <f t="shared" si="24"/>
        <v>6921518.1586637413</v>
      </c>
      <c r="BH9" s="5">
        <f t="shared" si="25"/>
        <v>656617.94444494951</v>
      </c>
      <c r="BI9" s="5">
        <f t="shared" si="26"/>
        <v>2291996.7329254253</v>
      </c>
      <c r="BJ9" s="5">
        <f t="shared" si="27"/>
        <v>1308781.2954380559</v>
      </c>
      <c r="BK9" s="5">
        <f t="shared" si="28"/>
        <v>2978121.6870112917</v>
      </c>
      <c r="BL9" s="5">
        <f t="shared" si="29"/>
        <v>1745247.9459524578</v>
      </c>
      <c r="BM9" s="5">
        <f t="shared" si="30"/>
        <v>241306505.57439831</v>
      </c>
      <c r="BO9" s="5">
        <f t="shared" si="31"/>
        <v>-241736.75256896019</v>
      </c>
      <c r="BP9" s="12">
        <f t="shared" si="32"/>
        <v>-1.0007804248135979E-3</v>
      </c>
    </row>
    <row r="10" spans="1:68" x14ac:dyDescent="0.25">
      <c r="A10" s="1">
        <v>6</v>
      </c>
      <c r="B10" s="1">
        <v>210006</v>
      </c>
      <c r="C10" s="4">
        <v>38346876.100000001</v>
      </c>
      <c r="D10" s="4">
        <v>8802748.4000000004</v>
      </c>
      <c r="E10" s="4">
        <f>IF(('Modeling - Base Estimates'!F10/SUM('Modeling - Base Estimates'!F10:G10)+$E$63)&gt;1,SUM('Modeling - Base Estimates'!F10:G10),(('Modeling - Base Estimates'!F10/SUM('Modeling - Base Estimates'!F10:G10)+$E$63))*SUM('Modeling - Base Estimates'!F10:G10))</f>
        <v>2106036.0541312643</v>
      </c>
      <c r="F10" s="4">
        <f>SUM('Modeling - Base Estimates'!F10:G10)-E10</f>
        <v>2186817.1458687349</v>
      </c>
      <c r="G10" s="4">
        <v>517795.89999999997</v>
      </c>
      <c r="H10" s="4">
        <v>9066069.6000000015</v>
      </c>
      <c r="I10" s="4">
        <v>0</v>
      </c>
      <c r="J10" s="4">
        <v>5731495.5</v>
      </c>
      <c r="K10" s="4">
        <v>151462.6</v>
      </c>
      <c r="L10" s="4">
        <v>2527000</v>
      </c>
      <c r="M10" s="4">
        <f t="shared" si="0"/>
        <v>7257450.8999999985</v>
      </c>
      <c r="N10" s="12">
        <f t="shared" si="1"/>
        <v>0.2295558151084959</v>
      </c>
      <c r="O10" s="12">
        <f t="shared" si="2"/>
        <v>5.4920668078390467E-2</v>
      </c>
      <c r="P10" s="12">
        <f t="shared" si="3"/>
        <v>5.7027256670556664E-2</v>
      </c>
      <c r="Q10" s="12">
        <f t="shared" si="10"/>
        <v>0.24992558650690197</v>
      </c>
      <c r="R10" s="12">
        <f t="shared" si="11"/>
        <v>0</v>
      </c>
      <c r="S10" s="12">
        <f t="shared" si="4"/>
        <v>0.14946446967553637</v>
      </c>
      <c r="T10" s="12">
        <f t="shared" si="4"/>
        <v>3.9498028367426783E-3</v>
      </c>
      <c r="U10" s="12">
        <f t="shared" si="4"/>
        <v>6.5898457892897305E-2</v>
      </c>
      <c r="V10" s="12">
        <f t="shared" si="12"/>
        <v>0.18925794323047865</v>
      </c>
      <c r="W10" s="4">
        <f>SUMIFS('Modeling - Base Estimates'!AK:AK,'Modeling - Base Estimates'!A:A,A10)</f>
        <v>16593177.879711792</v>
      </c>
      <c r="X10" s="4">
        <f>(W10*N10*(1-N$2))+(W10*O10*(1-'Modeling - Base Estimates'!$AA$51-N$2))+(W10*P10*(1-'Modeling - Base Estimates'!$AE$51))+(W10*Q10*(1-Q$2))+(W10*R10*(1-R$2))+(W10*S10*(1-S$2))+(W10*T10*(1-T$2))+(W10*U10*(1-U$2))+(W10*V10*(1-V$2))</f>
        <v>15610267.094406893</v>
      </c>
      <c r="Y10" s="5">
        <f>X10*N10*SUMIFS('Modeling - Base Estimates'!AN:AN,'Modeling - Base Estimates'!A:A,A10)</f>
        <v>27890.197623691656</v>
      </c>
      <c r="Z10" s="4">
        <f t="shared" si="5"/>
        <v>15582376.896783201</v>
      </c>
      <c r="AA10" s="4">
        <f>(((W10*N10*(1-N$2))/X10)*X10)-Y10-(((SUMIFS('Modeling - Base Estimates'!X:X,'Modeling - Base Estimates'!A:A,A10)*N10*(1-N$2))/SUMIFS('Modeling - Base Estimates'!Z:Z,'Modeling - Base Estimates'!A:A,A10))*SUMIFS('Modeling - Base Estimates'!Z:Z,'Modeling - Base Estimates'!A:A,A10))</f>
        <v>30.070337959099561</v>
      </c>
      <c r="AB10" s="4"/>
      <c r="AC10" s="18">
        <f>1-((((W10*O10*(1-N$2-'Modeling - Base Estimates'!$AA$51))/X10)*X10)/('Modeling - Base Estimates'!X10*'Modeling - Base Estimates'!P10))</f>
        <v>1.2580451009099103E-2</v>
      </c>
      <c r="AD10" s="18">
        <f t="shared" si="33"/>
        <v>-6.4419548990900896E-2</v>
      </c>
      <c r="AE10" s="18">
        <f>1-((((W10*P10*(1-'Modeling - Base Estimates'!$AE$51))/X10)*X10)/(SUMIFS('Modeling - Base Estimates'!X:X,'Modeling - Base Estimates'!A:A,A10)*'Modeling - Base Estimates'!Q10))</f>
        <v>0.21188486982631616</v>
      </c>
      <c r="AF10" s="18">
        <f t="shared" si="34"/>
        <v>0.13488486982631614</v>
      </c>
      <c r="AG10" s="18">
        <f>$N10*(1-$N$2)+$O10*(1-$N$2-'Modeling - Base Estimates'!$AA$51)+$P10*(1-'Modeling - Base Estimates'!$AE$51)+$Q10*(1-$Q$2)+$R10*(1-$R$2)+$S10*(1-$S$2)+$T10*(1-$T$2)+$U10*(1-$U$2)+$V10*(1-$V$2)</f>
        <v>0.9407641626920249</v>
      </c>
      <c r="AH10" s="18" t="e">
        <f>$O10*(1-$N$2-#REF!)+$P10*(1-#REF!)+$Q10*(1-$Q$2)+$R10*(1-$R$2)+$S10*(1-$S$2)+$T10*(1-$T$2)+$U10*(1-$U$2)+$V10*(1-$V$2)</f>
        <v>#REF!</v>
      </c>
      <c r="AJ10" s="7">
        <f>(SUMIFS('Modeling - Base Estimates'!$X:$X,'Modeling - Base Estimates'!$A:$A,$A10)*SUMIFS('Modeling - Base Estimates'!O:O,'Modeling - Base Estimates'!$A:$A,$A10)*($N$2))</f>
        <v>290968.44666653126</v>
      </c>
      <c r="AK10" s="7">
        <f>(SUMIFS('Modeling - Base Estimates'!$X:$X,'Modeling - Base Estimates'!$A:$A,$A10)*SUMIFS('Modeling - Base Estimates'!P:P,'Modeling - Base Estimates'!$A:$A,$A10)*($N$2))</f>
        <v>57429.36330534381</v>
      </c>
      <c r="AL10" s="7">
        <f>(SUMIFS('Modeling - Base Estimates'!$X:$X,'Modeling - Base Estimates'!$A:$A,$A10)*SUMIFS('Modeling - Base Estimates'!Q:Q,'Modeling - Base Estimates'!$A:$A,$A10)*($N$2))</f>
        <v>84467.7772935455</v>
      </c>
      <c r="AM10" s="7">
        <f>(SUMIFS('Modeling - Base Estimates'!$X:$X,'Modeling - Base Estimates'!$A:$A,$A10)*SUMIFS('Modeling - Base Estimates'!R:R,'Modeling - Base Estimates'!$A:$A,$A10)*($N$2))</f>
        <v>316787.7043487872</v>
      </c>
      <c r="AN10" s="7">
        <f>(SUMIFS('Modeling - Base Estimates'!X:X,'Modeling - Base Estimates'!A:A,$A10)*$R10*($R$2))+(SUMIFS('Modeling - Base Estimates'!X:X,'Modeling - Base Estimates'!A:A,$A10)*$S10*($S$2))+(SUMIFS('Modeling - Base Estimates'!X:X,'Modeling - Base Estimates'!A:A,$A10)*$T10*($T$2))+(SUMIFS('Modeling - Base Estimates'!X:X,'Modeling - Base Estimates'!A:A,$A10)*$U10*($U$2))+(SUMIFS('Modeling - Base Estimates'!X:X,'Modeling - Base Estimates'!A:A,$A10)*$V10*($V$2))</f>
        <v>112817.31513941943</v>
      </c>
      <c r="AO10" s="7">
        <f>SUM(AJ10:AN10)-(SUMIFS('Modeling - Base Estimates'!X:X,'Modeling - Base Estimates'!A:A,A10)-SUMIFS('Modeling - Base Estimates'!Z:Z,'Modeling - Base Estimates'!A:A,A10))</f>
        <v>-1.6298145055770874E-9</v>
      </c>
      <c r="AQ10" s="7">
        <f t="shared" si="13"/>
        <v>293297.65645314782</v>
      </c>
      <c r="AR10" s="7">
        <f>(W10*$O10*($N$2+'Modeling - Base Estimates'!$AA$51))</f>
        <v>174855.47945322315</v>
      </c>
      <c r="AS10" s="7">
        <f>(W10*P10*('Modeling - Base Estimates'!$AE$51))</f>
        <v>81713.630846211367</v>
      </c>
      <c r="AT10" s="7">
        <f t="shared" si="14"/>
        <v>319323.59794722474</v>
      </c>
      <c r="AU10" s="7">
        <f t="shared" si="15"/>
        <v>113720.42060509106</v>
      </c>
      <c r="AV10" s="5">
        <f t="shared" si="16"/>
        <v>0</v>
      </c>
      <c r="AX10" s="7">
        <f>SUMIFS('Modeling - Base Estimates'!X:X,'Modeling - Base Estimates'!A:A,A10)</f>
        <v>16461403.924284134</v>
      </c>
      <c r="AY10" s="5">
        <f t="shared" si="17"/>
        <v>290968.44666653126</v>
      </c>
      <c r="AZ10" s="5">
        <f t="shared" si="18"/>
        <v>57429.36330534381</v>
      </c>
      <c r="BA10" s="5">
        <f t="shared" si="19"/>
        <v>84467.7772935455</v>
      </c>
      <c r="BB10" s="5">
        <f t="shared" si="20"/>
        <v>316787.7043487872</v>
      </c>
      <c r="BC10" s="5">
        <f t="shared" si="21"/>
        <v>112817.31513941943</v>
      </c>
      <c r="BD10" s="5">
        <f t="shared" si="22"/>
        <v>15598933.317530507</v>
      </c>
      <c r="BF10" s="5">
        <f t="shared" si="23"/>
        <v>16593177.879711792</v>
      </c>
      <c r="BG10" s="5">
        <f t="shared" si="24"/>
        <v>293297.65645314782</v>
      </c>
      <c r="BH10" s="5">
        <f t="shared" si="25"/>
        <v>27890.197623691656</v>
      </c>
      <c r="BI10" s="5">
        <f t="shared" si="26"/>
        <v>174855.47945322315</v>
      </c>
      <c r="BJ10" s="5">
        <f t="shared" si="27"/>
        <v>81713.630846211367</v>
      </c>
      <c r="BK10" s="5">
        <f t="shared" si="28"/>
        <v>319323.59794722474</v>
      </c>
      <c r="BL10" s="5">
        <f t="shared" si="29"/>
        <v>113720.42060509106</v>
      </c>
      <c r="BM10" s="5">
        <f t="shared" si="30"/>
        <v>15582376.896783203</v>
      </c>
      <c r="BO10" s="5">
        <f t="shared" si="31"/>
        <v>-16556.420747304335</v>
      </c>
      <c r="BP10" s="12">
        <f t="shared" si="32"/>
        <v>-1.061381596438891E-3</v>
      </c>
    </row>
    <row r="11" spans="1:68" x14ac:dyDescent="0.25">
      <c r="A11" s="1">
        <v>8</v>
      </c>
      <c r="B11" s="1">
        <v>210008</v>
      </c>
      <c r="C11" s="7">
        <v>717488099.89999998</v>
      </c>
      <c r="D11" s="7">
        <f>180105.3*1000</f>
        <v>180105300</v>
      </c>
      <c r="E11" s="4">
        <f>IF(('Modeling - Base Estimates'!F11/SUM('Modeling - Base Estimates'!F11:G11)+$E$63)&gt;1,SUM('Modeling - Base Estimates'!F11:G11),(('Modeling - Base Estimates'!F11/SUM('Modeling - Base Estimates'!F11:G11)+$E$63))*SUM('Modeling - Base Estimates'!F11:G11))</f>
        <v>45607943.583028205</v>
      </c>
      <c r="F11" s="7">
        <f>SUM('Modeling - Base Estimates'!F11:G11)-E11</f>
        <v>43159356.416971795</v>
      </c>
      <c r="G11" s="7">
        <v>13192500.200000001</v>
      </c>
      <c r="H11" s="7">
        <v>130626343.09999999</v>
      </c>
      <c r="I11" s="7">
        <v>43889363.799999997</v>
      </c>
      <c r="J11" s="7">
        <v>137689363.90000001</v>
      </c>
      <c r="K11" s="7">
        <v>-3066440</v>
      </c>
      <c r="L11" s="7">
        <v>33119277</v>
      </c>
      <c r="M11" s="7">
        <f t="shared" si="0"/>
        <v>93165091.899999976</v>
      </c>
      <c r="N11" s="12">
        <f t="shared" si="1"/>
        <v>0.25102200304799788</v>
      </c>
      <c r="O11" s="12">
        <f t="shared" si="2"/>
        <v>6.3566132440921075E-2</v>
      </c>
      <c r="P11" s="12">
        <f t="shared" si="3"/>
        <v>6.0153410799408571E-2</v>
      </c>
      <c r="Q11" s="12">
        <f t="shared" si="10"/>
        <v>0.20044770543238941</v>
      </c>
      <c r="R11" s="12">
        <f t="shared" si="11"/>
        <v>6.1170859567032658E-2</v>
      </c>
      <c r="S11" s="12">
        <f t="shared" si="4"/>
        <v>0.19190473531085808</v>
      </c>
      <c r="T11" s="12">
        <f t="shared" si="4"/>
        <v>-4.2738548561674899E-3</v>
      </c>
      <c r="U11" s="12">
        <f t="shared" si="4"/>
        <v>4.6160036667668783E-2</v>
      </c>
      <c r="V11" s="12">
        <f t="shared" si="12"/>
        <v>0.129848971589891</v>
      </c>
      <c r="W11" s="4">
        <f>SUMIFS('Modeling - Base Estimates'!AK:AK,'Modeling - Base Estimates'!A:A,A11)</f>
        <v>398012472.04715806</v>
      </c>
      <c r="X11" s="4">
        <f>(W11*N11*(1-N$2))+(W11*O11*(1-'Modeling - Base Estimates'!$AA$51-N$2))+(W11*P11*(1-'Modeling - Base Estimates'!$AE$51))+(W11*Q11*(1-Q$2))+(W11*R11*(1-R$2))+(W11*S11*(1-S$2))+(W11*T11*(1-T$2))+(W11*U11*(1-U$2))+(W11*V11*(1-V$2))</f>
        <v>374179397.22035742</v>
      </c>
      <c r="Y11" s="5">
        <f>X11*N11*SUMIFS('Modeling - Base Estimates'!AN:AN,'Modeling - Base Estimates'!A:A,A11)</f>
        <v>869546.47893059556</v>
      </c>
      <c r="Z11" s="4">
        <f t="shared" si="5"/>
        <v>373309850.74142683</v>
      </c>
      <c r="AA11" s="4">
        <f>(((W11*N11*(1-N$2))/X11)*X11)-Y11-(((SUMIFS('Modeling - Base Estimates'!X:X,'Modeling - Base Estimates'!A:A,A11)*N11*(1-N$2))/SUMIFS('Modeling - Base Estimates'!Z:Z,'Modeling - Base Estimates'!A:A,A11))*SUMIFS('Modeling - Base Estimates'!Z:Z,'Modeling - Base Estimates'!A:A,A11))</f>
        <v>1036.8104230165482</v>
      </c>
      <c r="AB11" s="4"/>
      <c r="AC11" s="18">
        <f>1-((((W11*O11*(1-N$2-'Modeling - Base Estimates'!$AA$51))/X11)*X11)/('Modeling - Base Estimates'!X11*'Modeling - Base Estimates'!P11))</f>
        <v>2.0470227652427564E-2</v>
      </c>
      <c r="AD11" s="18">
        <f t="shared" si="33"/>
        <v>-5.6529772347572435E-2</v>
      </c>
      <c r="AE11" s="18">
        <f>1-((((W11*P11*(1-'Modeling - Base Estimates'!$AE$51))/X11)*X11)/(SUMIFS('Modeling - Base Estimates'!X:X,'Modeling - Base Estimates'!A:A,A11)*'Modeling - Base Estimates'!Q11))</f>
        <v>0.216087885402794</v>
      </c>
      <c r="AF11" s="18">
        <f t="shared" si="34"/>
        <v>0.13908788540279399</v>
      </c>
      <c r="AG11" s="18">
        <f>$N11*(1-$N$2)+$O11*(1-$N$2-'Modeling - Base Estimates'!$AA$51)+$P11*(1-'Modeling - Base Estimates'!$AE$51)+$Q11*(1-$Q$2)+$R11*(1-$R$2)+$S11*(1-$S$2)+$T11*(1-$T$2)+$U11*(1-$U$2)+$V11*(1-$V$2)</f>
        <v>0.94011977889985121</v>
      </c>
      <c r="AH11" s="18" t="e">
        <f>$O11*(1-$N$2-#REF!)+$P11*(1-#REF!)+$Q11*(1-$Q$2)+$R11*(1-$R$2)+$S11*(1-$S$2)+$T11*(1-$T$2)+$U11*(1-$U$2)+$V11*(1-$V$2)</f>
        <v>#REF!</v>
      </c>
      <c r="AJ11" s="7">
        <f>(SUMIFS('Modeling - Base Estimates'!$X:$X,'Modeling - Base Estimates'!$A:$A,$A11)*SUMIFS('Modeling - Base Estimates'!O:O,'Modeling - Base Estimates'!$A:$A,$A11)*($N$2))</f>
        <v>7620434.1654740004</v>
      </c>
      <c r="AK11" s="7">
        <f>(SUMIFS('Modeling - Base Estimates'!$X:$X,'Modeling - Base Estimates'!$A:$A,$A11)*SUMIFS('Modeling - Base Estimates'!P:P,'Modeling - Base Estimates'!$A:$A,$A11)*($N$2))</f>
        <v>1607219.4194314892</v>
      </c>
      <c r="AL11" s="7">
        <f>(SUMIFS('Modeling - Base Estimates'!$X:$X,'Modeling - Base Estimates'!$A:$A,$A11)*SUMIFS('Modeling - Base Estimates'!Q:Q,'Modeling - Base Estimates'!$A:$A,$A11)*($N$2))</f>
        <v>2148613.2278969362</v>
      </c>
      <c r="AM11" s="7">
        <f>(SUMIFS('Modeling - Base Estimates'!$X:$X,'Modeling - Base Estimates'!$A:$A,$A11)*SUMIFS('Modeling - Base Estimates'!R:R,'Modeling - Base Estimates'!$A:$A,$A11)*($N$2))</f>
        <v>6085118.1343484698</v>
      </c>
      <c r="AN11" s="7">
        <f>(SUMIFS('Modeling - Base Estimates'!X:X,'Modeling - Base Estimates'!A:A,$A11)*$R11*($R$2))+(SUMIFS('Modeling - Base Estimates'!X:X,'Modeling - Base Estimates'!A:A,$A11)*$S11*($S$2))+(SUMIFS('Modeling - Base Estimates'!X:X,'Modeling - Base Estimates'!A:A,$A11)*$T11*($T$2))+(SUMIFS('Modeling - Base Estimates'!X:X,'Modeling - Base Estimates'!A:A,$A11)*$U11*($U$2))+(SUMIFS('Modeling - Base Estimates'!X:X,'Modeling - Base Estimates'!A:A,$A11)*$V11*($V$2))</f>
        <v>3045990.9472664027</v>
      </c>
      <c r="AO11" s="7">
        <f>SUM(AJ11:AN11)-(SUMIFS('Modeling - Base Estimates'!X:X,'Modeling - Base Estimates'!A:A,A11)-SUMIFS('Modeling - Base Estimates'!Z:Z,'Modeling - Base Estimates'!A:A,A11))</f>
        <v>0</v>
      </c>
      <c r="AQ11" s="7">
        <f t="shared" si="13"/>
        <v>7693061.3737949412</v>
      </c>
      <c r="AR11" s="7">
        <f>(W11*$O11*($N$2+'Modeling - Base Estimates'!$AA$51))</f>
        <v>4854408.679751372</v>
      </c>
      <c r="AS11" s="7">
        <f>(W11*P11*('Modeling - Base Estimates'!$AE$51))</f>
        <v>2067470.8650912673</v>
      </c>
      <c r="AT11" s="7">
        <f t="shared" si="14"/>
        <v>6143112.8801600914</v>
      </c>
      <c r="AU11" s="7">
        <f t="shared" si="15"/>
        <v>3075021.0280028936</v>
      </c>
      <c r="AV11" s="5">
        <f t="shared" si="16"/>
        <v>-7.4505805969238281E-8</v>
      </c>
      <c r="AX11" s="7">
        <f>SUMIFS('Modeling - Base Estimates'!X:X,'Modeling - Base Estimates'!A:A,A11)</f>
        <v>394254990.68607509</v>
      </c>
      <c r="AY11" s="5">
        <f t="shared" si="17"/>
        <v>7620434.1654740004</v>
      </c>
      <c r="AZ11" s="5">
        <f t="shared" si="18"/>
        <v>1607219.4194314892</v>
      </c>
      <c r="BA11" s="5">
        <f t="shared" si="19"/>
        <v>2148613.2278969362</v>
      </c>
      <c r="BB11" s="5">
        <f t="shared" si="20"/>
        <v>6085118.1343484698</v>
      </c>
      <c r="BC11" s="5">
        <f t="shared" si="21"/>
        <v>3045990.9472664027</v>
      </c>
      <c r="BD11" s="5">
        <f t="shared" si="22"/>
        <v>373747614.79165781</v>
      </c>
      <c r="BF11" s="5">
        <f t="shared" si="23"/>
        <v>398012472.04715806</v>
      </c>
      <c r="BG11" s="5">
        <f t="shared" si="24"/>
        <v>7693061.3737949412</v>
      </c>
      <c r="BH11" s="5">
        <f t="shared" si="25"/>
        <v>869546.47893059556</v>
      </c>
      <c r="BI11" s="5">
        <f t="shared" si="26"/>
        <v>4854408.679751372</v>
      </c>
      <c r="BJ11" s="5">
        <f t="shared" si="27"/>
        <v>2067470.8650912673</v>
      </c>
      <c r="BK11" s="5">
        <f t="shared" si="28"/>
        <v>6143112.8801600914</v>
      </c>
      <c r="BL11" s="5">
        <f t="shared" si="29"/>
        <v>3075021.0280028936</v>
      </c>
      <c r="BM11" s="5">
        <f t="shared" si="30"/>
        <v>373309850.74142689</v>
      </c>
      <c r="BO11" s="5">
        <f t="shared" si="31"/>
        <v>-437764.05023092031</v>
      </c>
      <c r="BP11" s="12">
        <f t="shared" si="32"/>
        <v>-1.1712825257090881E-3</v>
      </c>
    </row>
    <row r="12" spans="1:68" x14ac:dyDescent="0.25">
      <c r="A12" s="1">
        <v>9</v>
      </c>
      <c r="B12" s="1">
        <v>210009</v>
      </c>
      <c r="C12" s="4">
        <v>3311615589.4000001</v>
      </c>
      <c r="D12" s="4">
        <v>909302467.30000007</v>
      </c>
      <c r="E12" s="4">
        <f>IF(('Modeling - Base Estimates'!F12/SUM('Modeling - Base Estimates'!F12:G12)+$E$63)&gt;1,SUM('Modeling - Base Estimates'!F12:G12),(('Modeling - Base Estimates'!F12/SUM('Modeling - Base Estimates'!F12:G12)+$E$63))*SUM('Modeling - Base Estimates'!F12:G12))</f>
        <v>46476279.084554717</v>
      </c>
      <c r="F12" s="4">
        <f>SUM('Modeling - Base Estimates'!F12:G12)-E12</f>
        <v>29102195.615445286</v>
      </c>
      <c r="G12" s="4">
        <v>183425210.09999999</v>
      </c>
      <c r="H12" s="4">
        <v>483234508</v>
      </c>
      <c r="I12" s="4">
        <v>371266764.80000001</v>
      </c>
      <c r="J12" s="4">
        <v>314601087.69999999</v>
      </c>
      <c r="K12" s="4">
        <v>13732401.9</v>
      </c>
      <c r="L12" s="4">
        <v>90366000</v>
      </c>
      <c r="M12" s="4">
        <f t="shared" si="0"/>
        <v>870108674.9000001</v>
      </c>
      <c r="N12" s="12">
        <f t="shared" si="1"/>
        <v>0.27457971577695944</v>
      </c>
      <c r="O12" s="12">
        <f t="shared" si="2"/>
        <v>1.4034321867948238E-2</v>
      </c>
      <c r="P12" s="12">
        <f t="shared" si="3"/>
        <v>8.7879147895659083E-3</v>
      </c>
      <c r="Q12" s="12">
        <f t="shared" si="10"/>
        <v>0.20130951195962504</v>
      </c>
      <c r="R12" s="12">
        <f t="shared" si="11"/>
        <v>0.11211046535363915</v>
      </c>
      <c r="S12" s="12">
        <f t="shared" si="4"/>
        <v>9.4999277303498733E-2</v>
      </c>
      <c r="T12" s="12">
        <f t="shared" si="4"/>
        <v>4.1467379076108417E-3</v>
      </c>
      <c r="U12" s="12">
        <f t="shared" si="4"/>
        <v>2.7287587451046078E-2</v>
      </c>
      <c r="V12" s="12">
        <f t="shared" si="12"/>
        <v>0.26274446759010661</v>
      </c>
      <c r="W12" s="4">
        <f>SUMIFS('Modeling - Base Estimates'!AK:AK,'Modeling - Base Estimates'!A:A,A12)</f>
        <v>1856534933.3568177</v>
      </c>
      <c r="X12" s="4">
        <f>(W12*N12*(1-N$2))+(W12*O12*(1-'Modeling - Base Estimates'!$AA$51-N$2))+(W12*P12*(1-'Modeling - Base Estimates'!$AE$51))+(W12*Q12*(1-Q$2))+(W12*R12*(1-R$2))+(W12*S12*(1-S$2))+(W12*T12*(1-T$2))+(W12*U12*(1-U$2))+(W12*V12*(1-V$2))</f>
        <v>1763976558.6612024</v>
      </c>
      <c r="Y12" s="5">
        <f>X12*N12*SUMIFS('Modeling - Base Estimates'!AN:AN,'Modeling - Base Estimates'!A:A,A12)</f>
        <v>1003538.3514447706</v>
      </c>
      <c r="Z12" s="4">
        <f t="shared" si="5"/>
        <v>1762973020.3097577</v>
      </c>
      <c r="AA12" s="4">
        <f>(((W12*N12*(1-N$2))/X12)*X12)-Y12-(((SUMIFS('Modeling - Base Estimates'!X:X,'Modeling - Base Estimates'!A:A,A12)*N12*(1-N$2))/SUMIFS('Modeling - Base Estimates'!Z:Z,'Modeling - Base Estimates'!A:A,A12))*SUMIFS('Modeling - Base Estimates'!Z:Z,'Modeling - Base Estimates'!A:A,A12))</f>
        <v>218.40065181255341</v>
      </c>
      <c r="AB12" s="4"/>
      <c r="AC12" s="18">
        <f>1-((((W12*O12*(1-N$2-'Modeling - Base Estimates'!$AA$51))/X12)*X12)/('Modeling - Base Estimates'!X12*'Modeling - Base Estimates'!P12))</f>
        <v>5.8710392055851823E-2</v>
      </c>
      <c r="AD12" s="18">
        <f t="shared" si="33"/>
        <v>-1.8289607944148176E-2</v>
      </c>
      <c r="AE12" s="18">
        <f>1-((((W12*P12*(1-'Modeling - Base Estimates'!$AE$51))/X12)*X12)/(SUMIFS('Modeling - Base Estimates'!X:X,'Modeling - Base Estimates'!A:A,A12)*'Modeling - Base Estimates'!Q12))</f>
        <v>0.25134605837251256</v>
      </c>
      <c r="AF12" s="18">
        <f t="shared" si="34"/>
        <v>0.17434605837251255</v>
      </c>
      <c r="AG12" s="18">
        <f>$N12*(1-$N$2)+$O12*(1-$N$2-'Modeling - Base Estimates'!$AA$51)+$P12*(1-'Modeling - Base Estimates'!$AE$51)+$Q12*(1-$Q$2)+$R12*(1-$R$2)+$S12*(1-$S$2)+$T12*(1-$T$2)+$U12*(1-$U$2)+$V12*(1-$V$2)</f>
        <v>0.95014455530429487</v>
      </c>
      <c r="AH12" s="18" t="e">
        <f>$O12*(1-$N$2-#REF!)+$P12*(1-#REF!)+$Q12*(1-$Q$2)+$R12*(1-$R$2)+$S12*(1-$S$2)+$T12*(1-$T$2)+$U12*(1-$U$2)+$V12*(1-$V$2)</f>
        <v>#REF!</v>
      </c>
      <c r="AJ12" s="7">
        <f>(SUMIFS('Modeling - Base Estimates'!$X:$X,'Modeling - Base Estimates'!$A:$A,$A12)*SUMIFS('Modeling - Base Estimates'!O:O,'Modeling - Base Estimates'!$A:$A,$A12)*($N$2))</f>
        <v>39168309.223006472</v>
      </c>
      <c r="AK12" s="7">
        <f>(SUMIFS('Modeling - Base Estimates'!$X:$X,'Modeling - Base Estimates'!$A:$A,$A12)*SUMIFS('Modeling - Base Estimates'!P:P,'Modeling - Base Estimates'!$A:$A,$A12)*($N$2))</f>
        <v>1722430.2188872991</v>
      </c>
      <c r="AL12" s="7">
        <f>(SUMIFS('Modeling - Base Estimates'!$X:$X,'Modeling - Base Estimates'!$A:$A,$A12)*SUMIFS('Modeling - Base Estimates'!Q:Q,'Modeling - Base Estimates'!$A:$A,$A12)*($N$2))</f>
        <v>1533121.3430069082</v>
      </c>
      <c r="AM12" s="7">
        <f>(SUMIFS('Modeling - Base Estimates'!$X:$X,'Modeling - Base Estimates'!$A:$A,$A12)*SUMIFS('Modeling - Base Estimates'!R:R,'Modeling - Base Estimates'!$A:$A,$A12)*($N$2))</f>
        <v>28716444.664004404</v>
      </c>
      <c r="AN12" s="7">
        <f>(SUMIFS('Modeling - Base Estimates'!X:X,'Modeling - Base Estimates'!A:A,$A12)*$R12*($R$2))+(SUMIFS('Modeling - Base Estimates'!X:X,'Modeling - Base Estimates'!A:A,$A12)*$S12*($S$2))+(SUMIFS('Modeling - Base Estimates'!X:X,'Modeling - Base Estimates'!A:A,$A12)*$T12*($T$2))+(SUMIFS('Modeling - Base Estimates'!X:X,'Modeling - Base Estimates'!A:A,$A12)*$U12*($U$2))+(SUMIFS('Modeling - Base Estimates'!X:X,'Modeling - Base Estimates'!A:A,$A12)*$V12*($V$2))</f>
        <v>18081672.473679725</v>
      </c>
      <c r="AO12" s="7">
        <f>SUM(AJ12:AN12)-(SUMIFS('Modeling - Base Estimates'!X:X,'Modeling - Base Estimates'!A:A,A12)-SUMIFS('Modeling - Base Estimates'!Z:Z,'Modeling - Base Estimates'!A:A,A12))</f>
        <v>0</v>
      </c>
      <c r="AQ12" s="7">
        <f t="shared" si="13"/>
        <v>39252046.243495576</v>
      </c>
      <c r="AR12" s="7">
        <f>(W12*$O12*($N$2+'Modeling - Base Estimates'!$AA$51))</f>
        <v>4999291.0807339726</v>
      </c>
      <c r="AS12" s="7">
        <f>(W12*P12*('Modeling - Base Estimates'!$AE$51))</f>
        <v>1408871.6237070838</v>
      </c>
      <c r="AT12" s="7">
        <f t="shared" si="14"/>
        <v>28777836.88549431</v>
      </c>
      <c r="AU12" s="7">
        <f t="shared" si="15"/>
        <v>18120328.862184655</v>
      </c>
      <c r="AV12" s="5">
        <f t="shared" si="16"/>
        <v>3.1292438507080078E-7</v>
      </c>
      <c r="AX12" s="7">
        <f>SUMIFS('Modeling - Base Estimates'!X:X,'Modeling - Base Estimates'!A:A,A12)</f>
        <v>1852574357.5746317</v>
      </c>
      <c r="AY12" s="5">
        <f t="shared" si="17"/>
        <v>39168309.223006472</v>
      </c>
      <c r="AZ12" s="5">
        <f t="shared" si="18"/>
        <v>1722430.2188872991</v>
      </c>
      <c r="BA12" s="5">
        <f t="shared" si="19"/>
        <v>1533121.3430069082</v>
      </c>
      <c r="BB12" s="5">
        <f t="shared" si="20"/>
        <v>28716444.664004404</v>
      </c>
      <c r="BC12" s="5">
        <f t="shared" si="21"/>
        <v>18081672.473679725</v>
      </c>
      <c r="BD12" s="5">
        <f t="shared" si="22"/>
        <v>1763352379.6520469</v>
      </c>
      <c r="BF12" s="5">
        <f t="shared" si="23"/>
        <v>1856534933.3568177</v>
      </c>
      <c r="BG12" s="5">
        <f t="shared" si="24"/>
        <v>39252046.243495576</v>
      </c>
      <c r="BH12" s="5">
        <f t="shared" si="25"/>
        <v>1003538.3514447706</v>
      </c>
      <c r="BI12" s="5">
        <f t="shared" si="26"/>
        <v>4999291.0807339726</v>
      </c>
      <c r="BJ12" s="5">
        <f t="shared" si="27"/>
        <v>1408871.6237070838</v>
      </c>
      <c r="BK12" s="5">
        <f t="shared" si="28"/>
        <v>28777836.88549431</v>
      </c>
      <c r="BL12" s="5">
        <f t="shared" si="29"/>
        <v>18120328.862184655</v>
      </c>
      <c r="BM12" s="5">
        <f t="shared" si="30"/>
        <v>1762973020.3097572</v>
      </c>
      <c r="BO12" s="5">
        <f t="shared" si="31"/>
        <v>-379359.3422896862</v>
      </c>
      <c r="BP12" s="12">
        <f t="shared" si="32"/>
        <v>-2.1513529948253632E-4</v>
      </c>
    </row>
    <row r="13" spans="1:68" x14ac:dyDescent="0.25">
      <c r="A13" s="1">
        <v>10</v>
      </c>
      <c r="B13" s="1">
        <v>210010</v>
      </c>
      <c r="C13" s="4">
        <v>17496640.699999999</v>
      </c>
      <c r="D13" s="4">
        <v>4094217.5</v>
      </c>
      <c r="E13" s="4">
        <f>IF(('Modeling - Base Estimates'!F13/SUM('Modeling - Base Estimates'!F13:G13)+$E$63)&gt;1,SUM('Modeling - Base Estimates'!F13:G13),(('Modeling - Base Estimates'!F13/SUM('Modeling - Base Estimates'!F13:G13)+$E$63))*SUM('Modeling - Base Estimates'!F13:G13))</f>
        <v>896773.74588177016</v>
      </c>
      <c r="F13" s="4">
        <f>SUM('Modeling - Base Estimates'!F13:G13)-E13</f>
        <v>948578.15411822975</v>
      </c>
      <c r="G13" s="4">
        <v>381171.89999999997</v>
      </c>
      <c r="H13" s="4">
        <v>5946729.7999999998</v>
      </c>
      <c r="I13" s="4">
        <v>0</v>
      </c>
      <c r="J13" s="4">
        <v>1684870.5999999999</v>
      </c>
      <c r="K13" s="4">
        <v>83712.900000000009</v>
      </c>
      <c r="L13" s="4">
        <v>1609000</v>
      </c>
      <c r="M13" s="4">
        <f t="shared" si="0"/>
        <v>1851586.0999999996</v>
      </c>
      <c r="N13" s="12">
        <f t="shared" si="1"/>
        <v>0.23400020439352109</v>
      </c>
      <c r="O13" s="12">
        <f t="shared" si="2"/>
        <v>5.1254052778358199E-2</v>
      </c>
      <c r="P13" s="12">
        <f t="shared" si="3"/>
        <v>5.4214873036641242E-2</v>
      </c>
      <c r="Q13" s="12">
        <f t="shared" si="10"/>
        <v>0.36166380784169616</v>
      </c>
      <c r="R13" s="12">
        <f t="shared" si="11"/>
        <v>0</v>
      </c>
      <c r="S13" s="12">
        <f t="shared" si="4"/>
        <v>9.6296805134713656E-2</v>
      </c>
      <c r="T13" s="12">
        <f t="shared" si="4"/>
        <v>4.7845127207761665E-3</v>
      </c>
      <c r="U13" s="12">
        <f t="shared" si="4"/>
        <v>9.196050988233416E-2</v>
      </c>
      <c r="V13" s="12">
        <f t="shared" si="12"/>
        <v>0.10582523421195932</v>
      </c>
      <c r="W13" s="4">
        <f>SUMIFS('Modeling - Base Estimates'!AK:AK,'Modeling - Base Estimates'!A:A,A13)</f>
        <v>9733268.2142226733</v>
      </c>
      <c r="X13" s="4">
        <f>(W13*N13*(1-N$2))+(W13*O13*(1-'Modeling - Base Estimates'!$AA$51-N$2))+(W13*P13*(1-'Modeling - Base Estimates'!$AE$51))+(W13*Q13*(1-Q$2))+(W13*R13*(1-R$2))+(W13*S13*(1-S$2))+(W13*T13*(1-T$2))+(W13*U13*(1-U$2))+(W13*V13*(1-V$2))</f>
        <v>9105275.8024028707</v>
      </c>
      <c r="Y13" s="5">
        <f>X13*N13*SUMIFS('Modeling - Base Estimates'!AN:AN,'Modeling - Base Estimates'!A:A,A13)</f>
        <v>15772.468565244249</v>
      </c>
      <c r="Z13" s="4">
        <f t="shared" si="5"/>
        <v>9089503.3338376265</v>
      </c>
      <c r="AA13" s="4">
        <f>(((W13*N13*(1-N$2))/X13)*X13)-Y13-(((SUMIFS('Modeling - Base Estimates'!X:X,'Modeling - Base Estimates'!A:A,A13)*N13*(1-N$2))/SUMIFS('Modeling - Base Estimates'!Z:Z,'Modeling - Base Estimates'!A:A,A13))*SUMIFS('Modeling - Base Estimates'!Z:Z,'Modeling - Base Estimates'!A:A,A13))</f>
        <v>16.111694359220564</v>
      </c>
      <c r="AB13" s="4"/>
      <c r="AC13" s="18">
        <f>1-((((W13*O13*(1-N$2-'Modeling - Base Estimates'!$AA$51))/X13)*X13)/('Modeling - Base Estimates'!X13*'Modeling - Base Estimates'!P13))</f>
        <v>1.1011175699116027E-2</v>
      </c>
      <c r="AD13" s="18">
        <f t="shared" si="33"/>
        <v>-6.5988824300883972E-2</v>
      </c>
      <c r="AE13" s="18">
        <f>1-((((W13*P13*(1-'Modeling - Base Estimates'!$AE$51))/X13)*X13)/(SUMIFS('Modeling - Base Estimates'!X:X,'Modeling - Base Estimates'!A:A,A13)*'Modeling - Base Estimates'!Q13))</f>
        <v>0.21120279062306047</v>
      </c>
      <c r="AF13" s="18">
        <f t="shared" si="34"/>
        <v>0.13420279062306045</v>
      </c>
      <c r="AG13" s="18">
        <f>$N13*(1-$N$2)+$O13*(1-$N$2-'Modeling - Base Estimates'!$AA$51)+$P13*(1-'Modeling - Base Estimates'!$AE$51)+$Q13*(1-$Q$2)+$R13*(1-$R$2)+$S13*(1-$S$2)+$T13*(1-$T$2)+$U13*(1-$U$2)+$V13*(1-$V$2)</f>
        <v>0.93547980000159126</v>
      </c>
      <c r="AH13" s="18" t="e">
        <f>$O13*(1-$N$2-#REF!)+$P13*(1-#REF!)+$Q13*(1-$Q$2)+$R13*(1-$R$2)+$S13*(1-$S$2)+$T13*(1-$T$2)+$U13*(1-$U$2)+$V13*(1-$V$2)</f>
        <v>#REF!</v>
      </c>
      <c r="AJ13" s="7">
        <f>(SUMIFS('Modeling - Base Estimates'!$X:$X,'Modeling - Base Estimates'!$A:$A,$A13)*SUMIFS('Modeling - Base Estimates'!O:O,'Modeling - Base Estimates'!$A:$A,$A13)*($N$2))</f>
        <v>174057.03937060674</v>
      </c>
      <c r="AK13" s="7">
        <f>(SUMIFS('Modeling - Base Estimates'!$X:$X,'Modeling - Base Estimates'!$A:$A,$A13)*SUMIFS('Modeling - Base Estimates'!P:P,'Modeling - Base Estimates'!$A:$A,$A13)*($N$2))</f>
        <v>31388.160242191647</v>
      </c>
      <c r="AL13" s="7">
        <f>(SUMIFS('Modeling - Base Estimates'!$X:$X,'Modeling - Base Estimates'!$A:$A,$A13)*SUMIFS('Modeling - Base Estimates'!Q:Q,'Modeling - Base Estimates'!$A:$A,$A13)*($N$2))</f>
        <v>47063.091629728689</v>
      </c>
      <c r="AM13" s="7">
        <f>(SUMIFS('Modeling - Base Estimates'!$X:$X,'Modeling - Base Estimates'!$A:$A,$A13)*SUMIFS('Modeling - Base Estimates'!R:R,'Modeling - Base Estimates'!$A:$A,$A13)*($N$2))</f>
        <v>269017.42160259665</v>
      </c>
      <c r="AN13" s="7">
        <f>(SUMIFS('Modeling - Base Estimates'!X:X,'Modeling - Base Estimates'!A:A,$A13)*$R13*($R$2))+(SUMIFS('Modeling - Base Estimates'!X:X,'Modeling - Base Estimates'!A:A,$A13)*$S13*($S$2))+(SUMIFS('Modeling - Base Estimates'!X:X,'Modeling - Base Estimates'!A:A,$A13)*$T13*($T$2))+(SUMIFS('Modeling - Base Estimates'!X:X,'Modeling - Base Estimates'!A:A,$A13)*$U13*($U$2))+(SUMIFS('Modeling - Base Estimates'!X:X,'Modeling - Base Estimates'!A:A,$A13)*$V13*($V$2))</f>
        <v>39975.036543769966</v>
      </c>
      <c r="AO13" s="7">
        <f>SUM(AJ13:AN13)-(SUMIFS('Modeling - Base Estimates'!X:X,'Modeling - Base Estimates'!A:A,A13)-SUMIFS('Modeling - Base Estimates'!Z:Z,'Modeling - Base Estimates'!A:A,A13))</f>
        <v>0</v>
      </c>
      <c r="AQ13" s="7">
        <f t="shared" si="13"/>
        <v>175374.17986897018</v>
      </c>
      <c r="AR13" s="7">
        <f>(W13*$O13*($N$2+'Modeling - Base Estimates'!$AA$51))</f>
        <v>95719.576590245328</v>
      </c>
      <c r="AS13" s="7">
        <f>(W13*P13*('Modeling - Base Estimates'!$AE$51))</f>
        <v>45567.960956811432</v>
      </c>
      <c r="AT13" s="7">
        <f t="shared" si="14"/>
        <v>271053.1550727245</v>
      </c>
      <c r="AU13" s="7">
        <f t="shared" si="15"/>
        <v>40277.539331050226</v>
      </c>
      <c r="AV13" s="5">
        <f t="shared" si="16"/>
        <v>0</v>
      </c>
      <c r="AX13" s="7">
        <f>SUMIFS('Modeling - Base Estimates'!X:X,'Modeling - Base Estimates'!A:A,A13)</f>
        <v>9660166.9073144104</v>
      </c>
      <c r="AY13" s="5">
        <f t="shared" si="17"/>
        <v>174057.03937060674</v>
      </c>
      <c r="AZ13" s="5">
        <f t="shared" si="18"/>
        <v>31388.160242191647</v>
      </c>
      <c r="BA13" s="5">
        <f t="shared" si="19"/>
        <v>47063.091629728689</v>
      </c>
      <c r="BB13" s="5">
        <f t="shared" si="20"/>
        <v>269017.42160259665</v>
      </c>
      <c r="BC13" s="5">
        <f t="shared" si="21"/>
        <v>39975.036543769966</v>
      </c>
      <c r="BD13" s="5">
        <f t="shared" si="22"/>
        <v>9098666.1579255164</v>
      </c>
      <c r="BF13" s="5">
        <f t="shared" si="23"/>
        <v>9733268.2142226733</v>
      </c>
      <c r="BG13" s="5">
        <f t="shared" si="24"/>
        <v>175374.17986897018</v>
      </c>
      <c r="BH13" s="5">
        <f t="shared" si="25"/>
        <v>15772.468565244249</v>
      </c>
      <c r="BI13" s="5">
        <f t="shared" si="26"/>
        <v>95719.576590245328</v>
      </c>
      <c r="BJ13" s="5">
        <f t="shared" si="27"/>
        <v>45567.960956811432</v>
      </c>
      <c r="BK13" s="5">
        <f t="shared" si="28"/>
        <v>271053.1550727245</v>
      </c>
      <c r="BL13" s="5">
        <f t="shared" si="29"/>
        <v>40277.539331050226</v>
      </c>
      <c r="BM13" s="5">
        <f t="shared" si="30"/>
        <v>9089503.3338376265</v>
      </c>
      <c r="BO13" s="5">
        <f t="shared" si="31"/>
        <v>-9162.824087889865</v>
      </c>
      <c r="BP13" s="12">
        <f t="shared" si="32"/>
        <v>-1.0070513555339607E-3</v>
      </c>
    </row>
    <row r="14" spans="1:68" x14ac:dyDescent="0.25">
      <c r="A14" s="1">
        <v>11</v>
      </c>
      <c r="B14" s="1">
        <v>210011</v>
      </c>
      <c r="C14" s="4">
        <v>568926838.29999995</v>
      </c>
      <c r="D14" s="4">
        <v>165578609</v>
      </c>
      <c r="E14" s="4">
        <f>IF(('Modeling - Base Estimates'!F14/SUM('Modeling - Base Estimates'!F14:G14)+$E$63)&gt;1,SUM('Modeling - Base Estimates'!F14:G14),(('Modeling - Base Estimates'!F14/SUM('Modeling - Base Estimates'!F14:G14)+$E$63))*SUM('Modeling - Base Estimates'!F14:G14))</f>
        <v>52969736.633670561</v>
      </c>
      <c r="F14" s="4">
        <f>SUM('Modeling - Base Estimates'!F14:G14)-E14</f>
        <v>45640550.566329442</v>
      </c>
      <c r="G14" s="4">
        <v>21979929.100000001</v>
      </c>
      <c r="H14" s="4">
        <v>107720681</v>
      </c>
      <c r="I14" s="4">
        <v>24642250.400000002</v>
      </c>
      <c r="J14" s="4">
        <v>47344357.799999997</v>
      </c>
      <c r="K14" s="4">
        <v>10656613.799999999</v>
      </c>
      <c r="L14" s="4">
        <v>31745187.900000002</v>
      </c>
      <c r="M14" s="4">
        <f t="shared" si="0"/>
        <v>60648922.099999964</v>
      </c>
      <c r="N14" s="12">
        <f t="shared" si="1"/>
        <v>0.29103673416912879</v>
      </c>
      <c r="O14" s="12">
        <f t="shared" si="2"/>
        <v>9.3104654355819244E-2</v>
      </c>
      <c r="P14" s="12">
        <f t="shared" si="3"/>
        <v>8.0222178835344007E-2</v>
      </c>
      <c r="Q14" s="12">
        <f t="shared" si="10"/>
        <v>0.22797414600365146</v>
      </c>
      <c r="R14" s="12">
        <f t="shared" si="11"/>
        <v>4.3313566422060641E-2</v>
      </c>
      <c r="S14" s="12">
        <f t="shared" si="4"/>
        <v>8.3216952713056777E-2</v>
      </c>
      <c r="T14" s="12">
        <f t="shared" si="4"/>
        <v>1.8731079433416842E-2</v>
      </c>
      <c r="U14" s="12">
        <f t="shared" si="4"/>
        <v>5.5798365910909087E-2</v>
      </c>
      <c r="V14" s="12">
        <f t="shared" si="12"/>
        <v>0.10660232215661317</v>
      </c>
      <c r="W14" s="4">
        <f>SUMIFS('Modeling - Base Estimates'!AK:AK,'Modeling - Base Estimates'!A:A,A14)</f>
        <v>308301267.66126013</v>
      </c>
      <c r="X14" s="4">
        <f>(W14*N14*(1-N$2))+(W14*O14*(1-'Modeling - Base Estimates'!$AA$51-N$2))+(W14*P14*(1-'Modeling - Base Estimates'!$AE$51))+(W14*Q14*(1-Q$2))+(W14*R14*(1-R$2))+(W14*S14*(1-S$2))+(W14*T14*(1-T$2))+(W14*U14*(1-U$2))+(W14*V14*(1-V$2))</f>
        <v>286750646.64969498</v>
      </c>
      <c r="Y14" s="5">
        <f>X14*N14*SUMIFS('Modeling - Base Estimates'!AN:AN,'Modeling - Base Estimates'!A:A,A14)</f>
        <v>1217270.8282203372</v>
      </c>
      <c r="Z14" s="4">
        <f t="shared" si="5"/>
        <v>285533375.82147467</v>
      </c>
      <c r="AA14" s="4">
        <f>(((W14*N14*(1-N$2))/X14)*X14)-Y14-(((SUMIFS('Modeling - Base Estimates'!X:X,'Modeling - Base Estimates'!A:A,A14)*N14*(1-N$2))/SUMIFS('Modeling - Base Estimates'!Z:Z,'Modeling - Base Estimates'!A:A,A14))*SUMIFS('Modeling - Base Estimates'!Z:Z,'Modeling - Base Estimates'!A:A,A14))</f>
        <v>2055.3006353378296</v>
      </c>
      <c r="AB14" s="4"/>
      <c r="AC14" s="18">
        <f>1-((((W14*O14*(1-N$2-'Modeling - Base Estimates'!$AA$51))/X14)*X14)/('Modeling - Base Estimates'!X14*'Modeling - Base Estimates'!P14))</f>
        <v>2.3741328068060397E-2</v>
      </c>
      <c r="AD14" s="18">
        <f t="shared" si="33"/>
        <v>-5.3258671931939602E-2</v>
      </c>
      <c r="AE14" s="18">
        <f>1-((((W14*P14*(1-'Modeling - Base Estimates'!$AE$51))/X14)*X14)/(SUMIFS('Modeling - Base Estimates'!X:X,'Modeling - Base Estimates'!A:A,A14)*'Modeling - Base Estimates'!Q14))</f>
        <v>0.21781318254225879</v>
      </c>
      <c r="AF14" s="18">
        <f t="shared" si="34"/>
        <v>0.14081318254225877</v>
      </c>
      <c r="AG14" s="18">
        <f>$N14*(1-$N$2)+$O14*(1-$N$2-'Modeling - Base Estimates'!$AA$51)+$P14*(1-'Modeling - Base Estimates'!$AE$51)+$Q14*(1-$Q$2)+$R14*(1-$R$2)+$S14*(1-$S$2)+$T14*(1-$T$2)+$U14*(1-$U$2)+$V14*(1-$V$2)</f>
        <v>0.93009882451977643</v>
      </c>
      <c r="AH14" s="18" t="e">
        <f>$O14*(1-$N$2-#REF!)+$P14*(1-#REF!)+$Q14*(1-$Q$2)+$R14*(1-$R$2)+$S14*(1-$S$2)+$T14*(1-$T$2)+$U14*(1-$U$2)+$V14*(1-$V$2)</f>
        <v>#REF!</v>
      </c>
      <c r="AJ14" s="7">
        <f>(SUMIFS('Modeling - Base Estimates'!$X:$X,'Modeling - Base Estimates'!$A:$A,$A14)*SUMIFS('Modeling - Base Estimates'!O:O,'Modeling - Base Estimates'!$A:$A,$A14)*($N$2))</f>
        <v>6807257.9462206326</v>
      </c>
      <c r="AK14" s="7">
        <f>(SUMIFS('Modeling - Base Estimates'!$X:$X,'Modeling - Base Estimates'!$A:$A,$A14)*SUMIFS('Modeling - Base Estimates'!P:P,'Modeling - Base Estimates'!$A:$A,$A14)*($N$2))</f>
        <v>1829583.1006328994</v>
      </c>
      <c r="AL14" s="7">
        <f>(SUMIFS('Modeling - Base Estimates'!$X:$X,'Modeling - Base Estimates'!$A:$A,$A14)*SUMIFS('Modeling - Base Estimates'!Q:Q,'Modeling - Base Estimates'!$A:$A,$A14)*($N$2))</f>
        <v>2224477.1742743426</v>
      </c>
      <c r="AM14" s="7">
        <f>(SUMIFS('Modeling - Base Estimates'!$X:$X,'Modeling - Base Estimates'!$A:$A,$A14)*SUMIFS('Modeling - Base Estimates'!R:R,'Modeling - Base Estimates'!$A:$A,$A14)*($N$2))</f>
        <v>5332243.7847807324</v>
      </c>
      <c r="AN14" s="7">
        <f>(SUMIFS('Modeling - Base Estimates'!X:X,'Modeling - Base Estimates'!A:A,$A14)*$R14*($R$2))+(SUMIFS('Modeling - Base Estimates'!X:X,'Modeling - Base Estimates'!A:A,$A14)*$S14*($S$2))+(SUMIFS('Modeling - Base Estimates'!X:X,'Modeling - Base Estimates'!A:A,$A14)*$T14*($T$2))+(SUMIFS('Modeling - Base Estimates'!X:X,'Modeling - Base Estimates'!A:A,$A14)*$U14*($U$2))+(SUMIFS('Modeling - Base Estimates'!X:X,'Modeling - Base Estimates'!A:A,$A14)*$V14*($V$2))</f>
        <v>1563027.1340084341</v>
      </c>
      <c r="AO14" s="7">
        <f>SUM(AJ14:AN14)-(SUMIFS('Modeling - Base Estimates'!X:X,'Modeling - Base Estimates'!A:A,A14)-SUMIFS('Modeling - Base Estimates'!Z:Z,'Modeling - Base Estimates'!A:A,A14))</f>
        <v>0</v>
      </c>
      <c r="AQ14" s="7">
        <f t="shared" si="13"/>
        <v>6908978.5441858405</v>
      </c>
      <c r="AR14" s="7">
        <f>(W14*$O14*($N$2+'Modeling - Base Estimates'!$AA$51))</f>
        <v>5507576.8849716987</v>
      </c>
      <c r="AS14" s="7">
        <f>(W14*P14*('Modeling - Base Estimates'!$AE$51))</f>
        <v>2135758.8911337364</v>
      </c>
      <c r="AT14" s="7">
        <f t="shared" si="14"/>
        <v>5411923.3019327587</v>
      </c>
      <c r="AU14" s="7">
        <f t="shared" si="15"/>
        <v>1586383.3893410903</v>
      </c>
      <c r="AV14" s="5">
        <f t="shared" si="16"/>
        <v>0</v>
      </c>
      <c r="AX14" s="7">
        <f>SUMIFS('Modeling - Base Estimates'!X:X,'Modeling - Base Estimates'!A:A,A14)</f>
        <v>303762161.17838854</v>
      </c>
      <c r="AY14" s="5">
        <f t="shared" si="17"/>
        <v>6807257.9462206326</v>
      </c>
      <c r="AZ14" s="5">
        <f t="shared" si="18"/>
        <v>1829583.1006328994</v>
      </c>
      <c r="BA14" s="5">
        <f t="shared" si="19"/>
        <v>2224477.1742743426</v>
      </c>
      <c r="BB14" s="5">
        <f t="shared" si="20"/>
        <v>5332243.7847807324</v>
      </c>
      <c r="BC14" s="5">
        <f t="shared" si="21"/>
        <v>1563027.1340084341</v>
      </c>
      <c r="BD14" s="5">
        <f t="shared" si="22"/>
        <v>286005572.03847152</v>
      </c>
      <c r="BF14" s="5">
        <f t="shared" si="23"/>
        <v>308301267.66126013</v>
      </c>
      <c r="BG14" s="5">
        <f t="shared" si="24"/>
        <v>6908978.5441858405</v>
      </c>
      <c r="BH14" s="5">
        <f t="shared" si="25"/>
        <v>1217270.8282203372</v>
      </c>
      <c r="BI14" s="5">
        <f t="shared" si="26"/>
        <v>5507576.8849716987</v>
      </c>
      <c r="BJ14" s="5">
        <f t="shared" si="27"/>
        <v>2135758.8911337364</v>
      </c>
      <c r="BK14" s="5">
        <f t="shared" si="28"/>
        <v>5411923.3019327587</v>
      </c>
      <c r="BL14" s="5">
        <f t="shared" si="29"/>
        <v>1586383.3893410903</v>
      </c>
      <c r="BM14" s="5">
        <f t="shared" si="30"/>
        <v>285533375.82147467</v>
      </c>
      <c r="BO14" s="5">
        <f t="shared" si="31"/>
        <v>-472196.21699684858</v>
      </c>
      <c r="BP14" s="12">
        <f t="shared" si="32"/>
        <v>-1.6510035578374395E-3</v>
      </c>
    </row>
    <row r="15" spans="1:68" x14ac:dyDescent="0.25">
      <c r="A15" s="1">
        <v>12</v>
      </c>
      <c r="B15" s="1">
        <v>210012</v>
      </c>
      <c r="C15" s="4">
        <v>994389579.10000002</v>
      </c>
      <c r="D15" s="4">
        <v>333687346.89999998</v>
      </c>
      <c r="E15" s="4">
        <f>IF(('Modeling - Base Estimates'!F15/SUM('Modeling - Base Estimates'!F15:G15)+$E$63)&gt;1,SUM('Modeling - Base Estimates'!F15:G15),(('Modeling - Base Estimates'!F15/SUM('Modeling - Base Estimates'!F15:G15)+$E$63))*SUM('Modeling - Base Estimates'!F15:G15))</f>
        <v>69342283.885943189</v>
      </c>
      <c r="F15" s="4">
        <f>SUM('Modeling - Base Estimates'!F15:G15)-E15</f>
        <v>80535677.114056811</v>
      </c>
      <c r="G15" s="4">
        <v>39331012.600000001</v>
      </c>
      <c r="H15" s="4">
        <v>192369486.5</v>
      </c>
      <c r="I15" s="4">
        <v>39762161.399999999</v>
      </c>
      <c r="J15" s="4">
        <v>58202310.700000003</v>
      </c>
      <c r="K15" s="4">
        <v>0</v>
      </c>
      <c r="L15" s="4">
        <v>30264900</v>
      </c>
      <c r="M15" s="4">
        <f t="shared" si="0"/>
        <v>150894400</v>
      </c>
      <c r="N15" s="12">
        <f t="shared" si="1"/>
        <v>0.33557003604363295</v>
      </c>
      <c r="O15" s="12">
        <f t="shared" si="2"/>
        <v>6.9733518274299855E-2</v>
      </c>
      <c r="P15" s="12">
        <f t="shared" si="3"/>
        <v>8.099006547006242E-2</v>
      </c>
      <c r="Q15" s="12">
        <f t="shared" si="10"/>
        <v>0.23300777076697343</v>
      </c>
      <c r="R15" s="12">
        <f t="shared" si="11"/>
        <v>3.9986502509396615E-2</v>
      </c>
      <c r="S15" s="12">
        <f t="shared" si="4"/>
        <v>5.85306925206091E-2</v>
      </c>
      <c r="T15" s="12">
        <f t="shared" si="4"/>
        <v>0</v>
      </c>
      <c r="U15" s="12">
        <f t="shared" si="4"/>
        <v>3.0435656845269929E-2</v>
      </c>
      <c r="V15" s="12">
        <f t="shared" si="12"/>
        <v>0.1517457575697557</v>
      </c>
      <c r="W15" s="4">
        <f>SUMIFS('Modeling - Base Estimates'!AK:AK,'Modeling - Base Estimates'!A:A,A15)</f>
        <v>553994723.11790848</v>
      </c>
      <c r="X15" s="4">
        <f>(W15*N15*(1-N$2))+(W15*O15*(1-'Modeling - Base Estimates'!$AA$51-N$2))+(W15*P15*(1-'Modeling - Base Estimates'!$AE$51))+(W15*Q15*(1-Q$2))+(W15*R15*(1-R$2))+(W15*S15*(1-S$2))+(W15*T15*(1-T$2))+(W15*U15*(1-U$2))+(W15*V15*(1-V$2))</f>
        <v>515625319.00062144</v>
      </c>
      <c r="Y15" s="5">
        <f>X15*N15*SUMIFS('Modeling - Base Estimates'!AN:AN,'Modeling - Base Estimates'!A:A,A15)</f>
        <v>2019234.2728405907</v>
      </c>
      <c r="Z15" s="4">
        <f t="shared" si="5"/>
        <v>513606084.72778082</v>
      </c>
      <c r="AA15" s="4">
        <f>(((W15*N15*(1-N$2))/X15)*X15)-Y15-(((SUMIFS('Modeling - Base Estimates'!X:X,'Modeling - Base Estimates'!A:A,A15)*N15*(1-N$2))/SUMIFS('Modeling - Base Estimates'!Z:Z,'Modeling - Base Estimates'!A:A,A15))*SUMIFS('Modeling - Base Estimates'!Z:Z,'Modeling - Base Estimates'!A:A,A15))</f>
        <v>2962.720958083868</v>
      </c>
      <c r="AB15" s="4"/>
      <c r="AC15" s="18">
        <f>1-((((W15*O15*(1-N$2-'Modeling - Base Estimates'!$AA$51))/X15)*X15)/('Modeling - Base Estimates'!X15*'Modeling - Base Estimates'!P15))</f>
        <v>-4.121917516062501E-3</v>
      </c>
      <c r="AD15" s="18">
        <f t="shared" si="33"/>
        <v>-8.11219175160625E-2</v>
      </c>
      <c r="AE15" s="18">
        <f>1-((((W15*P15*(1-'Modeling - Base Estimates'!$AE$51))/X15)*X15)/(SUMIFS('Modeling - Base Estimates'!X:X,'Modeling - Base Estimates'!A:A,A15)*'Modeling - Base Estimates'!Q15))</f>
        <v>0.20284210261528657</v>
      </c>
      <c r="AF15" s="18">
        <f t="shared" si="34"/>
        <v>0.12584210261528656</v>
      </c>
      <c r="AG15" s="18">
        <f>$N15*(1-$N$2)+$O15*(1-$N$2-'Modeling - Base Estimates'!$AA$51)+$P15*(1-'Modeling - Base Estimates'!$AE$51)+$Q15*(1-$Q$2)+$R15*(1-$R$2)+$S15*(1-$S$2)+$T15*(1-$T$2)+$U15*(1-$U$2)+$V15*(1-$V$2)</f>
        <v>0.93074048810186794</v>
      </c>
      <c r="AH15" s="18" t="e">
        <f>$O15*(1-$N$2-#REF!)+$P15*(1-#REF!)+$Q15*(1-$Q$2)+$R15*(1-$R$2)+$S15*(1-$S$2)+$T15*(1-$T$2)+$U15*(1-$U$2)+$V15*(1-$V$2)</f>
        <v>#REF!</v>
      </c>
      <c r="AJ15" s="7">
        <f>(SUMIFS('Modeling - Base Estimates'!$X:$X,'Modeling - Base Estimates'!$A:$A,$A15)*SUMIFS('Modeling - Base Estimates'!O:O,'Modeling - Base Estimates'!$A:$A,$A15)*($N$2))</f>
        <v>14145911.25794347</v>
      </c>
      <c r="AK15" s="7">
        <f>(SUMIFS('Modeling - Base Estimates'!$X:$X,'Modeling - Base Estimates'!$A:$A,$A15)*SUMIFS('Modeling - Base Estimates'!P:P,'Modeling - Base Estimates'!$A:$A,$A15)*($N$2))</f>
        <v>2394038.3372322423</v>
      </c>
      <c r="AL15" s="7">
        <f>(SUMIFS('Modeling - Base Estimates'!$X:$X,'Modeling - Base Estimates'!$A:$A,$A15)*SUMIFS('Modeling - Base Estimates'!Q:Q,'Modeling - Base Estimates'!$A:$A,$A15)*($N$2))</f>
        <v>3959694.7471177778</v>
      </c>
      <c r="AM15" s="7">
        <f>(SUMIFS('Modeling - Base Estimates'!$X:$X,'Modeling - Base Estimates'!$A:$A,$A15)*SUMIFS('Modeling - Base Estimates'!R:R,'Modeling - Base Estimates'!$A:$A,$A15)*($N$2))</f>
        <v>9822412.2944405563</v>
      </c>
      <c r="AN15" s="7">
        <f>(SUMIFS('Modeling - Base Estimates'!X:X,'Modeling - Base Estimates'!A:A,$A15)*$R15*($R$2))+(SUMIFS('Modeling - Base Estimates'!X:X,'Modeling - Base Estimates'!A:A,$A15)*$S15*($S$2))+(SUMIFS('Modeling - Base Estimates'!X:X,'Modeling - Base Estimates'!A:A,$A15)*$T15*($T$2))+(SUMIFS('Modeling - Base Estimates'!X:X,'Modeling - Base Estimates'!A:A,$A15)*$U15*($U$2))+(SUMIFS('Modeling - Base Estimates'!X:X,'Modeling - Base Estimates'!A:A,$A15)*$V15*($V$2))</f>
        <v>2794936.485492303</v>
      </c>
      <c r="AO15" s="7">
        <f>SUM(AJ15:AN15)-(SUMIFS('Modeling - Base Estimates'!X:X,'Modeling - Base Estimates'!A:A,A15)-SUMIFS('Modeling - Base Estimates'!Z:Z,'Modeling - Base Estimates'!A:A,A15))</f>
        <v>0</v>
      </c>
      <c r="AQ15" s="7">
        <f t="shared" si="13"/>
        <v>14314610.248758744</v>
      </c>
      <c r="AR15" s="7">
        <f>(W15*$O15*($N$2+'Modeling - Base Estimates'!$AA$51))</f>
        <v>7412437.956348558</v>
      </c>
      <c r="AS15" s="7">
        <f>(W15*P15*('Modeling - Base Estimates'!$AE$51))</f>
        <v>3874537.2213923796</v>
      </c>
      <c r="AT15" s="7">
        <f t="shared" si="14"/>
        <v>9939550.8096785303</v>
      </c>
      <c r="AU15" s="7">
        <f t="shared" si="15"/>
        <v>2828267.8811088689</v>
      </c>
      <c r="AV15" s="5">
        <f t="shared" si="16"/>
        <v>0</v>
      </c>
      <c r="AX15" s="7">
        <f>SUMIFS('Modeling - Base Estimates'!X:X,'Modeling - Base Estimates'!A:A,A15)</f>
        <v>547465844.6445961</v>
      </c>
      <c r="AY15" s="5">
        <f t="shared" si="17"/>
        <v>14145911.25794347</v>
      </c>
      <c r="AZ15" s="5">
        <f t="shared" si="18"/>
        <v>2394038.3372322423</v>
      </c>
      <c r="BA15" s="5">
        <f t="shared" si="19"/>
        <v>3959694.7471177778</v>
      </c>
      <c r="BB15" s="5">
        <f t="shared" si="20"/>
        <v>9822412.2944405563</v>
      </c>
      <c r="BC15" s="5">
        <f t="shared" si="21"/>
        <v>2794936.485492303</v>
      </c>
      <c r="BD15" s="5">
        <f t="shared" si="22"/>
        <v>514348851.52236974</v>
      </c>
      <c r="BF15" s="5">
        <f t="shared" si="23"/>
        <v>553994723.11790848</v>
      </c>
      <c r="BG15" s="5">
        <f t="shared" si="24"/>
        <v>14314610.248758744</v>
      </c>
      <c r="BH15" s="5">
        <f t="shared" si="25"/>
        <v>2019234.2728405907</v>
      </c>
      <c r="BI15" s="5">
        <f t="shared" si="26"/>
        <v>7412437.956348558</v>
      </c>
      <c r="BJ15" s="5">
        <f t="shared" si="27"/>
        <v>3874537.2213923796</v>
      </c>
      <c r="BK15" s="5">
        <f t="shared" si="28"/>
        <v>9939550.8096785303</v>
      </c>
      <c r="BL15" s="5">
        <f t="shared" si="29"/>
        <v>2828267.8811088689</v>
      </c>
      <c r="BM15" s="5">
        <f t="shared" si="30"/>
        <v>513606084.72778082</v>
      </c>
      <c r="BO15" s="5">
        <f t="shared" si="31"/>
        <v>-742766.79458892345</v>
      </c>
      <c r="BP15" s="12">
        <f t="shared" si="32"/>
        <v>-1.4440914806954119E-3</v>
      </c>
    </row>
    <row r="16" spans="1:68" x14ac:dyDescent="0.25">
      <c r="A16" s="1">
        <v>13</v>
      </c>
      <c r="B16" s="1">
        <v>210013</v>
      </c>
      <c r="C16" s="4">
        <v>34392900</v>
      </c>
      <c r="D16" s="4">
        <v>5559100</v>
      </c>
      <c r="E16" s="4">
        <f>IF(('Modeling - Base Estimates'!F16/SUM('Modeling - Base Estimates'!F16:G16)+$E$63)&gt;1,SUM('Modeling - Base Estimates'!F16:G16),(('Modeling - Base Estimates'!F16/SUM('Modeling - Base Estimates'!F16:G16)+$E$63))*SUM('Modeling - Base Estimates'!F16:G16))</f>
        <v>2517673.2661815323</v>
      </c>
      <c r="F16" s="4">
        <f>SUM('Modeling - Base Estimates'!F16:G16)-E16</f>
        <v>2240226.7338184677</v>
      </c>
      <c r="G16" s="4">
        <v>2279300</v>
      </c>
      <c r="H16" s="4">
        <v>16750800</v>
      </c>
      <c r="I16" s="4">
        <v>0</v>
      </c>
      <c r="J16" s="4">
        <v>925900</v>
      </c>
      <c r="K16" s="4">
        <v>0</v>
      </c>
      <c r="L16" s="4">
        <v>2838040</v>
      </c>
      <c r="M16" s="4">
        <f t="shared" si="0"/>
        <v>1281860</v>
      </c>
      <c r="N16" s="12">
        <f t="shared" si="1"/>
        <v>0.16163510491991079</v>
      </c>
      <c r="O16" s="12">
        <f t="shared" si="2"/>
        <v>7.3203285160063039E-2</v>
      </c>
      <c r="P16" s="12">
        <f t="shared" si="3"/>
        <v>6.513631400139179E-2</v>
      </c>
      <c r="Q16" s="12">
        <f t="shared" si="10"/>
        <v>0.55331478299300141</v>
      </c>
      <c r="R16" s="12">
        <f t="shared" si="11"/>
        <v>0</v>
      </c>
      <c r="S16" s="12">
        <f t="shared" si="4"/>
        <v>2.6921254096048893E-2</v>
      </c>
      <c r="T16" s="12">
        <f t="shared" si="4"/>
        <v>0</v>
      </c>
      <c r="U16" s="12">
        <f t="shared" si="4"/>
        <v>8.2518194162167186E-2</v>
      </c>
      <c r="V16" s="12">
        <f t="shared" si="12"/>
        <v>3.7271064667416823E-2</v>
      </c>
      <c r="W16" s="4">
        <f>SUMIFS('Modeling - Base Estimates'!AK:AK,'Modeling - Base Estimates'!A:A,A16)</f>
        <v>19260533.131842174</v>
      </c>
      <c r="X16" s="4">
        <f>(W16*N16*(1-N$2))+(W16*O16*(1-'Modeling - Base Estimates'!$AA$51-N$2))+(W16*P16*(1-'Modeling - Base Estimates'!$AE$51))+(W16*Q16*(1-Q$2))+(W16*R16*(1-R$2))+(W16*S16*(1-S$2))+(W16*T16*(1-T$2))+(W16*U16*(1-U$2))+(W16*V16*(1-V$2))</f>
        <v>17796626.624314889</v>
      </c>
      <c r="Y16" s="5">
        <f>X16*N16*SUMIFS('Modeling - Base Estimates'!AN:AN,'Modeling - Base Estimates'!A:A,A16)</f>
        <v>28487.68422190347</v>
      </c>
      <c r="Z16" s="4">
        <f t="shared" si="5"/>
        <v>17768138.940092985</v>
      </c>
      <c r="AA16" s="4">
        <f>(((W16*N16*(1-N$2))/X16)*X16)-Y16-(((SUMIFS('Modeling - Base Estimates'!X:X,'Modeling - Base Estimates'!A:A,A16)*N16*(1-N$2))/SUMIFS('Modeling - Base Estimates'!Z:Z,'Modeling - Base Estimates'!A:A,A16))*SUMIFS('Modeling - Base Estimates'!Z:Z,'Modeling - Base Estimates'!A:A,A16))</f>
        <v>38.644323618616909</v>
      </c>
      <c r="AB16" s="4"/>
      <c r="AC16" s="18">
        <f>1-((((W16*O16*(1-N$2-'Modeling - Base Estimates'!$AA$51))/X16)*X16)/('Modeling - Base Estimates'!X16*'Modeling - Base Estimates'!P16))</f>
        <v>2.5665101515771616E-2</v>
      </c>
      <c r="AD16" s="18">
        <f t="shared" si="33"/>
        <v>-5.1334898484228383E-2</v>
      </c>
      <c r="AE16" s="18">
        <f>1-((((W16*P16*(1-'Modeling - Base Estimates'!$AE$51))/X16)*X16)/(SUMIFS('Modeling - Base Estimates'!X:X,'Modeling - Base Estimates'!A:A,A16)*'Modeling - Base Estimates'!Q16))</f>
        <v>0.21952500431609967</v>
      </c>
      <c r="AF16" s="18">
        <f t="shared" si="34"/>
        <v>0.14252500431609966</v>
      </c>
      <c r="AG16" s="18">
        <f>$N16*(1-$N$2)+$O16*(1-$N$2-'Modeling - Base Estimates'!$AA$51)+$P16*(1-'Modeling - Base Estimates'!$AE$51)+$Q16*(1-$Q$2)+$R16*(1-$R$2)+$S16*(1-$S$2)+$T16*(1-$T$2)+$U16*(1-$U$2)+$V16*(1-$V$2)</f>
        <v>0.92399449706264347</v>
      </c>
      <c r="AH16" s="18" t="e">
        <f>$O16*(1-$N$2-#REF!)+$P16*(1-#REF!)+$Q16*(1-$Q$2)+$R16*(1-$R$2)+$S16*(1-$S$2)+$T16*(1-$T$2)+$U16*(1-$U$2)+$V16*(1-$V$2)</f>
        <v>#REF!</v>
      </c>
      <c r="AJ16" s="7">
        <f>(SUMIFS('Modeling - Base Estimates'!$X:$X,'Modeling - Base Estimates'!$A:$A,$A16)*SUMIFS('Modeling - Base Estimates'!O:O,'Modeling - Base Estimates'!$A:$A,$A16)*($N$2))</f>
        <v>237334.95905192691</v>
      </c>
      <c r="AK16" s="7">
        <f>(SUMIFS('Modeling - Base Estimates'!$X:$X,'Modeling - Base Estimates'!$A:$A,$A16)*SUMIFS('Modeling - Base Estimates'!P:P,'Modeling - Base Estimates'!$A:$A,$A16)*($N$2))</f>
        <v>90045.281393593759</v>
      </c>
      <c r="AL16" s="7">
        <f>(SUMIFS('Modeling - Base Estimates'!$X:$X,'Modeling - Base Estimates'!$A:$A,$A16)*SUMIFS('Modeling - Base Estimates'!Q:Q,'Modeling - Base Estimates'!$A:$A,$A16)*($N$2))</f>
        <v>113084.00242449965</v>
      </c>
      <c r="AM16" s="7">
        <f>(SUMIFS('Modeling - Base Estimates'!$X:$X,'Modeling - Base Estimates'!$A:$A,$A16)*SUMIFS('Modeling - Base Estimates'!R:R,'Modeling - Base Estimates'!$A:$A,$A16)*($N$2))</f>
        <v>812453.09569068265</v>
      </c>
      <c r="AN16" s="7">
        <f>(SUMIFS('Modeling - Base Estimates'!X:X,'Modeling - Base Estimates'!A:A,$A16)*$R16*($R$2))+(SUMIFS('Modeling - Base Estimates'!X:X,'Modeling - Base Estimates'!A:A,$A16)*$S16*($S$2))+(SUMIFS('Modeling - Base Estimates'!X:X,'Modeling - Base Estimates'!A:A,$A16)*$T16*($T$2))+(SUMIFS('Modeling - Base Estimates'!X:X,'Modeling - Base Estimates'!A:A,$A16)*$U16*($U$2))+(SUMIFS('Modeling - Base Estimates'!X:X,'Modeling - Base Estimates'!A:A,$A16)*$V16*($V$2))</f>
        <v>24482.082575567903</v>
      </c>
      <c r="AO16" s="7">
        <f>SUM(AJ16:AN16)-(SUMIFS('Modeling - Base Estimates'!X:X,'Modeling - Base Estimates'!A:A,A16)-SUMIFS('Modeling - Base Estimates'!Z:Z,'Modeling - Base Estimates'!A:A,A16))</f>
        <v>0</v>
      </c>
      <c r="AQ16" s="7">
        <f t="shared" si="13"/>
        <v>239714.72860556204</v>
      </c>
      <c r="AR16" s="7">
        <f>(W16*$O16*($N$2+'Modeling - Base Estimates'!$AA$51))</f>
        <v>270528.32378753979</v>
      </c>
      <c r="AS16" s="7">
        <f>(W16*P16*('Modeling - Base Estimates'!$AE$51))</f>
        <v>108336.28580365394</v>
      </c>
      <c r="AT16" s="7">
        <f t="shared" si="14"/>
        <v>820599.60368345689</v>
      </c>
      <c r="AU16" s="7">
        <f t="shared" si="15"/>
        <v>24727.565647070107</v>
      </c>
      <c r="AV16" s="5">
        <f t="shared" si="16"/>
        <v>0</v>
      </c>
      <c r="AX16" s="7">
        <f>SUMIFS('Modeling - Base Estimates'!X:X,'Modeling - Base Estimates'!A:A,A16)</f>
        <v>19069324.061792254</v>
      </c>
      <c r="AY16" s="5">
        <f t="shared" si="17"/>
        <v>237334.95905192691</v>
      </c>
      <c r="AZ16" s="5">
        <f t="shared" si="18"/>
        <v>90045.281393593759</v>
      </c>
      <c r="BA16" s="5">
        <f t="shared" si="19"/>
        <v>113084.00242449965</v>
      </c>
      <c r="BB16" s="5">
        <f t="shared" si="20"/>
        <v>812453.09569068265</v>
      </c>
      <c r="BC16" s="5">
        <f t="shared" si="21"/>
        <v>24482.082575567903</v>
      </c>
      <c r="BD16" s="5">
        <f t="shared" si="22"/>
        <v>17791924.640655983</v>
      </c>
      <c r="BF16" s="5">
        <f t="shared" si="23"/>
        <v>19260533.131842174</v>
      </c>
      <c r="BG16" s="5">
        <f t="shared" si="24"/>
        <v>239714.72860556204</v>
      </c>
      <c r="BH16" s="5">
        <f t="shared" si="25"/>
        <v>28487.68422190347</v>
      </c>
      <c r="BI16" s="5">
        <f t="shared" si="26"/>
        <v>270528.32378753979</v>
      </c>
      <c r="BJ16" s="5">
        <f t="shared" si="27"/>
        <v>108336.28580365394</v>
      </c>
      <c r="BK16" s="5">
        <f t="shared" si="28"/>
        <v>820599.60368345689</v>
      </c>
      <c r="BL16" s="5">
        <f t="shared" si="29"/>
        <v>24727.565647070107</v>
      </c>
      <c r="BM16" s="5">
        <f t="shared" si="30"/>
        <v>17768138.940092988</v>
      </c>
      <c r="BO16" s="5">
        <f t="shared" si="31"/>
        <v>-23785.700562994927</v>
      </c>
      <c r="BP16" s="12">
        <f t="shared" si="32"/>
        <v>-1.3368818182065971E-3</v>
      </c>
    </row>
    <row r="17" spans="1:68" x14ac:dyDescent="0.25">
      <c r="A17" s="1">
        <v>15</v>
      </c>
      <c r="B17" s="1">
        <v>210015</v>
      </c>
      <c r="C17" s="4">
        <v>743866296.19999993</v>
      </c>
      <c r="D17" s="4">
        <v>222122968.09999999</v>
      </c>
      <c r="E17" s="4">
        <f>IF(('Modeling - Base Estimates'!F17/SUM('Modeling - Base Estimates'!F17:G17)+$E$63)&gt;1,SUM('Modeling - Base Estimates'!F17:G17),(('Modeling - Base Estimates'!F17/SUM('Modeling - Base Estimates'!F17:G17)+$E$63))*SUM('Modeling - Base Estimates'!F17:G17))</f>
        <v>64123488.406930439</v>
      </c>
      <c r="F17" s="4">
        <f>SUM('Modeling - Base Estimates'!F17:G17)-E17</f>
        <v>57601852.393069573</v>
      </c>
      <c r="G17" s="4">
        <v>23054440.399999999</v>
      </c>
      <c r="H17" s="4">
        <v>161792057.39999998</v>
      </c>
      <c r="I17" s="4">
        <v>28034823.799999997</v>
      </c>
      <c r="J17" s="4">
        <v>40255594.899999999</v>
      </c>
      <c r="K17" s="4">
        <v>4100608.4</v>
      </c>
      <c r="L17" s="4">
        <v>26996832.299999997</v>
      </c>
      <c r="M17" s="4">
        <f t="shared" si="0"/>
        <v>115783630.10000014</v>
      </c>
      <c r="N17" s="12">
        <f t="shared" si="1"/>
        <v>0.29860603879313119</v>
      </c>
      <c r="O17" s="12">
        <f t="shared" si="2"/>
        <v>8.620297590373667E-2</v>
      </c>
      <c r="P17" s="12">
        <f t="shared" si="3"/>
        <v>7.7435760549073765E-2</v>
      </c>
      <c r="Q17" s="12">
        <f t="shared" si="10"/>
        <v>0.24849425057201563</v>
      </c>
      <c r="R17" s="12">
        <f t="shared" si="11"/>
        <v>3.7687987670921984E-2</v>
      </c>
      <c r="S17" s="12">
        <f t="shared" si="4"/>
        <v>5.4116707674004713E-2</v>
      </c>
      <c r="T17" s="12">
        <f t="shared" si="4"/>
        <v>5.512561089200751E-3</v>
      </c>
      <c r="U17" s="12">
        <f t="shared" si="4"/>
        <v>3.6292587038708204E-2</v>
      </c>
      <c r="V17" s="12">
        <f t="shared" si="12"/>
        <v>0.15565113070920736</v>
      </c>
      <c r="W17" s="4">
        <f>SUMIFS('Modeling - Base Estimates'!AK:AK,'Modeling - Base Estimates'!A:A,A17)</f>
        <v>415039339.37903076</v>
      </c>
      <c r="X17" s="4">
        <f>(W17*N17*(1-N$2))+(W17*O17*(1-'Modeling - Base Estimates'!$AA$51-N$2))+(W17*P17*(1-'Modeling - Base Estimates'!$AE$51))+(W17*Q17*(1-Q$2))+(W17*R17*(1-R$2))+(W17*S17*(1-S$2))+(W17*T17*(1-T$2))+(W17*U17*(1-U$2))+(W17*V17*(1-V$2))</f>
        <v>385776068.84782457</v>
      </c>
      <c r="Y17" s="5">
        <f>X17*N17*SUMIFS('Modeling - Base Estimates'!AN:AN,'Modeling - Base Estimates'!A:A,A17)</f>
        <v>1576304.6582632845</v>
      </c>
      <c r="Z17" s="4">
        <f t="shared" si="5"/>
        <v>384199764.18956131</v>
      </c>
      <c r="AA17" s="4">
        <f>(((W17*N17*(1-N$2))/X17)*X17)-Y17-(((SUMIFS('Modeling - Base Estimates'!X:X,'Modeling - Base Estimates'!A:A,A17)*N17*(1-N$2))/SUMIFS('Modeling - Base Estimates'!Z:Z,'Modeling - Base Estimates'!A:A,A17))*SUMIFS('Modeling - Base Estimates'!Z:Z,'Modeling - Base Estimates'!A:A,A17))</f>
        <v>2514.3845056593418</v>
      </c>
      <c r="AB17" s="4"/>
      <c r="AC17" s="18">
        <f>1-((((W17*O17*(1-N$2-'Modeling - Base Estimates'!$AA$51))/X17)*X17)/('Modeling - Base Estimates'!X17*'Modeling - Base Estimates'!P17))</f>
        <v>2.0984713997962534E-2</v>
      </c>
      <c r="AD17" s="18">
        <f t="shared" si="33"/>
        <v>-5.6015286002037465E-2</v>
      </c>
      <c r="AE17" s="18">
        <f>1-((((W17*P17*(1-'Modeling - Base Estimates'!$AE$51))/X17)*X17)/(SUMIFS('Modeling - Base Estimates'!X:X,'Modeling - Base Estimates'!A:A,A17)*'Modeling - Base Estimates'!Q17))</f>
        <v>0.21585347472161975</v>
      </c>
      <c r="AF17" s="18">
        <f t="shared" si="34"/>
        <v>0.13885347472161974</v>
      </c>
      <c r="AG17" s="18">
        <f>$N17*(1-$N$2)+$O17*(1-$N$2-'Modeling - Base Estimates'!$AA$51)+$P17*(1-'Modeling - Base Estimates'!$AE$51)+$Q17*(1-$Q$2)+$R17*(1-$R$2)+$S17*(1-$S$2)+$T17*(1-$T$2)+$U17*(1-$U$2)+$V17*(1-$V$2)</f>
        <v>0.92949277874480762</v>
      </c>
      <c r="AH17" s="18" t="e">
        <f>$O17*(1-$N$2-#REF!)+$P17*(1-#REF!)+$Q17*(1-$Q$2)+$R17*(1-$R$2)+$S17*(1-$S$2)+$T17*(1-$T$2)+$U17*(1-$U$2)+$V17*(1-$V$2)</f>
        <v>#REF!</v>
      </c>
      <c r="AJ17" s="7">
        <f>(SUMIFS('Modeling - Base Estimates'!$X:$X,'Modeling - Base Estimates'!$A:$A,$A17)*SUMIFS('Modeling - Base Estimates'!O:O,'Modeling - Base Estimates'!$A:$A,$A17)*($N$2))</f>
        <v>9411149.6890799068</v>
      </c>
      <c r="AK17" s="7">
        <f>(SUMIFS('Modeling - Base Estimates'!$X:$X,'Modeling - Base Estimates'!$A:$A,$A17)*SUMIFS('Modeling - Base Estimates'!P:P,'Modeling - Base Estimates'!$A:$A,$A17)*($N$2))</f>
        <v>2274010.1111082672</v>
      </c>
      <c r="AL17" s="7">
        <f>(SUMIFS('Modeling - Base Estimates'!$X:$X,'Modeling - Base Estimates'!$A:$A,$A17)*SUMIFS('Modeling - Base Estimates'!Q:Q,'Modeling - Base Estimates'!$A:$A,$A17)*($N$2))</f>
        <v>2883382.7196381981</v>
      </c>
      <c r="AM17" s="7">
        <f>(SUMIFS('Modeling - Base Estimates'!$X:$X,'Modeling - Base Estimates'!$A:$A,$A17)*SUMIFS('Modeling - Base Estimates'!R:R,'Modeling - Base Estimates'!$A:$A,$A17)*($N$2))</f>
        <v>7831779.2850435963</v>
      </c>
      <c r="AN17" s="7">
        <f>(SUMIFS('Modeling - Base Estimates'!X:X,'Modeling - Base Estimates'!A:A,$A17)*$R17*($R$2))+(SUMIFS('Modeling - Base Estimates'!X:X,'Modeling - Base Estimates'!A:A,$A17)*$S17*($S$2))+(SUMIFS('Modeling - Base Estimates'!X:X,'Modeling - Base Estimates'!A:A,$A17)*$T17*($T$2))+(SUMIFS('Modeling - Base Estimates'!X:X,'Modeling - Base Estimates'!A:A,$A17)*$U17*($U$2))+(SUMIFS('Modeling - Base Estimates'!X:X,'Modeling - Base Estimates'!A:A,$A17)*$V17*($V$2))</f>
        <v>2109419.9137473367</v>
      </c>
      <c r="AO17" s="7">
        <f>SUM(AJ17:AN17)-(SUMIFS('Modeling - Base Estimates'!X:X,'Modeling - Base Estimates'!A:A,A17)-SUMIFS('Modeling - Base Estimates'!Z:Z,'Modeling - Base Estimates'!A:A,A17))</f>
        <v>4.4703483581542969E-8</v>
      </c>
      <c r="AQ17" s="7">
        <f t="shared" si="13"/>
        <v>9542860.4867973607</v>
      </c>
      <c r="AR17" s="7">
        <f>(W17*$O17*($N$2+'Modeling - Base Estimates'!$AA$51))</f>
        <v>6864760.4664221359</v>
      </c>
      <c r="AS17" s="7">
        <f>(W17*P17*('Modeling - Base Estimates'!$AE$51))</f>
        <v>2775321.439587154</v>
      </c>
      <c r="AT17" s="7">
        <f t="shared" si="14"/>
        <v>7941386.4989610463</v>
      </c>
      <c r="AU17" s="7">
        <f t="shared" si="15"/>
        <v>2138941.6394386329</v>
      </c>
      <c r="AV17" s="5">
        <f t="shared" si="16"/>
        <v>1.3783574104309082E-7</v>
      </c>
      <c r="AX17" s="7">
        <f>SUMIFS('Modeling - Base Estimates'!X:X,'Modeling - Base Estimates'!A:A,A17)</f>
        <v>409310956.09716606</v>
      </c>
      <c r="AY17" s="5">
        <f t="shared" si="17"/>
        <v>9411149.6890799068</v>
      </c>
      <c r="AZ17" s="5">
        <f t="shared" si="18"/>
        <v>2274010.1111082672</v>
      </c>
      <c r="BA17" s="5">
        <f t="shared" si="19"/>
        <v>2883382.7196381981</v>
      </c>
      <c r="BB17" s="5">
        <f t="shared" si="20"/>
        <v>7831779.2850435963</v>
      </c>
      <c r="BC17" s="5">
        <f t="shared" si="21"/>
        <v>2109419.9137473367</v>
      </c>
      <c r="BD17" s="5">
        <f t="shared" si="22"/>
        <v>384801214.37854874</v>
      </c>
      <c r="BF17" s="5">
        <f t="shared" si="23"/>
        <v>415039339.37903076</v>
      </c>
      <c r="BG17" s="5">
        <f t="shared" si="24"/>
        <v>9542860.4867973607</v>
      </c>
      <c r="BH17" s="5">
        <f t="shared" si="25"/>
        <v>1576304.6582632845</v>
      </c>
      <c r="BI17" s="5">
        <f t="shared" si="26"/>
        <v>6864760.4664221359</v>
      </c>
      <c r="BJ17" s="5">
        <f t="shared" si="27"/>
        <v>2775321.439587154</v>
      </c>
      <c r="BK17" s="5">
        <f t="shared" si="28"/>
        <v>7941386.4989610463</v>
      </c>
      <c r="BL17" s="5">
        <f t="shared" si="29"/>
        <v>2138941.6394386329</v>
      </c>
      <c r="BM17" s="5">
        <f t="shared" si="30"/>
        <v>384199764.18956113</v>
      </c>
      <c r="BO17" s="5">
        <f t="shared" si="31"/>
        <v>-601450.18898761272</v>
      </c>
      <c r="BP17" s="12">
        <f t="shared" si="32"/>
        <v>-1.5630153089796002E-3</v>
      </c>
    </row>
    <row r="18" spans="1:68" x14ac:dyDescent="0.25">
      <c r="A18" s="1">
        <v>18</v>
      </c>
      <c r="B18" s="1">
        <v>210018</v>
      </c>
      <c r="C18" s="4">
        <v>241848933</v>
      </c>
      <c r="D18" s="4">
        <v>90932270</v>
      </c>
      <c r="E18" s="4">
        <f>IF(('Modeling - Base Estimates'!F18/SUM('Modeling - Base Estimates'!F18:G18)+$E$63)&gt;1,SUM('Modeling - Base Estimates'!F18:G18),(('Modeling - Base Estimates'!F18/SUM('Modeling - Base Estimates'!F18:G18)+$E$63))*SUM('Modeling - Base Estimates'!F18:G18))</f>
        <v>13031905.894228581</v>
      </c>
      <c r="F18" s="4">
        <f>SUM('Modeling - Base Estimates'!F18:G18)-E18</f>
        <v>13998352.305771418</v>
      </c>
      <c r="G18" s="4">
        <v>6165380</v>
      </c>
      <c r="H18" s="4">
        <v>31779251.599999998</v>
      </c>
      <c r="I18" s="4">
        <v>8106210</v>
      </c>
      <c r="J18" s="4">
        <v>17127791.199999999</v>
      </c>
      <c r="K18" s="4">
        <v>1048543.1000000001</v>
      </c>
      <c r="L18" s="4">
        <v>10355704.199999999</v>
      </c>
      <c r="M18" s="4">
        <f t="shared" si="0"/>
        <v>49303524.700000048</v>
      </c>
      <c r="N18" s="12">
        <f t="shared" si="1"/>
        <v>0.37598788992796589</v>
      </c>
      <c r="O18" s="12">
        <f t="shared" si="2"/>
        <v>5.3884487860149384E-2</v>
      </c>
      <c r="P18" s="12">
        <f t="shared" si="3"/>
        <v>5.7880562598022371E-2</v>
      </c>
      <c r="Q18" s="12">
        <f t="shared" si="10"/>
        <v>0.15689393841568031</v>
      </c>
      <c r="R18" s="12">
        <f t="shared" si="11"/>
        <v>3.3517658727896887E-2</v>
      </c>
      <c r="S18" s="12">
        <f t="shared" si="4"/>
        <v>7.0820205768697769E-2</v>
      </c>
      <c r="T18" s="12">
        <f t="shared" si="4"/>
        <v>4.3355291544742939E-3</v>
      </c>
      <c r="U18" s="12">
        <f t="shared" si="4"/>
        <v>4.2818895545840591E-2</v>
      </c>
      <c r="V18" s="12">
        <f t="shared" si="12"/>
        <v>0.20386083200127267</v>
      </c>
      <c r="W18" s="4">
        <f>SUMIFS('Modeling - Base Estimates'!AK:AK,'Modeling - Base Estimates'!A:A,A18)</f>
        <v>133350912.98823373</v>
      </c>
      <c r="X18" s="4">
        <f>(W18*N18*(1-N$2))+(W18*O18*(1-'Modeling - Base Estimates'!$AA$51-N$2))+(W18*P18*(1-'Modeling - Base Estimates'!$AE$51))+(W18*Q18*(1-Q$2))+(W18*R18*(1-R$2))+(W18*S18*(1-S$2))+(W18*T18*(1-T$2))+(W18*U18*(1-U$2))+(W18*V18*(1-V$2))</f>
        <v>124989333.89646105</v>
      </c>
      <c r="Y18" s="5">
        <f>X18*N18*SUMIFS('Modeling - Base Estimates'!AN:AN,'Modeling - Base Estimates'!A:A,A18)</f>
        <v>443975.43738014874</v>
      </c>
      <c r="Z18" s="4">
        <f t="shared" si="5"/>
        <v>124545358.4590809</v>
      </c>
      <c r="AA18" s="4">
        <f>(((W18*N18*(1-N$2))/X18)*X18)-Y18-(((SUMIFS('Modeling - Base Estimates'!X:X,'Modeling - Base Estimates'!A:A,A18)*N18*(1-N$2))/SUMIFS('Modeling - Base Estimates'!Z:Z,'Modeling - Base Estimates'!A:A,A18))*SUMIFS('Modeling - Base Estimates'!Z:Z,'Modeling - Base Estimates'!A:A,A18))</f>
        <v>479.66655442118645</v>
      </c>
      <c r="AB18" s="4"/>
      <c r="AC18" s="18">
        <f>1-((((W18*O18*(1-N$2-'Modeling - Base Estimates'!$AA$51))/X18)*X18)/('Modeling - Base Estimates'!X18*'Modeling - Base Estimates'!P18))</f>
        <v>7.2232303692304489E-3</v>
      </c>
      <c r="AD18" s="18">
        <f t="shared" si="33"/>
        <v>-6.977676963076955E-2</v>
      </c>
      <c r="AE18" s="18">
        <f>1-((((W18*P18*(1-'Modeling - Base Estimates'!$AE$51))/X18)*X18)/(SUMIFS('Modeling - Base Estimates'!X:X,'Modeling - Base Estimates'!A:A,A18)*'Modeling - Base Estimates'!Q18))</f>
        <v>0.2086953538787758</v>
      </c>
      <c r="AF18" s="18">
        <f t="shared" si="34"/>
        <v>0.13169535387877579</v>
      </c>
      <c r="AG18" s="18">
        <f>$N18*(1-$N$2)+$O18*(1-$N$2-'Modeling - Base Estimates'!$AA$51)+$P18*(1-'Modeling - Base Estimates'!$AE$51)+$Q18*(1-$Q$2)+$R18*(1-$R$2)+$S18*(1-$S$2)+$T18*(1-$T$2)+$U18*(1-$U$2)+$V18*(1-$V$2)</f>
        <v>0.93729642411589276</v>
      </c>
      <c r="AH18" s="18" t="e">
        <f>$O18*(1-$N$2-#REF!)+$P18*(1-#REF!)+$Q18*(1-$Q$2)+$R18*(1-$R$2)+$S18*(1-$S$2)+$T18*(1-$T$2)+$U18*(1-$U$2)+$V18*(1-$V$2)</f>
        <v>#REF!</v>
      </c>
      <c r="AJ18" s="7">
        <f>(SUMIFS('Modeling - Base Estimates'!$X:$X,'Modeling - Base Estimates'!$A:$A,$A18)*SUMIFS('Modeling - Base Estimates'!O:O,'Modeling - Base Estimates'!$A:$A,$A18)*($N$2))</f>
        <v>3823573.2332788948</v>
      </c>
      <c r="AK18" s="7">
        <f>(SUMIFS('Modeling - Base Estimates'!$X:$X,'Modeling - Base Estimates'!$A:$A,$A18)*SUMIFS('Modeling - Base Estimates'!P:P,'Modeling - Base Estimates'!$A:$A,$A18)*($N$2))</f>
        <v>450379.36967988947</v>
      </c>
      <c r="AL18" s="7">
        <f>(SUMIFS('Modeling - Base Estimates'!$X:$X,'Modeling - Base Estimates'!$A:$A,$A18)*SUMIFS('Modeling - Base Estimates'!Q:Q,'Modeling - Base Estimates'!$A:$A,$A18)*($N$2))</f>
        <v>686204.7246370936</v>
      </c>
      <c r="AM18" s="7">
        <f>(SUMIFS('Modeling - Base Estimates'!$X:$X,'Modeling - Base Estimates'!$A:$A,$A18)*SUMIFS('Modeling - Base Estimates'!R:R,'Modeling - Base Estimates'!$A:$A,$A18)*($N$2))</f>
        <v>1595518.0458201307</v>
      </c>
      <c r="AN18" s="7">
        <f>(SUMIFS('Modeling - Base Estimates'!X:X,'Modeling - Base Estimates'!A:A,$A18)*$R18*($R$2))+(SUMIFS('Modeling - Base Estimates'!X:X,'Modeling - Base Estimates'!A:A,$A18)*$S18*($S$2))+(SUMIFS('Modeling - Base Estimates'!X:X,'Modeling - Base Estimates'!A:A,$A18)*$T18*($T$2))+(SUMIFS('Modeling - Base Estimates'!X:X,'Modeling - Base Estimates'!A:A,$A18)*$U18*($U$2))+(SUMIFS('Modeling - Base Estimates'!X:X,'Modeling - Base Estimates'!A:A,$A18)*$V18*($V$2))</f>
        <v>836595.8536825839</v>
      </c>
      <c r="AO18" s="7">
        <f>SUM(AJ18:AN18)-(SUMIFS('Modeling - Base Estimates'!X:X,'Modeling - Base Estimates'!A:A,A18)-SUMIFS('Modeling - Base Estimates'!Z:Z,'Modeling - Base Estimates'!A:A,A18))</f>
        <v>9.3132257461547852E-9</v>
      </c>
      <c r="AQ18" s="7">
        <f t="shared" si="13"/>
        <v>3860651.2863698611</v>
      </c>
      <c r="AR18" s="7">
        <f>(W18*$O18*($N$2+'Modeling - Base Estimates'!$AA$51))</f>
        <v>1378712.2008966182</v>
      </c>
      <c r="AS18" s="7">
        <f>(W18*P18*('Modeling - Base Estimates'!$AE$51))</f>
        <v>666516.94729464361</v>
      </c>
      <c r="AT18" s="7">
        <f t="shared" si="14"/>
        <v>1610990.1446139028</v>
      </c>
      <c r="AU18" s="7">
        <f t="shared" si="15"/>
        <v>844708.51259769103</v>
      </c>
      <c r="AV18" s="5">
        <f t="shared" si="16"/>
        <v>4.0978193283081055E-8</v>
      </c>
      <c r="AX18" s="7">
        <f>SUMIFS('Modeling - Base Estimates'!X:X,'Modeling - Base Estimates'!A:A,A18)</f>
        <v>132070198.44948146</v>
      </c>
      <c r="AY18" s="5">
        <f t="shared" si="17"/>
        <v>3823573.2332788948</v>
      </c>
      <c r="AZ18" s="5">
        <f t="shared" si="18"/>
        <v>450379.36967988947</v>
      </c>
      <c r="BA18" s="5">
        <f t="shared" si="19"/>
        <v>686204.7246370936</v>
      </c>
      <c r="BB18" s="5">
        <f t="shared" si="20"/>
        <v>1595518.0458201307</v>
      </c>
      <c r="BC18" s="5">
        <f t="shared" si="21"/>
        <v>836595.8536825839</v>
      </c>
      <c r="BD18" s="5">
        <f t="shared" si="22"/>
        <v>124677927.22238286</v>
      </c>
      <c r="BF18" s="5">
        <f t="shared" si="23"/>
        <v>133350912.98823373</v>
      </c>
      <c r="BG18" s="5">
        <f t="shared" si="24"/>
        <v>3860651.2863698611</v>
      </c>
      <c r="BH18" s="5">
        <f t="shared" si="25"/>
        <v>443975.43738014874</v>
      </c>
      <c r="BI18" s="5">
        <f t="shared" si="26"/>
        <v>1378712.2008966182</v>
      </c>
      <c r="BJ18" s="5">
        <f t="shared" si="27"/>
        <v>666516.94729464361</v>
      </c>
      <c r="BK18" s="5">
        <f t="shared" si="28"/>
        <v>1610990.1446139028</v>
      </c>
      <c r="BL18" s="5">
        <f t="shared" si="29"/>
        <v>844708.51259769103</v>
      </c>
      <c r="BM18" s="5">
        <f t="shared" si="30"/>
        <v>124545358.45908086</v>
      </c>
      <c r="BO18" s="5">
        <f t="shared" si="31"/>
        <v>-132568.76330199838</v>
      </c>
      <c r="BP18" s="12">
        <f t="shared" si="32"/>
        <v>-1.0632897599070681E-3</v>
      </c>
    </row>
    <row r="19" spans="1:68" x14ac:dyDescent="0.25">
      <c r="A19" s="1">
        <v>19</v>
      </c>
      <c r="B19" s="1">
        <v>210019</v>
      </c>
      <c r="C19" s="4">
        <v>650222000</v>
      </c>
      <c r="D19" s="4">
        <v>245185000</v>
      </c>
      <c r="E19" s="4">
        <f>IF(('Modeling - Base Estimates'!F19/SUM('Modeling - Base Estimates'!F19:G19)+$E$63)&gt;1,SUM('Modeling - Base Estimates'!F19:G19),(('Modeling - Base Estimates'!F19/SUM('Modeling - Base Estimates'!F19:G19)+$E$63))*SUM('Modeling - Base Estimates'!F19:G19))</f>
        <v>47712408.604590945</v>
      </c>
      <c r="F19" s="4">
        <f>SUM('Modeling - Base Estimates'!F19:G19)-E19</f>
        <v>51681391.395409055</v>
      </c>
      <c r="G19" s="4">
        <v>13782000</v>
      </c>
      <c r="H19" s="4">
        <v>107338400</v>
      </c>
      <c r="I19" s="4">
        <v>31344100</v>
      </c>
      <c r="J19" s="4">
        <v>40337600</v>
      </c>
      <c r="K19" s="4">
        <v>0</v>
      </c>
      <c r="L19" s="4">
        <v>30523300</v>
      </c>
      <c r="M19" s="4">
        <f t="shared" si="0"/>
        <v>82317800</v>
      </c>
      <c r="N19" s="12">
        <f t="shared" si="1"/>
        <v>0.37707890535847755</v>
      </c>
      <c r="O19" s="12">
        <f t="shared" si="2"/>
        <v>7.3378643916371555E-2</v>
      </c>
      <c r="P19" s="12">
        <f t="shared" si="3"/>
        <v>7.9482686521540419E-2</v>
      </c>
      <c r="Q19" s="12">
        <f t="shared" si="10"/>
        <v>0.18627545669017659</v>
      </c>
      <c r="R19" s="12">
        <f t="shared" si="11"/>
        <v>4.8205228368157334E-2</v>
      </c>
      <c r="S19" s="12">
        <f t="shared" si="4"/>
        <v>6.2036658249028792E-2</v>
      </c>
      <c r="T19" s="12">
        <f t="shared" si="4"/>
        <v>0</v>
      </c>
      <c r="U19" s="12">
        <f t="shared" si="4"/>
        <v>4.6942890274398588E-2</v>
      </c>
      <c r="V19" s="12">
        <f t="shared" si="12"/>
        <v>0.12659953062184914</v>
      </c>
      <c r="W19" s="4">
        <f>SUMIFS('Modeling - Base Estimates'!AK:AK,'Modeling - Base Estimates'!A:A,A19)</f>
        <v>361925233.59871</v>
      </c>
      <c r="X19" s="4">
        <f>(W19*N19*(1-N$2))+(W19*O19*(1-'Modeling - Base Estimates'!$AA$51-N$2))+(W19*P19*(1-'Modeling - Base Estimates'!$AE$51))+(W19*Q19*(1-Q$2))+(W19*R19*(1-R$2))+(W19*S19*(1-S$2))+(W19*T19*(1-T$2))+(W19*U19*(1-U$2))+(W19*V19*(1-V$2))</f>
        <v>336887732.45652938</v>
      </c>
      <c r="Y19" s="5">
        <f>X19*N19*SUMIFS('Modeling - Base Estimates'!AN:AN,'Modeling - Base Estimates'!A:A,A19)</f>
        <v>1659502.97101779</v>
      </c>
      <c r="Z19" s="4">
        <f t="shared" si="5"/>
        <v>335228229.4855116</v>
      </c>
      <c r="AA19" s="4">
        <f>(((W19*N19*(1-N$2))/X19)*X19)-Y19-(((SUMIFS('Modeling - Base Estimates'!X:X,'Modeling - Base Estimates'!A:A,A19)*N19*(1-N$2))/SUMIFS('Modeling - Base Estimates'!Z:Z,'Modeling - Base Estimates'!A:A,A19))*SUMIFS('Modeling - Base Estimates'!Z:Z,'Modeling - Base Estimates'!A:A,A19))</f>
        <v>2469.2256036698818</v>
      </c>
      <c r="AB19" s="4"/>
      <c r="AC19" s="18">
        <f>1-((((W19*O19*(1-N$2-'Modeling - Base Estimates'!$AA$51))/X19)*X19)/('Modeling - Base Estimates'!X19*'Modeling - Base Estimates'!P19))</f>
        <v>2.6713720858909662E-3</v>
      </c>
      <c r="AD19" s="18">
        <f t="shared" si="33"/>
        <v>-7.4328627914109033E-2</v>
      </c>
      <c r="AE19" s="18">
        <f>1-((((W19*P19*(1-'Modeling - Base Estimates'!$AE$51))/X19)*X19)/(SUMIFS('Modeling - Base Estimates'!X:X,'Modeling - Base Estimates'!A:A,A19)*'Modeling - Base Estimates'!Q19))</f>
        <v>0.20536278780092787</v>
      </c>
      <c r="AF19" s="18">
        <f t="shared" si="34"/>
        <v>0.12836278780092786</v>
      </c>
      <c r="AG19" s="18">
        <f>$N19*(1-$N$2)+$O19*(1-$N$2-'Modeling - Base Estimates'!$AA$51)+$P19*(1-'Modeling - Base Estimates'!$AE$51)+$Q19*(1-$Q$2)+$R19*(1-$R$2)+$S19*(1-$S$2)+$T19*(1-$T$2)+$U19*(1-$U$2)+$V19*(1-$V$2)</f>
        <v>0.93082134425050544</v>
      </c>
      <c r="AH19" s="18" t="e">
        <f>$O19*(1-$N$2-#REF!)+$P19*(1-#REF!)+$Q19*(1-$Q$2)+$R19*(1-$R$2)+$S19*(1-$S$2)+$T19*(1-$T$2)+$U19*(1-$U$2)+$V19*(1-$V$2)</f>
        <v>#REF!</v>
      </c>
      <c r="AJ19" s="7">
        <f>(SUMIFS('Modeling - Base Estimates'!$X:$X,'Modeling - Base Estimates'!$A:$A,$A19)*SUMIFS('Modeling - Base Estimates'!O:O,'Modeling - Base Estimates'!$A:$A,$A19)*($N$2))</f>
        <v>10369878.825127259</v>
      </c>
      <c r="AK19" s="7">
        <f>(SUMIFS('Modeling - Base Estimates'!$X:$X,'Modeling - Base Estimates'!$A:$A,$A19)*SUMIFS('Modeling - Base Estimates'!P:P,'Modeling - Base Estimates'!$A:$A,$A19)*($N$2))</f>
        <v>1656992.7247240567</v>
      </c>
      <c r="AL19" s="7">
        <f>(SUMIFS('Modeling - Base Estimates'!$X:$X,'Modeling - Base Estimates'!$A:$A,$A19)*SUMIFS('Modeling - Base Estimates'!Q:Q,'Modeling - Base Estimates'!$A:$A,$A19)*($N$2))</f>
        <v>2546778.5580580621</v>
      </c>
      <c r="AM19" s="7">
        <f>(SUMIFS('Modeling - Base Estimates'!$X:$X,'Modeling - Base Estimates'!$A:$A,$A19)*SUMIFS('Modeling - Base Estimates'!R:R,'Modeling - Base Estimates'!$A:$A,$A19)*($N$2))</f>
        <v>5122678.2684542025</v>
      </c>
      <c r="AN19" s="7">
        <f>(SUMIFS('Modeling - Base Estimates'!X:X,'Modeling - Base Estimates'!A:A,$A19)*$R19*($R$2))+(SUMIFS('Modeling - Base Estimates'!X:X,'Modeling - Base Estimates'!A:A,$A19)*$S19*($S$2))+(SUMIFS('Modeling - Base Estimates'!X:X,'Modeling - Base Estimates'!A:A,$A19)*$T19*($T$2))+(SUMIFS('Modeling - Base Estimates'!X:X,'Modeling - Base Estimates'!A:A,$A19)*$U19*($U$2))+(SUMIFS('Modeling - Base Estimates'!X:X,'Modeling - Base Estimates'!A:A,$A19)*$V19*($V$2))</f>
        <v>1734799.743305963</v>
      </c>
      <c r="AO19" s="7">
        <f>SUM(AJ19:AN19)-(SUMIFS('Modeling - Base Estimates'!X:X,'Modeling - Base Estimates'!A:A,A19)-SUMIFS('Modeling - Base Estimates'!Z:Z,'Modeling - Base Estimates'!A:A,A19))</f>
        <v>0</v>
      </c>
      <c r="AQ19" s="7">
        <f t="shared" si="13"/>
        <v>10508526.55983999</v>
      </c>
      <c r="AR19" s="7">
        <f>(W19*$O19*($N$2+'Modeling - Base Estimates'!$AA$51))</f>
        <v>5095683.0923723979</v>
      </c>
      <c r="AS19" s="7">
        <f>(W19*P19*('Modeling - Base Estimates'!$AE$51))</f>
        <v>2484127.3738468657</v>
      </c>
      <c r="AT19" s="7">
        <f t="shared" si="14"/>
        <v>5191169.6895749876</v>
      </c>
      <c r="AU19" s="7">
        <f t="shared" si="15"/>
        <v>1757994.4265463089</v>
      </c>
      <c r="AV19" s="5">
        <f t="shared" si="16"/>
        <v>-7.0780515670776367E-8</v>
      </c>
      <c r="AX19" s="7">
        <f>SUMIFS('Modeling - Base Estimates'!X:X,'Modeling - Base Estimates'!A:A,A19)</f>
        <v>357150052.84543407</v>
      </c>
      <c r="AY19" s="5">
        <f t="shared" si="17"/>
        <v>10369878.825127259</v>
      </c>
      <c r="AZ19" s="5">
        <f t="shared" si="18"/>
        <v>1656992.7247240567</v>
      </c>
      <c r="BA19" s="5">
        <f t="shared" si="19"/>
        <v>2546778.5580580621</v>
      </c>
      <c r="BB19" s="5">
        <f t="shared" si="20"/>
        <v>5122678.2684542025</v>
      </c>
      <c r="BC19" s="5">
        <f t="shared" si="21"/>
        <v>1734799.743305963</v>
      </c>
      <c r="BD19" s="5">
        <f t="shared" si="22"/>
        <v>335718924.72576451</v>
      </c>
      <c r="BF19" s="5">
        <f t="shared" si="23"/>
        <v>361925233.59871</v>
      </c>
      <c r="BG19" s="5">
        <f t="shared" si="24"/>
        <v>10508526.55983999</v>
      </c>
      <c r="BH19" s="5">
        <f t="shared" si="25"/>
        <v>1659502.97101779</v>
      </c>
      <c r="BI19" s="5">
        <f t="shared" si="26"/>
        <v>5095683.0923723979</v>
      </c>
      <c r="BJ19" s="5">
        <f t="shared" si="27"/>
        <v>2484127.3738468657</v>
      </c>
      <c r="BK19" s="5">
        <f t="shared" si="28"/>
        <v>5191169.6895749876</v>
      </c>
      <c r="BL19" s="5">
        <f t="shared" si="29"/>
        <v>1757994.4265463089</v>
      </c>
      <c r="BM19" s="5">
        <f t="shared" si="30"/>
        <v>335228229.48551166</v>
      </c>
      <c r="BO19" s="5">
        <f t="shared" si="31"/>
        <v>-490695.24025285244</v>
      </c>
      <c r="BP19" s="12">
        <f t="shared" si="32"/>
        <v>-1.4616251992755009E-3</v>
      </c>
    </row>
    <row r="20" spans="1:68" x14ac:dyDescent="0.25">
      <c r="A20" s="1">
        <v>22</v>
      </c>
      <c r="B20" s="1">
        <v>210022</v>
      </c>
      <c r="C20" s="4">
        <v>465603383.90000004</v>
      </c>
      <c r="D20" s="4">
        <v>190450461.60000002</v>
      </c>
      <c r="E20" s="4">
        <f>IF(('Modeling - Base Estimates'!F20/SUM('Modeling - Base Estimates'!F20:G20)+$E$63)&gt;1,SUM('Modeling - Base Estimates'!F20:G20),(('Modeling - Base Estimates'!F20/SUM('Modeling - Base Estimates'!F20:G20)+$E$63))*SUM('Modeling - Base Estimates'!F20:G20))</f>
        <v>18266151.448726486</v>
      </c>
      <c r="F20" s="4">
        <f>SUM('Modeling - Base Estimates'!F20:G20)-E20</f>
        <v>5498029.6512735151</v>
      </c>
      <c r="G20" s="4">
        <v>9495691.4000000004</v>
      </c>
      <c r="H20" s="4">
        <v>29607100.600000001</v>
      </c>
      <c r="I20" s="4">
        <v>29703282.100000001</v>
      </c>
      <c r="J20" s="4">
        <v>39706360.899999999</v>
      </c>
      <c r="K20" s="4">
        <v>1919982.8</v>
      </c>
      <c r="L20" s="4">
        <v>17032436</v>
      </c>
      <c r="M20" s="4">
        <f t="shared" si="0"/>
        <v>123923887.40000004</v>
      </c>
      <c r="N20" s="12">
        <f t="shared" si="1"/>
        <v>0.40904011479629626</v>
      </c>
      <c r="O20" s="12">
        <f t="shared" si="2"/>
        <v>3.923113980771583E-2</v>
      </c>
      <c r="P20" s="12">
        <f t="shared" si="3"/>
        <v>1.1808397106611997E-2</v>
      </c>
      <c r="Q20" s="12">
        <f t="shared" si="10"/>
        <v>8.398304941958562E-2</v>
      </c>
      <c r="R20" s="12">
        <f t="shared" si="11"/>
        <v>6.3795245324891198E-2</v>
      </c>
      <c r="S20" s="12">
        <f t="shared" si="4"/>
        <v>8.5279364955233944E-2</v>
      </c>
      <c r="T20" s="12">
        <f t="shared" si="4"/>
        <v>4.123644428693337E-3</v>
      </c>
      <c r="U20" s="12">
        <f t="shared" si="4"/>
        <v>3.6581426572402535E-2</v>
      </c>
      <c r="V20" s="12">
        <f t="shared" si="12"/>
        <v>0.26615761758856932</v>
      </c>
      <c r="W20" s="4">
        <f>SUMIFS('Modeling - Base Estimates'!AK:AK,'Modeling - Base Estimates'!A:A,A20)</f>
        <v>259175192.68029818</v>
      </c>
      <c r="X20" s="4">
        <f>(W20*N20*(1-N$2))+(W20*O20*(1-'Modeling - Base Estimates'!$AA$51-N$2))+(W20*P20*(1-'Modeling - Base Estimates'!$AE$51))+(W20*Q20*(1-Q$2))+(W20*R20*(1-R$2))+(W20*S20*(1-S$2))+(W20*T20*(1-T$2))+(W20*U20*(1-U$2))+(W20*V20*(1-V$2))</f>
        <v>244905916.79046303</v>
      </c>
      <c r="Y20" s="5">
        <f>X20*N20*SUMIFS('Modeling - Base Estimates'!AN:AN,'Modeling - Base Estimates'!A:A,A20)</f>
        <v>712125.45760593517</v>
      </c>
      <c r="Z20" s="4">
        <f t="shared" si="5"/>
        <v>244193791.3328571</v>
      </c>
      <c r="AA20" s="4">
        <f>(((W20*N20*(1-N$2))/X20)*X20)-Y20-(((SUMIFS('Modeling - Base Estimates'!X:X,'Modeling - Base Estimates'!A:A,A20)*N20*(1-N$2))/SUMIFS('Modeling - Base Estimates'!Z:Z,'Modeling - Base Estimates'!A:A,A20))*SUMIFS('Modeling - Base Estimates'!Z:Z,'Modeling - Base Estimates'!A:A,A20))</f>
        <v>348.50484879314899</v>
      </c>
      <c r="AB20" s="4"/>
      <c r="AC20" s="18">
        <f>1-((((W20*O20*(1-N$2-'Modeling - Base Estimates'!$AA$51))/X20)*X20)/('Modeling - Base Estimates'!X20*'Modeling - Base Estimates'!P20))</f>
        <v>8.3570201762449114E-2</v>
      </c>
      <c r="AD20" s="18">
        <f t="shared" si="33"/>
        <v>6.5702017624491155E-3</v>
      </c>
      <c r="AE20" s="18">
        <f>1-((((W20*P20*(1-'Modeling - Base Estimates'!$AE$51))/X20)*X20)/(SUMIFS('Modeling - Base Estimates'!X:X,'Modeling - Base Estimates'!A:A,A20)*'Modeling - Base Estimates'!Q20))</f>
        <v>0.32877167223979242</v>
      </c>
      <c r="AF20" s="18">
        <f t="shared" si="34"/>
        <v>0.25177167223979241</v>
      </c>
      <c r="AG20" s="18">
        <f>$N20*(1-$N$2)+$O20*(1-$N$2-'Modeling - Base Estimates'!$AA$51)+$P20*(1-'Modeling - Base Estimates'!$AE$51)+$Q20*(1-$Q$2)+$R20*(1-$R$2)+$S20*(1-$S$2)+$T20*(1-$T$2)+$U20*(1-$U$2)+$V20*(1-$V$2)</f>
        <v>0.94494351198404702</v>
      </c>
      <c r="AH20" s="18" t="e">
        <f>$O20*(1-$N$2-#REF!)+$P20*(1-#REF!)+$Q20*(1-$Q$2)+$R20*(1-$R$2)+$S20*(1-$S$2)+$T20*(1-$T$2)+$U20*(1-$U$2)+$V20*(1-$V$2)</f>
        <v>#REF!</v>
      </c>
      <c r="AJ20" s="7">
        <f>(SUMIFS('Modeling - Base Estimates'!$X:$X,'Modeling - Base Estimates'!$A:$A,$A20)*SUMIFS('Modeling - Base Estimates'!O:O,'Modeling - Base Estimates'!$A:$A,$A20)*($N$2))</f>
        <v>8103567.7374740969</v>
      </c>
      <c r="AK20" s="7">
        <f>(SUMIFS('Modeling - Base Estimates'!$X:$X,'Modeling - Base Estimates'!$A:$A,$A20)*SUMIFS('Modeling - Base Estimates'!P:P,'Modeling - Base Estimates'!$A:$A,$A20)*($N$2))</f>
        <v>690391.59632901533</v>
      </c>
      <c r="AL20" s="7">
        <f>(SUMIFS('Modeling - Base Estimates'!$X:$X,'Modeling - Base Estimates'!$A:$A,$A20)*SUMIFS('Modeling - Base Estimates'!Q:Q,'Modeling - Base Estimates'!$A:$A,$A20)*($N$2))</f>
        <v>320761.90601278056</v>
      </c>
      <c r="AM20" s="7">
        <f>(SUMIFS('Modeling - Base Estimates'!$X:$X,'Modeling - Base Estimates'!$A:$A,$A20)*SUMIFS('Modeling - Base Estimates'!R:R,'Modeling - Base Estimates'!$A:$A,$A20)*($N$2))</f>
        <v>1663803.3903109229</v>
      </c>
      <c r="AN20" s="7">
        <f>(SUMIFS('Modeling - Base Estimates'!X:X,'Modeling - Base Estimates'!A:A,$A20)*$R20*($R$2))+(SUMIFS('Modeling - Base Estimates'!X:X,'Modeling - Base Estimates'!A:A,$A20)*$S20*($S$2))+(SUMIFS('Modeling - Base Estimates'!X:X,'Modeling - Base Estimates'!A:A,$A20)*$T20*($T$2))+(SUMIFS('Modeling - Base Estimates'!X:X,'Modeling - Base Estimates'!A:A,$A20)*$U20*($U$2))+(SUMIFS('Modeling - Base Estimates'!X:X,'Modeling - Base Estimates'!A:A,$A20)*$V20*($V$2))</f>
        <v>2198939.6025732909</v>
      </c>
      <c r="AO20" s="7">
        <f>SUM(AJ20:AN20)-(SUMIFS('Modeling - Base Estimates'!X:X,'Modeling - Base Estimates'!A:A,A20)-SUMIFS('Modeling - Base Estimates'!Z:Z,'Modeling - Base Estimates'!A:A,A20))</f>
        <v>-3.3527612686157227E-8</v>
      </c>
      <c r="AQ20" s="7">
        <f t="shared" si="13"/>
        <v>8163004.8936052062</v>
      </c>
      <c r="AR20" s="7">
        <f>(W20*$O20*($N$2+'Modeling - Base Estimates'!$AA$51))</f>
        <v>1950914.4352428548</v>
      </c>
      <c r="AS20" s="7">
        <f>(W20*P20*('Modeling - Base Estimates'!$AE$51))</f>
        <v>264281.54623299552</v>
      </c>
      <c r="AT20" s="7">
        <f t="shared" si="14"/>
        <v>1676006.8721704083</v>
      </c>
      <c r="AU20" s="7">
        <f t="shared" si="15"/>
        <v>2215068.1425837139</v>
      </c>
      <c r="AV20" s="5">
        <f t="shared" si="16"/>
        <v>2.6077032089233398E-8</v>
      </c>
      <c r="AX20" s="7">
        <f>SUMIFS('Modeling - Base Estimates'!X:X,'Modeling - Base Estimates'!A:A,A20)</f>
        <v>257288064.52180392</v>
      </c>
      <c r="AY20" s="5">
        <f t="shared" si="17"/>
        <v>8103567.7374740969</v>
      </c>
      <c r="AZ20" s="5">
        <f t="shared" si="18"/>
        <v>690391.59632901533</v>
      </c>
      <c r="BA20" s="5">
        <f t="shared" si="19"/>
        <v>320761.90601278056</v>
      </c>
      <c r="BB20" s="5">
        <f t="shared" si="20"/>
        <v>1663803.3903109229</v>
      </c>
      <c r="BC20" s="5">
        <f t="shared" si="21"/>
        <v>2198939.6025732909</v>
      </c>
      <c r="BD20" s="5">
        <f t="shared" si="22"/>
        <v>244310600.28910381</v>
      </c>
      <c r="BF20" s="5">
        <f t="shared" si="23"/>
        <v>259175192.68029818</v>
      </c>
      <c r="BG20" s="5">
        <f t="shared" si="24"/>
        <v>8163004.8936052062</v>
      </c>
      <c r="BH20" s="5">
        <f t="shared" si="25"/>
        <v>712125.45760593517</v>
      </c>
      <c r="BI20" s="5">
        <f t="shared" si="26"/>
        <v>1950914.4352428548</v>
      </c>
      <c r="BJ20" s="5">
        <f t="shared" si="27"/>
        <v>264281.54623299552</v>
      </c>
      <c r="BK20" s="5">
        <f t="shared" si="28"/>
        <v>1676006.8721704083</v>
      </c>
      <c r="BL20" s="5">
        <f t="shared" si="29"/>
        <v>2215068.1425837139</v>
      </c>
      <c r="BM20" s="5">
        <f t="shared" si="30"/>
        <v>244193791.33285707</v>
      </c>
      <c r="BO20" s="5">
        <f t="shared" si="31"/>
        <v>-116808.95624673367</v>
      </c>
      <c r="BP20" s="12">
        <f t="shared" si="32"/>
        <v>-4.7811661102100495E-4</v>
      </c>
    </row>
    <row r="21" spans="1:68" x14ac:dyDescent="0.25">
      <c r="A21" s="1">
        <v>23</v>
      </c>
      <c r="B21" s="1">
        <v>210023</v>
      </c>
      <c r="C21" s="4">
        <v>791316600</v>
      </c>
      <c r="D21" s="4">
        <v>281747900</v>
      </c>
      <c r="E21" s="4">
        <f>IF(('Modeling - Base Estimates'!F21/SUM('Modeling - Base Estimates'!F21:G21)+$E$63)&gt;1,SUM('Modeling - Base Estimates'!F21:G21),(('Modeling - Base Estimates'!F21/SUM('Modeling - Base Estimates'!F21:G21)+$E$63))*SUM('Modeling - Base Estimates'!F21:G21))</f>
        <v>53519734.692795195</v>
      </c>
      <c r="F21" s="4">
        <f>SUM('Modeling - Base Estimates'!F21:G21)-E21</f>
        <v>31121665.307204805</v>
      </c>
      <c r="G21" s="4">
        <v>15087400</v>
      </c>
      <c r="H21" s="4">
        <v>84652300</v>
      </c>
      <c r="I21" s="4">
        <v>43978500</v>
      </c>
      <c r="J21" s="4">
        <v>55897000</v>
      </c>
      <c r="K21" s="4">
        <v>2921510.4</v>
      </c>
      <c r="L21" s="4">
        <v>16774200</v>
      </c>
      <c r="M21" s="4">
        <f t="shared" si="0"/>
        <v>205616389.60000002</v>
      </c>
      <c r="N21" s="12">
        <f t="shared" si="1"/>
        <v>0.35604952556284047</v>
      </c>
      <c r="O21" s="12">
        <f t="shared" si="2"/>
        <v>6.7633782348045263E-2</v>
      </c>
      <c r="P21" s="12">
        <f t="shared" si="3"/>
        <v>3.9328968085851866E-2</v>
      </c>
      <c r="Q21" s="12">
        <f t="shared" si="10"/>
        <v>0.12604272423957744</v>
      </c>
      <c r="R21" s="12">
        <f t="shared" si="11"/>
        <v>5.5576364757165465E-2</v>
      </c>
      <c r="S21" s="12">
        <f t="shared" si="11"/>
        <v>7.063797220985886E-2</v>
      </c>
      <c r="T21" s="12">
        <f t="shared" si="11"/>
        <v>3.6919614728163166E-3</v>
      </c>
      <c r="U21" s="12">
        <f t="shared" si="11"/>
        <v>2.1197836618112142E-2</v>
      </c>
      <c r="V21" s="12">
        <f t="shared" si="12"/>
        <v>0.2598408647057322</v>
      </c>
      <c r="W21" s="4">
        <f>SUMIFS('Modeling - Base Estimates'!AK:AK,'Modeling - Base Estimates'!A:A,A21)</f>
        <v>445527282.30360097</v>
      </c>
      <c r="X21" s="4">
        <f>(W21*N21*(1-N$2))+(W21*O21*(1-'Modeling - Base Estimates'!$AA$51-N$2))+(W21*P21*(1-'Modeling - Base Estimates'!$AE$51))+(W21*Q21*(1-Q$2))+(W21*R21*(1-R$2))+(W21*S21*(1-S$2))+(W21*T21*(1-T$2))+(W21*U21*(1-U$2))+(W21*V21*(1-V$2))</f>
        <v>418159299.71034604</v>
      </c>
      <c r="Y21" s="5">
        <f>X21*N21*SUMIFS('Modeling - Base Estimates'!AN:AN,'Modeling - Base Estimates'!A:A,A21)</f>
        <v>1701417.6542402187</v>
      </c>
      <c r="Z21" s="4">
        <f t="shared" si="5"/>
        <v>416457882.05610585</v>
      </c>
      <c r="AA21" s="4">
        <f>(((W21*N21*(1-N$2))/X21)*X21)-Y21-(((SUMIFS('Modeling - Base Estimates'!X:X,'Modeling - Base Estimates'!A:A,A21)*N21*(1-N$2))/SUMIFS('Modeling - Base Estimates'!Z:Z,'Modeling - Base Estimates'!A:A,A21))*SUMIFS('Modeling - Base Estimates'!Z:Z,'Modeling - Base Estimates'!A:A,A21))</f>
        <v>1756.8208457231522</v>
      </c>
      <c r="AB21" s="4"/>
      <c r="AC21" s="18">
        <f>1-((((W21*O21*(1-N$2-'Modeling - Base Estimates'!$AA$51))/X21)*X21)/('Modeling - Base Estimates'!X21*'Modeling - Base Estimates'!P21))</f>
        <v>5.388199930925397E-2</v>
      </c>
      <c r="AD21" s="18">
        <f t="shared" si="33"/>
        <v>-2.3118000690746029E-2</v>
      </c>
      <c r="AE21" s="18">
        <f>1-((((W21*P21*(1-'Modeling - Base Estimates'!$AE$51))/X21)*X21)/(SUMIFS('Modeling - Base Estimates'!X:X,'Modeling - Base Estimates'!A:A,A21)*'Modeling - Base Estimates'!Q21))</f>
        <v>0.25060612265369508</v>
      </c>
      <c r="AF21" s="18">
        <f t="shared" si="34"/>
        <v>0.17360612265369507</v>
      </c>
      <c r="AG21" s="18">
        <f>$N21*(1-$N$2)+$O21*(1-$N$2-'Modeling - Base Estimates'!$AA$51)+$P21*(1-'Modeling - Base Estimates'!$AE$51)+$Q21*(1-$Q$2)+$R21*(1-$R$2)+$S21*(1-$S$2)+$T21*(1-$T$2)+$U21*(1-$U$2)+$V21*(1-$V$2)</f>
        <v>0.93857170215985719</v>
      </c>
      <c r="AH21" s="18" t="e">
        <f>$O21*(1-$N$2-#REF!)+$P21*(1-#REF!)+$Q21*(1-$Q$2)+$R21*(1-$R$2)+$S21*(1-$S$2)+$T21*(1-$T$2)+$U21*(1-$U$2)+$V21*(1-$V$2)</f>
        <v>#REF!</v>
      </c>
      <c r="AJ21" s="7">
        <f>(SUMIFS('Modeling - Base Estimates'!$X:$X,'Modeling - Base Estimates'!$A:$A,$A21)*SUMIFS('Modeling - Base Estimates'!O:O,'Modeling - Base Estimates'!$A:$A,$A21)*($N$2))</f>
        <v>12072407.888813168</v>
      </c>
      <c r="AK21" s="7">
        <f>(SUMIFS('Modeling - Base Estimates'!$X:$X,'Modeling - Base Estimates'!$A:$A,$A21)*SUMIFS('Modeling - Base Estimates'!P:P,'Modeling - Base Estimates'!$A:$A,$A21)*($N$2))</f>
        <v>1981814.5658354815</v>
      </c>
      <c r="AL21" s="7">
        <f>(SUMIFS('Modeling - Base Estimates'!$X:$X,'Modeling - Base Estimates'!$A:$A,$A21)*SUMIFS('Modeling - Base Estimates'!Q:Q,'Modeling - Base Estimates'!$A:$A,$A21)*($N$2))</f>
        <v>1644922.3329317877</v>
      </c>
      <c r="AM21" s="7">
        <f>(SUMIFS('Modeling - Base Estimates'!$X:$X,'Modeling - Base Estimates'!$A:$A,$A21)*SUMIFS('Modeling - Base Estimates'!R:R,'Modeling - Base Estimates'!$A:$A,$A21)*($N$2))</f>
        <v>4273672.8156904038</v>
      </c>
      <c r="AN21" s="7">
        <f>(SUMIFS('Modeling - Base Estimates'!X:X,'Modeling - Base Estimates'!A:A,$A21)*$R21*($R$2))+(SUMIFS('Modeling - Base Estimates'!X:X,'Modeling - Base Estimates'!A:A,$A21)*$S21*($S$2))+(SUMIFS('Modeling - Base Estimates'!X:X,'Modeling - Base Estimates'!A:A,$A21)*$T21*($T$2))+(SUMIFS('Modeling - Base Estimates'!X:X,'Modeling - Base Estimates'!A:A,$A21)*$U21*($U$2))+(SUMIFS('Modeling - Base Estimates'!X:X,'Modeling - Base Estimates'!A:A,$A21)*$V21*($V$2))</f>
        <v>3493643.7691864027</v>
      </c>
      <c r="AO21" s="7">
        <f>SUM(AJ21:AN21)-(SUMIFS('Modeling - Base Estimates'!X:X,'Modeling - Base Estimates'!A:A,A21)-SUMIFS('Modeling - Base Estimates'!Z:Z,'Modeling - Base Estimates'!A:A,A21))</f>
        <v>1.0058283805847168E-7</v>
      </c>
      <c r="AQ21" s="7">
        <f t="shared" si="13"/>
        <v>12214492.866691409</v>
      </c>
      <c r="AR21" s="7">
        <f>(W21*$O21*($N$2+'Modeling - Base Estimates'!$AA$51))</f>
        <v>5781650.634060408</v>
      </c>
      <c r="AS21" s="7">
        <f>(W21*P21*('Modeling - Base Estimates'!$AE$51))</f>
        <v>1513105.8643766905</v>
      </c>
      <c r="AT21" s="7">
        <f t="shared" si="14"/>
        <v>4323971.3736142879</v>
      </c>
      <c r="AU21" s="7">
        <f t="shared" si="15"/>
        <v>3534761.8545121392</v>
      </c>
      <c r="AV21" s="5">
        <f t="shared" si="16"/>
        <v>0</v>
      </c>
      <c r="AX21" s="7">
        <f>SUMIFS('Modeling - Base Estimates'!X:X,'Modeling - Base Estimates'!A:A,A21)</f>
        <v>440344690.21884191</v>
      </c>
      <c r="AY21" s="5">
        <f t="shared" si="17"/>
        <v>12072407.888813168</v>
      </c>
      <c r="AZ21" s="5">
        <f t="shared" si="18"/>
        <v>1981814.5658354815</v>
      </c>
      <c r="BA21" s="5">
        <f t="shared" si="19"/>
        <v>1644922.3329317877</v>
      </c>
      <c r="BB21" s="5">
        <f t="shared" si="20"/>
        <v>4273672.8156904038</v>
      </c>
      <c r="BC21" s="5">
        <f t="shared" si="21"/>
        <v>3493643.7691864027</v>
      </c>
      <c r="BD21" s="5">
        <f t="shared" si="22"/>
        <v>416878228.84638464</v>
      </c>
      <c r="BF21" s="5">
        <f t="shared" si="23"/>
        <v>445527282.30360097</v>
      </c>
      <c r="BG21" s="5">
        <f t="shared" si="24"/>
        <v>12214492.866691409</v>
      </c>
      <c r="BH21" s="5">
        <f t="shared" si="25"/>
        <v>1701417.6542402187</v>
      </c>
      <c r="BI21" s="5">
        <f t="shared" si="26"/>
        <v>5781650.634060408</v>
      </c>
      <c r="BJ21" s="5">
        <f t="shared" si="27"/>
        <v>1513105.8643766905</v>
      </c>
      <c r="BK21" s="5">
        <f t="shared" si="28"/>
        <v>4323971.3736142879</v>
      </c>
      <c r="BL21" s="5">
        <f t="shared" si="29"/>
        <v>3534761.8545121392</v>
      </c>
      <c r="BM21" s="5">
        <f t="shared" si="30"/>
        <v>416457882.05610579</v>
      </c>
      <c r="BO21" s="5">
        <f t="shared" si="31"/>
        <v>-420346.79027885199</v>
      </c>
      <c r="BP21" s="12">
        <f t="shared" si="32"/>
        <v>-1.0083203228004154E-3</v>
      </c>
    </row>
    <row r="22" spans="1:68" x14ac:dyDescent="0.25">
      <c r="A22" s="1">
        <v>24</v>
      </c>
      <c r="B22" s="1">
        <v>210024</v>
      </c>
      <c r="C22" s="4">
        <v>524653145.69999999</v>
      </c>
      <c r="D22" s="4">
        <v>190667267</v>
      </c>
      <c r="E22" s="4">
        <f>IF(('Modeling - Base Estimates'!F22/SUM('Modeling - Base Estimates'!F22:G22)+$E$63)&gt;1,SUM('Modeling - Base Estimates'!F22:G22),(('Modeling - Base Estimates'!F22/SUM('Modeling - Base Estimates'!F22:G22)+$E$63))*SUM('Modeling - Base Estimates'!F22:G22))</f>
        <v>43402568.175947197</v>
      </c>
      <c r="F22" s="4">
        <f>SUM('Modeling - Base Estimates'!F22:G22)-E22</f>
        <v>48752002.324052803</v>
      </c>
      <c r="G22" s="4">
        <v>19240376.5</v>
      </c>
      <c r="H22" s="4">
        <v>77195497.299999997</v>
      </c>
      <c r="I22" s="4">
        <v>15617665.699999999</v>
      </c>
      <c r="J22" s="4">
        <v>26523327</v>
      </c>
      <c r="K22" s="4">
        <v>3803650</v>
      </c>
      <c r="L22" s="4">
        <v>19534045</v>
      </c>
      <c r="M22" s="4">
        <f t="shared" si="0"/>
        <v>79916746.699999988</v>
      </c>
      <c r="N22" s="12">
        <f t="shared" si="1"/>
        <v>0.36341584637905661</v>
      </c>
      <c r="O22" s="12">
        <f t="shared" si="2"/>
        <v>8.2726213559701139E-2</v>
      </c>
      <c r="P22" s="12">
        <f t="shared" si="3"/>
        <v>9.2922348266886237E-2</v>
      </c>
      <c r="Q22" s="12">
        <f t="shared" si="10"/>
        <v>0.1838088165302694</v>
      </c>
      <c r="R22" s="12">
        <f t="shared" si="11"/>
        <v>2.9767601372450894E-2</v>
      </c>
      <c r="S22" s="12">
        <f t="shared" si="11"/>
        <v>5.0554022628821152E-2</v>
      </c>
      <c r="T22" s="12">
        <f t="shared" si="11"/>
        <v>7.24983740433904E-3</v>
      </c>
      <c r="U22" s="12">
        <f t="shared" si="11"/>
        <v>3.7232303208508143E-2</v>
      </c>
      <c r="V22" s="12">
        <f t="shared" si="12"/>
        <v>0.15232301064996739</v>
      </c>
      <c r="W22" s="4">
        <f>SUMIFS('Modeling - Base Estimates'!AK:AK,'Modeling - Base Estimates'!A:A,A22)</f>
        <v>288656169.42362332</v>
      </c>
      <c r="X22" s="4">
        <f>(W22*N22*(1-N$2))+(W22*O22*(1-'Modeling - Base Estimates'!$AA$51-N$2))+(W22*P22*(1-'Modeling - Base Estimates'!$AE$51))+(W22*Q22*(1-Q$2))+(W22*R22*(1-R$2))+(W22*S22*(1-S$2))+(W22*T22*(1-T$2))+(W22*U22*(1-U$2))+(W22*V22*(1-V$2))</f>
        <v>268188787.02919805</v>
      </c>
      <c r="Y22" s="5">
        <f>X22*N22*SUMIFS('Modeling - Base Estimates'!AN:AN,'Modeling - Base Estimates'!A:A,A22)</f>
        <v>1409328.0282849546</v>
      </c>
      <c r="Z22" s="4">
        <f t="shared" si="5"/>
        <v>266779459.00091308</v>
      </c>
      <c r="AA22" s="4">
        <f>(((W22*N22*(1-N$2))/X22)*X22)-Y22-(((SUMIFS('Modeling - Base Estimates'!X:X,'Modeling - Base Estimates'!A:A,A22)*N22*(1-N$2))/SUMIFS('Modeling - Base Estimates'!Z:Z,'Modeling - Base Estimates'!A:A,A22))*SUMIFS('Modeling - Base Estimates'!Z:Z,'Modeling - Base Estimates'!A:A,A22))</f>
        <v>2414.0616166144609</v>
      </c>
      <c r="AB22" s="4"/>
      <c r="AC22" s="18">
        <f>1-((((W22*O22*(1-N$2-'Modeling - Base Estimates'!$AA$51))/X22)*X22)/('Modeling - Base Estimates'!X22*'Modeling - Base Estimates'!P22))</f>
        <v>-2.9339722434811311E-3</v>
      </c>
      <c r="AD22" s="18">
        <f t="shared" si="33"/>
        <v>-7.993397224348113E-2</v>
      </c>
      <c r="AE22" s="18">
        <f>1-((((W22*P22*(1-'Modeling - Base Estimates'!$AE$51))/X22)*X22)/(SUMIFS('Modeling - Base Estimates'!X:X,'Modeling - Base Estimates'!A:A,A22)*'Modeling - Base Estimates'!Q22))</f>
        <v>0.20230881688281399</v>
      </c>
      <c r="AF22" s="18">
        <f t="shared" si="34"/>
        <v>0.12530881688281398</v>
      </c>
      <c r="AG22" s="18">
        <f>$N22*(1-$N$2)+$O22*(1-$N$2-'Modeling - Base Estimates'!$AA$51)+$P22*(1-'Modeling - Base Estimates'!$AE$51)+$Q22*(1-$Q$2)+$R22*(1-$R$2)+$S22*(1-$S$2)+$T22*(1-$T$2)+$U22*(1-$U$2)+$V22*(1-$V$2)</f>
        <v>0.92909424927486006</v>
      </c>
      <c r="AH22" s="18" t="e">
        <f>$O22*(1-$N$2-#REF!)+$P22*(1-#REF!)+$Q22*(1-$Q$2)+$R22*(1-$R$2)+$S22*(1-$S$2)+$T22*(1-$T$2)+$U22*(1-$U$2)+$V22*(1-$V$2)</f>
        <v>#REF!</v>
      </c>
      <c r="AJ22" s="7">
        <f>(SUMIFS('Modeling - Base Estimates'!$X:$X,'Modeling - Base Estimates'!$A:$A,$A22)*SUMIFS('Modeling - Base Estimates'!O:O,'Modeling - Base Estimates'!$A:$A,$A22)*($N$2))</f>
        <v>7959698.7778001623</v>
      </c>
      <c r="AK22" s="7">
        <f>(SUMIFS('Modeling - Base Estimates'!$X:$X,'Modeling - Base Estimates'!$A:$A,$A22)*SUMIFS('Modeling - Base Estimates'!P:P,'Modeling - Base Estimates'!$A:$A,$A22)*($N$2))</f>
        <v>1481569.3697092482</v>
      </c>
      <c r="AL22" s="7">
        <f>(SUMIFS('Modeling - Base Estimates'!$X:$X,'Modeling - Base Estimates'!$A:$A,$A22)*SUMIFS('Modeling - Base Estimates'!Q:Q,'Modeling - Base Estimates'!$A:$A,$A22)*($N$2))</f>
        <v>2365565.1370099825</v>
      </c>
      <c r="AM22" s="7">
        <f>(SUMIFS('Modeling - Base Estimates'!$X:$X,'Modeling - Base Estimates'!$A:$A,$A22)*SUMIFS('Modeling - Base Estimates'!R:R,'Modeling - Base Estimates'!$A:$A,$A22)*($N$2))</f>
        <v>4025864.1081898483</v>
      </c>
      <c r="AN22" s="7">
        <f>(SUMIFS('Modeling - Base Estimates'!X:X,'Modeling - Base Estimates'!A:A,$A22)*$R22*($R$2))+(SUMIFS('Modeling - Base Estimates'!X:X,'Modeling - Base Estimates'!A:A,$A22)*$S22*($S$2))+(SUMIFS('Modeling - Base Estimates'!X:X,'Modeling - Base Estimates'!A:A,$A22)*$T22*($T$2))+(SUMIFS('Modeling - Base Estimates'!X:X,'Modeling - Base Estimates'!A:A,$A22)*$U22*($U$2))+(SUMIFS('Modeling - Base Estimates'!X:X,'Modeling - Base Estimates'!A:A,$A22)*$V22*($V$2))</f>
        <v>1385915.720813574</v>
      </c>
      <c r="AO22" s="7">
        <f>SUM(AJ22:AN22)-(SUMIFS('Modeling - Base Estimates'!X:X,'Modeling - Base Estimates'!A:A,A22)-SUMIFS('Modeling - Base Estimates'!Z:Z,'Modeling - Base Estimates'!A:A,A22))</f>
        <v>0</v>
      </c>
      <c r="AQ22" s="7">
        <f t="shared" si="13"/>
        <v>8077471.4115189267</v>
      </c>
      <c r="AR22" s="7">
        <f>(W22*$O22*($N$2+'Modeling - Base Estimates'!$AA$51))</f>
        <v>4581818.2402228089</v>
      </c>
      <c r="AS22" s="7">
        <f>(W22*P22*('Modeling - Base Estimates'!$AE$51))</f>
        <v>2316239.5866157999</v>
      </c>
      <c r="AT22" s="7">
        <f t="shared" si="14"/>
        <v>4085431.2642156198</v>
      </c>
      <c r="AU22" s="7">
        <f t="shared" si="15"/>
        <v>1406421.8918520673</v>
      </c>
      <c r="AV22" s="5">
        <f t="shared" si="16"/>
        <v>-5.2154064178466797E-8</v>
      </c>
      <c r="AX22" s="7">
        <f>SUMIFS('Modeling - Base Estimates'!X:X,'Modeling - Base Estimates'!A:A,A22)</f>
        <v>284447451.67270559</v>
      </c>
      <c r="AY22" s="5">
        <f t="shared" si="17"/>
        <v>7959698.7778001623</v>
      </c>
      <c r="AZ22" s="5">
        <f t="shared" si="18"/>
        <v>1481569.3697092482</v>
      </c>
      <c r="BA22" s="5">
        <f t="shared" si="19"/>
        <v>2365565.1370099825</v>
      </c>
      <c r="BB22" s="5">
        <f t="shared" si="20"/>
        <v>4025864.1081898483</v>
      </c>
      <c r="BC22" s="5">
        <f t="shared" si="21"/>
        <v>1385915.720813574</v>
      </c>
      <c r="BD22" s="5">
        <f t="shared" si="22"/>
        <v>267228838.55918276</v>
      </c>
      <c r="BF22" s="5">
        <f t="shared" si="23"/>
        <v>288656169.42362332</v>
      </c>
      <c r="BG22" s="5">
        <f t="shared" si="24"/>
        <v>8077471.4115189267</v>
      </c>
      <c r="BH22" s="5">
        <f t="shared" si="25"/>
        <v>1409328.0282849546</v>
      </c>
      <c r="BI22" s="5">
        <f t="shared" si="26"/>
        <v>4581818.2402228089</v>
      </c>
      <c r="BJ22" s="5">
        <f t="shared" si="27"/>
        <v>2316239.5866157999</v>
      </c>
      <c r="BK22" s="5">
        <f t="shared" si="28"/>
        <v>4085431.2642156198</v>
      </c>
      <c r="BL22" s="5">
        <f t="shared" si="29"/>
        <v>1406421.8918520673</v>
      </c>
      <c r="BM22" s="5">
        <f t="shared" si="30"/>
        <v>266779459.00091314</v>
      </c>
      <c r="BO22" s="5">
        <f t="shared" si="31"/>
        <v>-449379.55826961994</v>
      </c>
      <c r="BP22" s="12">
        <f t="shared" si="32"/>
        <v>-1.6816282280480612E-3</v>
      </c>
    </row>
    <row r="23" spans="1:68" x14ac:dyDescent="0.25">
      <c r="A23" s="1">
        <v>28</v>
      </c>
      <c r="B23" s="1">
        <v>210028</v>
      </c>
      <c r="C23" s="4">
        <v>256129029.40000001</v>
      </c>
      <c r="D23" s="4">
        <v>90154632.5</v>
      </c>
      <c r="E23" s="4">
        <f>IF(('Modeling - Base Estimates'!F23/SUM('Modeling - Base Estimates'!F23:G23)+$E$63)&gt;1,SUM('Modeling - Base Estimates'!F23:G23),(('Modeling - Base Estimates'!F23/SUM('Modeling - Base Estimates'!F23:G23)+$E$63))*SUM('Modeling - Base Estimates'!F23:G23))</f>
        <v>11019562.518173778</v>
      </c>
      <c r="F23" s="4">
        <f>SUM('Modeling - Base Estimates'!F23:G23)-E23</f>
        <v>13037811.181826221</v>
      </c>
      <c r="G23" s="4">
        <v>4452601.5999999996</v>
      </c>
      <c r="H23" s="4">
        <v>35609712</v>
      </c>
      <c r="I23" s="4">
        <v>8729617.5999999996</v>
      </c>
      <c r="J23" s="4">
        <v>22577486.700000003</v>
      </c>
      <c r="K23" s="4">
        <v>1180952.6000000001</v>
      </c>
      <c r="L23" s="4">
        <v>10697469</v>
      </c>
      <c r="M23" s="4">
        <f t="shared" si="0"/>
        <v>58669183.699999988</v>
      </c>
      <c r="N23" s="12">
        <f t="shared" si="1"/>
        <v>0.35198912326023124</v>
      </c>
      <c r="O23" s="12">
        <f t="shared" si="2"/>
        <v>4.3023481344492139E-2</v>
      </c>
      <c r="P23" s="12">
        <f t="shared" si="3"/>
        <v>5.0903293595295294E-2</v>
      </c>
      <c r="Q23" s="12">
        <f t="shared" si="10"/>
        <v>0.15641457625419791</v>
      </c>
      <c r="R23" s="12">
        <f t="shared" si="11"/>
        <v>3.4082890254375824E-2</v>
      </c>
      <c r="S23" s="12">
        <f t="shared" si="11"/>
        <v>8.8148878527706642E-2</v>
      </c>
      <c r="T23" s="12">
        <f t="shared" si="11"/>
        <v>4.6107721673191958E-3</v>
      </c>
      <c r="U23" s="12">
        <f t="shared" si="11"/>
        <v>4.1765937367816378E-2</v>
      </c>
      <c r="V23" s="12">
        <f t="shared" si="12"/>
        <v>0.2290610472285653</v>
      </c>
      <c r="W23" s="4">
        <f>SUMIFS('Modeling - Base Estimates'!AK:AK,'Modeling - Base Estimates'!A:A,A23)</f>
        <v>144555155.22922888</v>
      </c>
      <c r="X23" s="4">
        <f>(W23*N23*(1-N$2))+(W23*O23*(1-'Modeling - Base Estimates'!$AA$51-N$2))+(W23*P23*(1-'Modeling - Base Estimates'!$AE$51))+(W23*Q23*(1-Q$2))+(W23*R23*(1-R$2))+(W23*S23*(1-S$2))+(W23*T23*(1-T$2))+(W23*U23*(1-U$2))+(W23*V23*(1-V$2))</f>
        <v>136026240.42613447</v>
      </c>
      <c r="Y23" s="5">
        <f>X23*N23*SUMIFS('Modeling - Base Estimates'!AN:AN,'Modeling - Base Estimates'!A:A,A23)</f>
        <v>345620.60374078556</v>
      </c>
      <c r="Z23" s="4">
        <f t="shared" si="5"/>
        <v>135680619.82239369</v>
      </c>
      <c r="AA23" s="4">
        <f>(((W23*N23*(1-N$2))/X23)*X23)-Y23-(((SUMIFS('Modeling - Base Estimates'!X:X,'Modeling - Base Estimates'!A:A,A23)*N23*(1-N$2))/SUMIFS('Modeling - Base Estimates'!Z:Z,'Modeling - Base Estimates'!A:A,A23))*SUMIFS('Modeling - Base Estimates'!Z:Z,'Modeling - Base Estimates'!A:A,A23))</f>
        <v>312.57292738556862</v>
      </c>
      <c r="AB23" s="4"/>
      <c r="AC23" s="18">
        <f>1-((((W23*O23*(1-N$2-'Modeling - Base Estimates'!$AA$51))/X23)*X23)/('Modeling - Base Estimates'!X23*'Modeling - Base Estimates'!P23))</f>
        <v>-1.9470520754876208E-3</v>
      </c>
      <c r="AD23" s="18">
        <f t="shared" si="33"/>
        <v>-7.894705207548762E-2</v>
      </c>
      <c r="AE23" s="18">
        <f>1-((((W23*P23*(1-'Modeling - Base Estimates'!$AE$51))/X23)*X23)/(SUMIFS('Modeling - Base Estimates'!X:X,'Modeling - Base Estimates'!A:A,A23)*'Modeling - Base Estimates'!Q23))</f>
        <v>0.20546083580409202</v>
      </c>
      <c r="AF23" s="18">
        <f t="shared" si="34"/>
        <v>0.12846083580409201</v>
      </c>
      <c r="AG23" s="18">
        <f>$N23*(1-$N$2)+$O23*(1-$N$2-'Modeling - Base Estimates'!$AA$51)+$P23*(1-'Modeling - Base Estimates'!$AE$51)+$Q23*(1-$Q$2)+$R23*(1-$R$2)+$S23*(1-$S$2)+$T23*(1-$T$2)+$U23*(1-$U$2)+$V23*(1-$V$2)</f>
        <v>0.94099888869705384</v>
      </c>
      <c r="AH23" s="18" t="e">
        <f>$O23*(1-$N$2-#REF!)+$P23*(1-#REF!)+$Q23*(1-$Q$2)+$R23*(1-$R$2)+$S23*(1-$S$2)+$T23*(1-$T$2)+$U23*(1-$U$2)+$V23*(1-$V$2)</f>
        <v>#REF!</v>
      </c>
      <c r="AJ23" s="7">
        <f>(SUMIFS('Modeling - Base Estimates'!$X:$X,'Modeling - Base Estimates'!$A:$A,$A23)*SUMIFS('Modeling - Base Estimates'!O:O,'Modeling - Base Estimates'!$A:$A,$A23)*($N$2))</f>
        <v>3889042.8636914631</v>
      </c>
      <c r="AK23" s="7">
        <f>(SUMIFS('Modeling - Base Estimates'!$X:$X,'Modeling - Base Estimates'!$A:$A,$A23)*SUMIFS('Modeling - Base Estimates'!P:P,'Modeling - Base Estimates'!$A:$A,$A23)*($N$2))</f>
        <v>386246.63086322136</v>
      </c>
      <c r="AL23" s="7">
        <f>(SUMIFS('Modeling - Base Estimates'!$X:$X,'Modeling - Base Estimates'!$A:$A,$A23)*SUMIFS('Modeling - Base Estimates'!Q:Q,'Modeling - Base Estimates'!$A:$A,$A23)*($N$2))</f>
        <v>651527.63444858836</v>
      </c>
      <c r="AM23" s="7">
        <f>(SUMIFS('Modeling - Base Estimates'!$X:$X,'Modeling - Base Estimates'!$A:$A,$A23)*SUMIFS('Modeling - Base Estimates'!R:R,'Modeling - Base Estimates'!$A:$A,$A23)*($N$2))</f>
        <v>1728186.8994258223</v>
      </c>
      <c r="AN23" s="7">
        <f>(SUMIFS('Modeling - Base Estimates'!X:X,'Modeling - Base Estimates'!A:A,$A23)*$R23*($R$2))+(SUMIFS('Modeling - Base Estimates'!X:X,'Modeling - Base Estimates'!A:A,$A23)*$S23*($S$2))+(SUMIFS('Modeling - Base Estimates'!X:X,'Modeling - Base Estimates'!A:A,$A23)*$T23*($T$2))+(SUMIFS('Modeling - Base Estimates'!X:X,'Modeling - Base Estimates'!A:A,$A23)*$U23*($U$2))+(SUMIFS('Modeling - Base Estimates'!X:X,'Modeling - Base Estimates'!A:A,$A23)*$V23*($V$2))</f>
        <v>1033601.1805770597</v>
      </c>
      <c r="AO23" s="7">
        <f>SUM(AJ23:AN23)-(SUMIFS('Modeling - Base Estimates'!X:X,'Modeling - Base Estimates'!A:A,A23)-SUMIFS('Modeling - Base Estimates'!Z:Z,'Modeling - Base Estimates'!A:A,A23))</f>
        <v>0</v>
      </c>
      <c r="AQ23" s="7">
        <f t="shared" si="13"/>
        <v>3917901.8610949838</v>
      </c>
      <c r="AR23" s="7">
        <f>(W23*$O23*($N$2+'Modeling - Base Estimates'!$AA$51))</f>
        <v>1193309.2298718593</v>
      </c>
      <c r="AS23" s="7">
        <f>(W23*P23*('Modeling - Base Estimates'!$AE$51))</f>
        <v>635421.53169343621</v>
      </c>
      <c r="AT23" s="7">
        <f t="shared" si="14"/>
        <v>1741011.0679915519</v>
      </c>
      <c r="AU23" s="7">
        <f t="shared" si="15"/>
        <v>1041271.1124425665</v>
      </c>
      <c r="AV23" s="5">
        <f t="shared" si="16"/>
        <v>-1.862645149230957E-8</v>
      </c>
      <c r="AX23" s="7">
        <f>SUMIFS('Modeling - Base Estimates'!X:X,'Modeling - Base Estimates'!A:A,A23)</f>
        <v>143490371.83308229</v>
      </c>
      <c r="AY23" s="5">
        <f t="shared" si="17"/>
        <v>3889042.8636914631</v>
      </c>
      <c r="AZ23" s="5">
        <f t="shared" si="18"/>
        <v>386246.63086322136</v>
      </c>
      <c r="BA23" s="5">
        <f t="shared" si="19"/>
        <v>651527.63444858836</v>
      </c>
      <c r="BB23" s="5">
        <f t="shared" si="20"/>
        <v>1728186.8994258223</v>
      </c>
      <c r="BC23" s="5">
        <f t="shared" si="21"/>
        <v>1033601.1805770597</v>
      </c>
      <c r="BD23" s="5">
        <f t="shared" si="22"/>
        <v>135801766.62407613</v>
      </c>
      <c r="BF23" s="5">
        <f t="shared" si="23"/>
        <v>144555155.22922888</v>
      </c>
      <c r="BG23" s="5">
        <f t="shared" si="24"/>
        <v>3917901.8610949838</v>
      </c>
      <c r="BH23" s="5">
        <f t="shared" si="25"/>
        <v>345620.60374078556</v>
      </c>
      <c r="BI23" s="5">
        <f t="shared" si="26"/>
        <v>1193309.2298718593</v>
      </c>
      <c r="BJ23" s="5">
        <f t="shared" si="27"/>
        <v>635421.53169343621</v>
      </c>
      <c r="BK23" s="5">
        <f t="shared" si="28"/>
        <v>1741011.0679915519</v>
      </c>
      <c r="BL23" s="5">
        <f t="shared" si="29"/>
        <v>1041271.1124425665</v>
      </c>
      <c r="BM23" s="5">
        <f t="shared" si="30"/>
        <v>135680619.82239372</v>
      </c>
      <c r="BO23" s="5">
        <f t="shared" si="31"/>
        <v>-121146.80168241262</v>
      </c>
      <c r="BP23" s="12">
        <f t="shared" si="32"/>
        <v>-8.9208560900219289E-4</v>
      </c>
    </row>
    <row r="24" spans="1:68" x14ac:dyDescent="0.25">
      <c r="A24" s="1">
        <v>29</v>
      </c>
      <c r="B24" s="1">
        <v>210029</v>
      </c>
      <c r="C24" s="4">
        <v>867460832.9000001</v>
      </c>
      <c r="D24" s="4">
        <v>284751696.10000002</v>
      </c>
      <c r="E24" s="4">
        <f>IF(('Modeling - Base Estimates'!F24/SUM('Modeling - Base Estimates'!F24:G24)+$E$63)&gt;1,SUM('Modeling - Base Estimates'!F24:G24),(('Modeling - Base Estimates'!F24/SUM('Modeling - Base Estimates'!F24:G24)+$E$63))*SUM('Modeling - Base Estimates'!F24:G24))</f>
        <v>23952332.999707885</v>
      </c>
      <c r="F24" s="4">
        <f>SUM('Modeling - Base Estimates'!F24:G24)-E24</f>
        <v>11246842.600292116</v>
      </c>
      <c r="G24" s="4">
        <v>73115404.299999997</v>
      </c>
      <c r="H24" s="4">
        <v>143235366.59999999</v>
      </c>
      <c r="I24" s="4">
        <v>52084129.100000001</v>
      </c>
      <c r="J24" s="4">
        <v>63113180.5</v>
      </c>
      <c r="K24" s="4">
        <v>4608850.4000000004</v>
      </c>
      <c r="L24" s="4">
        <v>35708000</v>
      </c>
      <c r="M24" s="4">
        <f t="shared" si="0"/>
        <v>175645030.30000007</v>
      </c>
      <c r="N24" s="12">
        <f t="shared" si="1"/>
        <v>0.32825885077490974</v>
      </c>
      <c r="O24" s="12">
        <f t="shared" si="2"/>
        <v>2.7612005166427016E-2</v>
      </c>
      <c r="P24" s="12">
        <f t="shared" si="3"/>
        <v>1.2965245430958425E-2</v>
      </c>
      <c r="Q24" s="12">
        <f t="shared" si="10"/>
        <v>0.24940696189904016</v>
      </c>
      <c r="R24" s="12">
        <f t="shared" si="11"/>
        <v>6.0042052764362905E-2</v>
      </c>
      <c r="S24" s="12">
        <f t="shared" si="11"/>
        <v>7.2756230721111551E-2</v>
      </c>
      <c r="T24" s="12">
        <f t="shared" si="11"/>
        <v>5.3130357304919419E-3</v>
      </c>
      <c r="U24" s="12">
        <f t="shared" si="11"/>
        <v>4.1163818175657479E-2</v>
      </c>
      <c r="V24" s="12">
        <f t="shared" si="12"/>
        <v>0.20248179933704077</v>
      </c>
      <c r="W24" s="4">
        <f>SUMIFS('Modeling - Base Estimates'!AK:AK,'Modeling - Base Estimates'!A:A,A24)</f>
        <v>462520915.89248353</v>
      </c>
      <c r="X24" s="4">
        <f>(W24*N24*(1-N$2))+(W24*O24*(1-'Modeling - Base Estimates'!$AA$51-N$2))+(W24*P24*(1-'Modeling - Base Estimates'!$AE$51))+(W24*Q24*(1-Q$2))+(W24*R24*(1-R$2))+(W24*S24*(1-S$2))+(W24*T24*(1-T$2))+(W24*U24*(1-U$2))+(W24*V24*(1-V$2))</f>
        <v>435759532.40798837</v>
      </c>
      <c r="Y24" s="5">
        <f>X24*N24*SUMIFS('Modeling - Base Estimates'!AN:AN,'Modeling - Base Estimates'!A:A,A24)</f>
        <v>639129.82840326941</v>
      </c>
      <c r="Z24" s="4">
        <f t="shared" si="5"/>
        <v>435120402.57958508</v>
      </c>
      <c r="AA24" s="4">
        <f>(((W24*N24*(1-N$2))/X24)*X24)-Y24-(((SUMIFS('Modeling - Base Estimates'!X:X,'Modeling - Base Estimates'!A:A,A24)*N24*(1-N$2))/SUMIFS('Modeling - Base Estimates'!Z:Z,'Modeling - Base Estimates'!A:A,A24))*SUMIFS('Modeling - Base Estimates'!Z:Z,'Modeling - Base Estimates'!A:A,A24))</f>
        <v>249.40641510486603</v>
      </c>
      <c r="AB24" s="4"/>
      <c r="AC24" s="18">
        <f>1-((((W24*O24*(1-N$2-'Modeling - Base Estimates'!$AA$51))/X24)*X24)/('Modeling - Base Estimates'!X24*'Modeling - Base Estimates'!P24))</f>
        <v>7.0935595550222552E-2</v>
      </c>
      <c r="AD24" s="18">
        <f t="shared" si="33"/>
        <v>-6.0644044497774469E-3</v>
      </c>
      <c r="AE24" s="18">
        <f>1-((((W24*P24*(1-'Modeling - Base Estimates'!$AE$51))/X24)*X24)/(SUMIFS('Modeling - Base Estimates'!X:X,'Modeling - Base Estimates'!A:A,A24)*'Modeling - Base Estimates'!Q24))</f>
        <v>0.27657518191431119</v>
      </c>
      <c r="AF24" s="18">
        <f t="shared" si="34"/>
        <v>0.19957518191431117</v>
      </c>
      <c r="AG24" s="18">
        <f>$N24*(1-$N$2)+$O24*(1-$N$2-'Modeling - Base Estimates'!$AA$51)+$P24*(1-'Modeling - Base Estimates'!$AE$51)+$Q24*(1-$Q$2)+$R24*(1-$R$2)+$S24*(1-$S$2)+$T24*(1-$T$2)+$U24*(1-$U$2)+$V24*(1-$V$2)</f>
        <v>0.9421401658498918</v>
      </c>
      <c r="AH24" s="18" t="e">
        <f>$O24*(1-$N$2-#REF!)+$P24*(1-#REF!)+$Q24*(1-$Q$2)+$R24*(1-$R$2)+$S24*(1-$S$2)+$T24*(1-$T$2)+$U24*(1-$U$2)+$V24*(1-$V$2)</f>
        <v>#REF!</v>
      </c>
      <c r="AJ24" s="7">
        <f>(SUMIFS('Modeling - Base Estimates'!$X:$X,'Modeling - Base Estimates'!$A:$A,$A24)*SUMIFS('Modeling - Base Estimates'!O:O,'Modeling - Base Estimates'!$A:$A,$A24)*($N$2))</f>
        <v>11637307.662438799</v>
      </c>
      <c r="AK24" s="7">
        <f>(SUMIFS('Modeling - Base Estimates'!$X:$X,'Modeling - Base Estimates'!$A:$A,$A24)*SUMIFS('Modeling - Base Estimates'!P:P,'Modeling - Base Estimates'!$A:$A,$A24)*($N$2))</f>
        <v>855369.66449953266</v>
      </c>
      <c r="AL24" s="7">
        <f>(SUMIFS('Modeling - Base Estimates'!$X:$X,'Modeling - Base Estimates'!$A:$A,$A24)*SUMIFS('Modeling - Base Estimates'!Q:Q,'Modeling - Base Estimates'!$A:$A,$A24)*($N$2))</f>
        <v>583159.55773749948</v>
      </c>
      <c r="AM24" s="7">
        <f>(SUMIFS('Modeling - Base Estimates'!$X:$X,'Modeling - Base Estimates'!$A:$A,$A24)*SUMIFS('Modeling - Base Estimates'!R:R,'Modeling - Base Estimates'!$A:$A,$A24)*($N$2))</f>
        <v>8841880.5522581395</v>
      </c>
      <c r="AN24" s="7">
        <f>(SUMIFS('Modeling - Base Estimates'!X:X,'Modeling - Base Estimates'!A:A,$A24)*$R24*($R$2))+(SUMIFS('Modeling - Base Estimates'!X:X,'Modeling - Base Estimates'!A:A,$A24)*$S24*($S$2))+(SUMIFS('Modeling - Base Estimates'!X:X,'Modeling - Base Estimates'!A:A,$A24)*$T24*($T$2))+(SUMIFS('Modeling - Base Estimates'!X:X,'Modeling - Base Estimates'!A:A,$A24)*$U24*($U$2))+(SUMIFS('Modeling - Base Estimates'!X:X,'Modeling - Base Estimates'!A:A,$A24)*$V24*($V$2))</f>
        <v>3205363.8749964684</v>
      </c>
      <c r="AO24" s="7">
        <f>SUM(AJ24:AN24)-(SUMIFS('Modeling - Base Estimates'!X:X,'Modeling - Base Estimates'!A:A,A24)-SUMIFS('Modeling - Base Estimates'!Z:Z,'Modeling - Base Estimates'!A:A,A24))</f>
        <v>0</v>
      </c>
      <c r="AQ24" s="7">
        <f t="shared" si="13"/>
        <v>11690646.991887351</v>
      </c>
      <c r="AR24" s="7">
        <f>(W24*$O24*($N$2+'Modeling - Base Estimates'!$AA$51))</f>
        <v>2450435.0109873931</v>
      </c>
      <c r="AS24" s="7">
        <f>(W24*P24*('Modeling - Base Estimates'!$AE$51))</f>
        <v>517838.7892745948</v>
      </c>
      <c r="AT24" s="7">
        <f t="shared" si="14"/>
        <v>8882407.1064579468</v>
      </c>
      <c r="AU24" s="7">
        <f t="shared" si="15"/>
        <v>3220055.5858878773</v>
      </c>
      <c r="AV24" s="5">
        <f t="shared" si="16"/>
        <v>0</v>
      </c>
      <c r="AX24" s="7">
        <f>SUMIFS('Modeling - Base Estimates'!X:X,'Modeling - Base Estimates'!A:A,A24)</f>
        <v>460410634.44041717</v>
      </c>
      <c r="AY24" s="5">
        <f t="shared" si="17"/>
        <v>11637307.662438799</v>
      </c>
      <c r="AZ24" s="5">
        <f t="shared" si="18"/>
        <v>855369.66449953266</v>
      </c>
      <c r="BA24" s="5">
        <f t="shared" si="19"/>
        <v>583159.55773749948</v>
      </c>
      <c r="BB24" s="5">
        <f t="shared" si="20"/>
        <v>8841880.5522581395</v>
      </c>
      <c r="BC24" s="5">
        <f t="shared" si="21"/>
        <v>3205363.8749964684</v>
      </c>
      <c r="BD24" s="5">
        <f t="shared" si="22"/>
        <v>435287553.12848675</v>
      </c>
      <c r="BF24" s="5">
        <f t="shared" si="23"/>
        <v>462520915.89248353</v>
      </c>
      <c r="BG24" s="5">
        <f t="shared" si="24"/>
        <v>11690646.991887351</v>
      </c>
      <c r="BH24" s="5">
        <f t="shared" si="25"/>
        <v>639129.82840326941</v>
      </c>
      <c r="BI24" s="5">
        <f t="shared" si="26"/>
        <v>2450435.0109873931</v>
      </c>
      <c r="BJ24" s="5">
        <f t="shared" si="27"/>
        <v>517838.7892745948</v>
      </c>
      <c r="BK24" s="5">
        <f t="shared" si="28"/>
        <v>8882407.1064579468</v>
      </c>
      <c r="BL24" s="5">
        <f t="shared" si="29"/>
        <v>3220055.5858878773</v>
      </c>
      <c r="BM24" s="5">
        <f t="shared" si="30"/>
        <v>435120402.57958508</v>
      </c>
      <c r="BO24" s="5">
        <f t="shared" si="31"/>
        <v>-167150.54890167713</v>
      </c>
      <c r="BP24" s="12">
        <f t="shared" si="32"/>
        <v>-3.8400029520793162E-4</v>
      </c>
    </row>
    <row r="25" spans="1:68" x14ac:dyDescent="0.25">
      <c r="A25" s="1">
        <v>30</v>
      </c>
      <c r="B25" s="1">
        <v>210030</v>
      </c>
      <c r="C25" s="4">
        <v>59088059.300000004</v>
      </c>
      <c r="D25" s="4">
        <v>26039694.300000001</v>
      </c>
      <c r="E25" s="4">
        <f>IF(('Modeling - Base Estimates'!F25/SUM('Modeling - Base Estimates'!F25:G25)+$E$63)&gt;1,SUM('Modeling - Base Estimates'!F25:G25),(('Modeling - Base Estimates'!F25/SUM('Modeling - Base Estimates'!F25:G25)+$E$63))*SUM('Modeling - Base Estimates'!F25:G25))</f>
        <v>3009398.9339760216</v>
      </c>
      <c r="F25" s="4">
        <f>SUM('Modeling - Base Estimates'!F25:G25)-E25</f>
        <v>3499046.0660239784</v>
      </c>
      <c r="G25" s="4">
        <v>464068.5</v>
      </c>
      <c r="H25" s="4">
        <v>9357654.5999999996</v>
      </c>
      <c r="I25" s="4">
        <v>652338.9</v>
      </c>
      <c r="J25" s="4">
        <v>6483227.5</v>
      </c>
      <c r="K25" s="4">
        <v>333066.59999999998</v>
      </c>
      <c r="L25" s="4">
        <v>3116000</v>
      </c>
      <c r="M25" s="4">
        <f t="shared" si="0"/>
        <v>6133563.900000006</v>
      </c>
      <c r="N25" s="12">
        <f t="shared" si="1"/>
        <v>0.44069300309546633</v>
      </c>
      <c r="O25" s="12">
        <f t="shared" si="2"/>
        <v>5.0930745900737706E-2</v>
      </c>
      <c r="P25" s="12">
        <f t="shared" si="3"/>
        <v>5.9217481627865519E-2</v>
      </c>
      <c r="Q25" s="12">
        <f t="shared" si="10"/>
        <v>0.16622179195518103</v>
      </c>
      <c r="R25" s="12">
        <f t="shared" si="11"/>
        <v>1.1040113818732239E-2</v>
      </c>
      <c r="S25" s="12">
        <f t="shared" si="11"/>
        <v>0.10972144925396118</v>
      </c>
      <c r="T25" s="12">
        <f t="shared" si="11"/>
        <v>5.6367835387682117E-3</v>
      </c>
      <c r="U25" s="12">
        <f t="shared" si="11"/>
        <v>5.2734850948133946E-2</v>
      </c>
      <c r="V25" s="12">
        <f t="shared" si="12"/>
        <v>0.10380377986115387</v>
      </c>
      <c r="W25" s="4">
        <f>SUMIFS('Modeling - Base Estimates'!AK:AK,'Modeling - Base Estimates'!A:A,A25)</f>
        <v>31856446.545124717</v>
      </c>
      <c r="X25" s="4">
        <f>(W25*N25*(1-N$2))+(W25*O25*(1-'Modeling - Base Estimates'!$AA$51-N$2))+(W25*P25*(1-'Modeling - Base Estimates'!$AE$51))+(W25*Q25*(1-Q$2))+(W25*R25*(1-R$2))+(W25*S25*(1-S$2))+(W25*T25*(1-T$2))+(W25*U25*(1-U$2))+(W25*V25*(1-V$2))</f>
        <v>29745957.488747012</v>
      </c>
      <c r="Y25" s="5">
        <f>X25*N25*SUMIFS('Modeling - Base Estimates'!AN:AN,'Modeling - Base Estimates'!A:A,A25)</f>
        <v>131527.82685783587</v>
      </c>
      <c r="Z25" s="4">
        <f t="shared" si="5"/>
        <v>29614429.661889177</v>
      </c>
      <c r="AA25" s="4">
        <f>(((W25*N25*(1-N$2))/X25)*X25)-Y25-(((SUMIFS('Modeling - Base Estimates'!X:X,'Modeling - Base Estimates'!A:A,A25)*N25*(1-N$2))/SUMIFS('Modeling - Base Estimates'!Z:Z,'Modeling - Base Estimates'!A:A,A25))*SUMIFS('Modeling - Base Estimates'!Z:Z,'Modeling - Base Estimates'!A:A,A25))</f>
        <v>140.57755015231669</v>
      </c>
      <c r="AB25" s="4"/>
      <c r="AC25" s="18">
        <f>1-((((W25*O25*(1-N$2-'Modeling - Base Estimates'!$AA$51))/X25)*X25)/('Modeling - Base Estimates'!X25*'Modeling - Base Estimates'!P25))</f>
        <v>-2.6103169161670881E-3</v>
      </c>
      <c r="AD25" s="18">
        <f t="shared" si="33"/>
        <v>-7.9610316916167087E-2</v>
      </c>
      <c r="AE25" s="18">
        <f>1-((((W25*P25*(1-'Modeling - Base Estimates'!$AE$51))/X25)*X25)/(SUMIFS('Modeling - Base Estimates'!X:X,'Modeling - Base Estimates'!A:A,A25)*'Modeling - Base Estimates'!Q25))</f>
        <v>0.20409385149359793</v>
      </c>
      <c r="AF25" s="18">
        <f t="shared" si="34"/>
        <v>0.12709385149359792</v>
      </c>
      <c r="AG25" s="18">
        <f>$N25*(1-$N$2)+$O25*(1-$N$2-'Modeling - Base Estimates'!$AA$51)+$P25*(1-'Modeling - Base Estimates'!$AE$51)+$Q25*(1-$Q$2)+$R25*(1-$R$2)+$S25*(1-$S$2)+$T25*(1-$T$2)+$U25*(1-$U$2)+$V25*(1-$V$2)</f>
        <v>0.93375001655039624</v>
      </c>
      <c r="AH25" s="18" t="e">
        <f>$O25*(1-$N$2-#REF!)+$P25*(1-#REF!)+$Q25*(1-$Q$2)+$R25*(1-$R$2)+$S25*(1-$S$2)+$T25*(1-$T$2)+$U25*(1-$U$2)+$V25*(1-$V$2)</f>
        <v>#REF!</v>
      </c>
      <c r="AJ25" s="7">
        <f>(SUMIFS('Modeling - Base Estimates'!$X:$X,'Modeling - Base Estimates'!$A:$A,$A25)*SUMIFS('Modeling - Base Estimates'!O:O,'Modeling - Base Estimates'!$A:$A,$A25)*($N$2))</f>
        <v>1070012.0536303369</v>
      </c>
      <c r="AK25" s="7">
        <f>(SUMIFS('Modeling - Base Estimates'!$X:$X,'Modeling - Base Estimates'!$A:$A,$A25)*SUMIFS('Modeling - Base Estimates'!P:P,'Modeling - Base Estimates'!$A:$A,$A25)*($N$2))</f>
        <v>100696.76998151351</v>
      </c>
      <c r="AL25" s="7">
        <f>(SUMIFS('Modeling - Base Estimates'!$X:$X,'Modeling - Base Estimates'!$A:$A,$A25)*SUMIFS('Modeling - Base Estimates'!Q:Q,'Modeling - Base Estimates'!$A:$A,$A25)*($N$2))</f>
        <v>166745.48645043309</v>
      </c>
      <c r="AM25" s="7">
        <f>(SUMIFS('Modeling - Base Estimates'!$X:$X,'Modeling - Base Estimates'!$A:$A,$A25)*SUMIFS('Modeling - Base Estimates'!R:R,'Modeling - Base Estimates'!$A:$A,$A25)*($N$2))</f>
        <v>403590.0722697624</v>
      </c>
      <c r="AN25" s="7">
        <f>(SUMIFS('Modeling - Base Estimates'!X:X,'Modeling - Base Estimates'!A:A,$A25)*$R25*($R$2))+(SUMIFS('Modeling - Base Estimates'!X:X,'Modeling - Base Estimates'!A:A,$A25)*$S25*($S$2))+(SUMIFS('Modeling - Base Estimates'!X:X,'Modeling - Base Estimates'!A:A,$A25)*$T25*($T$2))+(SUMIFS('Modeling - Base Estimates'!X:X,'Modeling - Base Estimates'!A:A,$A25)*$U25*($U$2))+(SUMIFS('Modeling - Base Estimates'!X:X,'Modeling - Base Estimates'!A:A,$A25)*$V25*($V$2))</f>
        <v>146048.41543042674</v>
      </c>
      <c r="AO25" s="7">
        <f>SUM(AJ25:AN25)-(SUMIFS('Modeling - Base Estimates'!X:X,'Modeling - Base Estimates'!A:A,A25)-SUMIFS('Modeling - Base Estimates'!Z:Z,'Modeling - Base Estimates'!A:A,A25))</f>
        <v>4.1909515857696533E-9</v>
      </c>
      <c r="AQ25" s="7">
        <f t="shared" si="13"/>
        <v>1080996.3083859328</v>
      </c>
      <c r="AR25" s="7">
        <f>(W25*$O25*($N$2+'Modeling - Base Estimates'!$AA$51))</f>
        <v>311308.68216550985</v>
      </c>
      <c r="AS25" s="7">
        <f>(W25*P25*('Modeling - Base Estimates'!$AE$51))</f>
        <v>162903.24059174757</v>
      </c>
      <c r="AT25" s="7">
        <f t="shared" si="14"/>
        <v>407733.1435142401</v>
      </c>
      <c r="AU25" s="7">
        <f t="shared" si="15"/>
        <v>147547.68172027465</v>
      </c>
      <c r="AV25" s="5">
        <f t="shared" si="16"/>
        <v>0</v>
      </c>
      <c r="AX25" s="7">
        <f>SUMIFS('Modeling - Base Estimates'!X:X,'Modeling - Base Estimates'!A:A,A25)</f>
        <v>31532745.787087768</v>
      </c>
      <c r="AY25" s="5">
        <f t="shared" si="17"/>
        <v>1070012.0536303369</v>
      </c>
      <c r="AZ25" s="5">
        <f t="shared" si="18"/>
        <v>100696.76998151351</v>
      </c>
      <c r="BA25" s="5">
        <f t="shared" si="19"/>
        <v>166745.48645043309</v>
      </c>
      <c r="BB25" s="5">
        <f t="shared" si="20"/>
        <v>403590.0722697624</v>
      </c>
      <c r="BC25" s="5">
        <f t="shared" si="21"/>
        <v>146048.41543042674</v>
      </c>
      <c r="BD25" s="5">
        <f t="shared" si="22"/>
        <v>29645652.989325296</v>
      </c>
      <c r="BF25" s="5">
        <f t="shared" si="23"/>
        <v>31856446.545124717</v>
      </c>
      <c r="BG25" s="5">
        <f t="shared" si="24"/>
        <v>1080996.3083859328</v>
      </c>
      <c r="BH25" s="5">
        <f t="shared" si="25"/>
        <v>131527.82685783587</v>
      </c>
      <c r="BI25" s="5">
        <f t="shared" si="26"/>
        <v>311308.68216550985</v>
      </c>
      <c r="BJ25" s="5">
        <f t="shared" si="27"/>
        <v>162903.24059174757</v>
      </c>
      <c r="BK25" s="5">
        <f t="shared" si="28"/>
        <v>407733.1435142401</v>
      </c>
      <c r="BL25" s="5">
        <f t="shared" si="29"/>
        <v>147547.68172027465</v>
      </c>
      <c r="BM25" s="5">
        <f t="shared" si="30"/>
        <v>29614429.661889177</v>
      </c>
      <c r="BO25" s="5">
        <f t="shared" si="31"/>
        <v>-31223.327436119318</v>
      </c>
      <c r="BP25" s="12">
        <f t="shared" si="32"/>
        <v>-1.0532177330471386E-3</v>
      </c>
    </row>
    <row r="26" spans="1:68" x14ac:dyDescent="0.25">
      <c r="A26" s="1">
        <v>32</v>
      </c>
      <c r="B26" s="1">
        <v>210032</v>
      </c>
      <c r="C26" s="4">
        <v>210231969.60000002</v>
      </c>
      <c r="D26" s="4">
        <v>68795602.899999991</v>
      </c>
      <c r="E26" s="4">
        <f>IF(('Modeling - Base Estimates'!F26/SUM('Modeling - Base Estimates'!F26:G26)+$E$63)&gt;1,SUM('Modeling - Base Estimates'!F26:G26),(('Modeling - Base Estimates'!F26/SUM('Modeling - Base Estimates'!F26:G26)+$E$63))*SUM('Modeling - Base Estimates'!F26:G26))</f>
        <v>10296804.555824881</v>
      </c>
      <c r="F26" s="4">
        <f>SUM('Modeling - Base Estimates'!F26:G26)-E26</f>
        <v>18568351.844175115</v>
      </c>
      <c r="G26" s="4">
        <v>3940451.9</v>
      </c>
      <c r="H26" s="4">
        <v>35025342.700000003</v>
      </c>
      <c r="I26" s="4">
        <v>5256184.9000000004</v>
      </c>
      <c r="J26" s="4">
        <v>11583044.9</v>
      </c>
      <c r="K26" s="4">
        <v>0</v>
      </c>
      <c r="L26" s="4">
        <v>10422600</v>
      </c>
      <c r="M26" s="4">
        <f t="shared" si="0"/>
        <v>46343585.900000036</v>
      </c>
      <c r="N26" s="12">
        <f t="shared" si="1"/>
        <v>0.32723663784768148</v>
      </c>
      <c r="O26" s="12">
        <f t="shared" si="2"/>
        <v>4.8978300376561187E-2</v>
      </c>
      <c r="P26" s="12">
        <f t="shared" si="3"/>
        <v>8.8323159791084002E-2</v>
      </c>
      <c r="Q26" s="12">
        <f t="shared" si="10"/>
        <v>0.18534666575278091</v>
      </c>
      <c r="R26" s="12">
        <f t="shared" si="11"/>
        <v>2.500183444982575E-2</v>
      </c>
      <c r="S26" s="12">
        <f t="shared" si="11"/>
        <v>5.509649613252731E-2</v>
      </c>
      <c r="T26" s="12">
        <f t="shared" si="11"/>
        <v>0</v>
      </c>
      <c r="U26" s="12">
        <f t="shared" si="11"/>
        <v>4.9576665337011612E-2</v>
      </c>
      <c r="V26" s="12">
        <f t="shared" si="12"/>
        <v>0.22044024031252776</v>
      </c>
      <c r="W26" s="4">
        <f>SUMIFS('Modeling - Base Estimates'!AK:AK,'Modeling - Base Estimates'!A:A,A26)</f>
        <v>121954466.1521114</v>
      </c>
      <c r="X26" s="4">
        <f>(W26*N26*(1-N$2))+(W26*O26*(1-'Modeling - Base Estimates'!$AA$51-N$2))+(W26*P26*(1-'Modeling - Base Estimates'!$AE$51))+(W26*Q26*(1-Q$2))+(W26*R26*(1-R$2))+(W26*S26*(1-S$2))+(W26*T26*(1-T$2))+(W26*U26*(1-U$2))+(W26*V26*(1-V$2))</f>
        <v>114324157.90418519</v>
      </c>
      <c r="Y26" s="5">
        <f>X26*N26*SUMIFS('Modeling - Base Estimates'!AN:AN,'Modeling - Base Estimates'!A:A,A26)</f>
        <v>299208.83322396356</v>
      </c>
      <c r="Z26" s="4">
        <f t="shared" si="5"/>
        <v>114024949.07096122</v>
      </c>
      <c r="AA26" s="4">
        <f>(((W26*N26*(1-N$2))/X26)*X26)-Y26-(((SUMIFS('Modeling - Base Estimates'!X:X,'Modeling - Base Estimates'!A:A,A26)*N26*(1-N$2))/SUMIFS('Modeling - Base Estimates'!Z:Z,'Modeling - Base Estimates'!A:A,A26))*SUMIFS('Modeling - Base Estimates'!Z:Z,'Modeling - Base Estimates'!A:A,A26))</f>
        <v>397.06417091935873</v>
      </c>
      <c r="AB26" s="4"/>
      <c r="AC26" s="18">
        <f>1-((((W26*O26*(1-N$2-'Modeling - Base Estimates'!$AA$51))/X26)*X26)/('Modeling - Base Estimates'!X26*'Modeling - Base Estimates'!P26))</f>
        <v>-7.3045656714155971E-2</v>
      </c>
      <c r="AD26" s="18">
        <f t="shared" si="33"/>
        <v>-0.15004565671415598</v>
      </c>
      <c r="AE26" s="18">
        <f>1-((((W26*P26*(1-'Modeling - Base Estimates'!$AE$51))/X26)*X26)/(SUMIFS('Modeling - Base Estimates'!X:X,'Modeling - Base Estimates'!A:A,A26)*'Modeling - Base Estimates'!Q26))</f>
        <v>0.18733723008018865</v>
      </c>
      <c r="AF26" s="18">
        <f t="shared" si="34"/>
        <v>0.11033723008018866</v>
      </c>
      <c r="AG26" s="18">
        <f>$N26*(1-$N$2)+$O26*(1-$N$2-'Modeling - Base Estimates'!$AA$51)+$P26*(1-'Modeling - Base Estimates'!$AE$51)+$Q26*(1-$Q$2)+$R26*(1-$R$2)+$S26*(1-$S$2)+$T26*(1-$T$2)+$U26*(1-$U$2)+$V26*(1-$V$2)</f>
        <v>0.93743313804999118</v>
      </c>
      <c r="AH26" s="18" t="e">
        <f>$O26*(1-$N$2-#REF!)+$P26*(1-#REF!)+$Q26*(1-$Q$2)+$R26*(1-$R$2)+$S26*(1-$S$2)+$T26*(1-$T$2)+$U26*(1-$U$2)+$V26*(1-$V$2)</f>
        <v>#REF!</v>
      </c>
      <c r="AJ26" s="7">
        <f>(SUMIFS('Modeling - Base Estimates'!$X:$X,'Modeling - Base Estimates'!$A:$A,$A26)*SUMIFS('Modeling - Base Estimates'!O:O,'Modeling - Base Estimates'!$A:$A,$A26)*($N$2))</f>
        <v>3047919.4413826535</v>
      </c>
      <c r="AK26" s="7">
        <f>(SUMIFS('Modeling - Base Estimates'!$X:$X,'Modeling - Base Estimates'!$A:$A,$A26)*SUMIFS('Modeling - Base Estimates'!P:P,'Modeling - Base Estimates'!$A:$A,$A26)*($N$2))</f>
        <v>346380.6006504317</v>
      </c>
      <c r="AL26" s="7">
        <f>(SUMIFS('Modeling - Base Estimates'!$X:$X,'Modeling - Base Estimates'!$A:$A,$A26)*SUMIFS('Modeling - Base Estimates'!Q:Q,'Modeling - Base Estimates'!$A:$A,$A26)*($N$2))</f>
        <v>932460.89010581747</v>
      </c>
      <c r="AM26" s="7">
        <f>(SUMIFS('Modeling - Base Estimates'!$X:$X,'Modeling - Base Estimates'!$A:$A,$A26)*SUMIFS('Modeling - Base Estimates'!R:R,'Modeling - Base Estimates'!$A:$A,$A26)*($N$2))</f>
        <v>1726340.0261626784</v>
      </c>
      <c r="AN26" s="7">
        <f>(SUMIFS('Modeling - Base Estimates'!X:X,'Modeling - Base Estimates'!A:A,$A26)*$R26*($R$2))+(SUMIFS('Modeling - Base Estimates'!X:X,'Modeling - Base Estimates'!A:A,$A26)*$S26*($S$2))+(SUMIFS('Modeling - Base Estimates'!X:X,'Modeling - Base Estimates'!A:A,$A26)*$T26*($T$2))+(SUMIFS('Modeling - Base Estimates'!X:X,'Modeling - Base Estimates'!A:A,$A26)*$U26*($U$2))+(SUMIFS('Modeling - Base Estimates'!X:X,'Modeling - Base Estimates'!A:A,$A26)*$V26*($V$2))</f>
        <v>734638.78899953701</v>
      </c>
      <c r="AO26" s="7">
        <f>SUM(AJ26:AN26)-(SUMIFS('Modeling - Base Estimates'!X:X,'Modeling - Base Estimates'!A:A,A26)-SUMIFS('Modeling - Base Estimates'!Z:Z,'Modeling - Base Estimates'!A:A,A26))</f>
        <v>1.6763806343078613E-8</v>
      </c>
      <c r="AQ26" s="7">
        <f t="shared" si="13"/>
        <v>3072913.649507687</v>
      </c>
      <c r="AR26" s="7">
        <f>(W26*$O26*($N$2+'Modeling - Base Estimates'!$AA$51))</f>
        <v>1146080.9287341814</v>
      </c>
      <c r="AS26" s="7">
        <f>(W26*P26*('Modeling - Base Estimates'!$AE$51))</f>
        <v>930153.80384789919</v>
      </c>
      <c r="AT26" s="7">
        <f t="shared" si="14"/>
        <v>1740496.7329714752</v>
      </c>
      <c r="AU26" s="7">
        <f t="shared" si="15"/>
        <v>740663.13286495348</v>
      </c>
      <c r="AV26" s="5">
        <f t="shared" si="16"/>
        <v>-9.3132257461547852E-9</v>
      </c>
      <c r="AX26" s="7">
        <f>SUMIFS('Modeling - Base Estimates'!X:X,'Modeling - Base Estimates'!A:A,A26)</f>
        <v>120962523.11157995</v>
      </c>
      <c r="AY26" s="5">
        <f t="shared" si="17"/>
        <v>3047919.4413826535</v>
      </c>
      <c r="AZ26" s="5">
        <f t="shared" si="18"/>
        <v>346380.6006504317</v>
      </c>
      <c r="BA26" s="5">
        <f t="shared" si="19"/>
        <v>932460.89010581747</v>
      </c>
      <c r="BB26" s="5">
        <f t="shared" si="20"/>
        <v>1726340.0261626784</v>
      </c>
      <c r="BC26" s="5">
        <f t="shared" si="21"/>
        <v>734638.78899953701</v>
      </c>
      <c r="BD26" s="5">
        <f t="shared" si="22"/>
        <v>114174783.36427884</v>
      </c>
      <c r="BF26" s="5">
        <f t="shared" si="23"/>
        <v>121954466.1521114</v>
      </c>
      <c r="BG26" s="5">
        <f t="shared" si="24"/>
        <v>3072913.649507687</v>
      </c>
      <c r="BH26" s="5">
        <f t="shared" si="25"/>
        <v>299208.83322396356</v>
      </c>
      <c r="BI26" s="5">
        <f t="shared" si="26"/>
        <v>1146080.9287341814</v>
      </c>
      <c r="BJ26" s="5">
        <f t="shared" si="27"/>
        <v>930153.80384789919</v>
      </c>
      <c r="BK26" s="5">
        <f t="shared" si="28"/>
        <v>1740496.7329714752</v>
      </c>
      <c r="BL26" s="5">
        <f t="shared" si="29"/>
        <v>740663.13286495348</v>
      </c>
      <c r="BM26" s="5">
        <f t="shared" si="30"/>
        <v>114024949.07096124</v>
      </c>
      <c r="BO26" s="5">
        <f t="shared" si="31"/>
        <v>-149834.29331760108</v>
      </c>
      <c r="BP26" s="12">
        <f t="shared" si="32"/>
        <v>-1.3123238678679973E-3</v>
      </c>
    </row>
    <row r="27" spans="1:68" x14ac:dyDescent="0.25">
      <c r="A27" s="1">
        <v>33</v>
      </c>
      <c r="B27" s="1">
        <v>210033</v>
      </c>
      <c r="C27" s="4">
        <v>290567423</v>
      </c>
      <c r="D27" s="4">
        <v>121633864.8</v>
      </c>
      <c r="E27" s="4">
        <f>IF(('Modeling - Base Estimates'!F27/SUM('Modeling - Base Estimates'!F27:G27)+$E$63)&gt;1,SUM('Modeling - Base Estimates'!F27:G27),(('Modeling - Base Estimates'!F27/SUM('Modeling - Base Estimates'!F27:G27)+$E$63))*SUM('Modeling - Base Estimates'!F27:G27))</f>
        <v>13037700.982482424</v>
      </c>
      <c r="F27" s="4">
        <f>SUM('Modeling - Base Estimates'!F27:G27)-E27</f>
        <v>19721695.517517574</v>
      </c>
      <c r="G27" s="4">
        <v>3967476.9</v>
      </c>
      <c r="H27" s="4">
        <v>38578485.600000001</v>
      </c>
      <c r="I27" s="4">
        <v>11622343.199999999</v>
      </c>
      <c r="J27" s="4">
        <v>13522623.9</v>
      </c>
      <c r="K27" s="4">
        <v>0</v>
      </c>
      <c r="L27" s="4">
        <v>9762159.5</v>
      </c>
      <c r="M27" s="4">
        <f t="shared" si="0"/>
        <v>58721072.600000024</v>
      </c>
      <c r="N27" s="12">
        <f t="shared" si="1"/>
        <v>0.41860805848149052</v>
      </c>
      <c r="O27" s="12">
        <f t="shared" si="2"/>
        <v>4.4869795959481748E-2</v>
      </c>
      <c r="P27" s="12">
        <f t="shared" si="3"/>
        <v>6.7873044107623778E-2</v>
      </c>
      <c r="Q27" s="12">
        <f t="shared" si="10"/>
        <v>0.1464237183257808</v>
      </c>
      <c r="R27" s="12">
        <f t="shared" si="11"/>
        <v>3.999878265775169E-2</v>
      </c>
      <c r="S27" s="12">
        <f t="shared" si="11"/>
        <v>4.6538678563425882E-2</v>
      </c>
      <c r="T27" s="12">
        <f t="shared" si="11"/>
        <v>0</v>
      </c>
      <c r="U27" s="12">
        <f t="shared" si="11"/>
        <v>3.3596882263019552E-2</v>
      </c>
      <c r="V27" s="12">
        <f t="shared" si="12"/>
        <v>0.20209103964142608</v>
      </c>
      <c r="W27" s="4">
        <f>SUMIFS('Modeling - Base Estimates'!AK:AK,'Modeling - Base Estimates'!A:A,A27)</f>
        <v>163856552.6691218</v>
      </c>
      <c r="X27" s="4">
        <f>(W27*N27*(1-N$2))+(W27*O27*(1-'Modeling - Base Estimates'!$AA$51-N$2))+(W27*P27*(1-'Modeling - Base Estimates'!$AE$51))+(W27*Q27*(1-Q$2))+(W27*R27*(1-R$2))+(W27*S27*(1-S$2))+(W27*T27*(1-T$2))+(W27*U27*(1-U$2))+(W27*V27*(1-V$2))</f>
        <v>153394242.14231753</v>
      </c>
      <c r="Y27" s="5">
        <f>X27*N27*SUMIFS('Modeling - Base Estimates'!AN:AN,'Modeling - Base Estimates'!A:A,A27)</f>
        <v>543970.77586677123</v>
      </c>
      <c r="Z27" s="4">
        <f t="shared" si="5"/>
        <v>152850271.36645076</v>
      </c>
      <c r="AA27" s="4">
        <f>(((W27*N27*(1-N$2))/X27)*X27)-Y27-(((SUMIFS('Modeling - Base Estimates'!X:X,'Modeling - Base Estimates'!A:A,A27)*N27*(1-N$2))/SUMIFS('Modeling - Base Estimates'!Z:Z,'Modeling - Base Estimates'!A:A,A27))*SUMIFS('Modeling - Base Estimates'!Z:Z,'Modeling - Base Estimates'!A:A,A27))</f>
        <v>593.56834258139133</v>
      </c>
      <c r="AB27" s="4"/>
      <c r="AC27" s="18">
        <f>1-((((W27*O27*(1-N$2-'Modeling - Base Estimates'!$AA$51))/X27)*X27)/('Modeling - Base Estimates'!X27*'Modeling - Base Estimates'!P27))</f>
        <v>-3.9389153391285792E-2</v>
      </c>
      <c r="AD27" s="18">
        <f t="shared" si="33"/>
        <v>-0.11638915339128579</v>
      </c>
      <c r="AE27" s="18">
        <f>1-((((W27*P27*(1-'Modeling - Base Estimates'!$AE$51))/X27)*X27)/(SUMIFS('Modeling - Base Estimates'!X:X,'Modeling - Base Estimates'!A:A,A27)*'Modeling - Base Estimates'!Q27))</f>
        <v>0.19346372895389508</v>
      </c>
      <c r="AF27" s="18">
        <f t="shared" si="34"/>
        <v>0.11646372895389508</v>
      </c>
      <c r="AG27" s="18">
        <f>$N27*(1-$N$2)+$O27*(1-$N$2-'Modeling - Base Estimates'!$AA$51)+$P27*(1-'Modeling - Base Estimates'!$AE$51)+$Q27*(1-$Q$2)+$R27*(1-$R$2)+$S27*(1-$S$2)+$T27*(1-$T$2)+$U27*(1-$U$2)+$V27*(1-$V$2)</f>
        <v>0.93614957500094031</v>
      </c>
      <c r="AH27" s="18" t="e">
        <f>$O27*(1-$N$2-#REF!)+$P27*(1-#REF!)+$Q27*(1-$Q$2)+$R27*(1-$R$2)+$S27*(1-$S$2)+$T27*(1-$T$2)+$U27*(1-$U$2)+$V27*(1-$V$2)</f>
        <v>#REF!</v>
      </c>
      <c r="AJ27" s="7">
        <f>(SUMIFS('Modeling - Base Estimates'!$X:$X,'Modeling - Base Estimates'!$A:$A,$A27)*SUMIFS('Modeling - Base Estimates'!O:O,'Modeling - Base Estimates'!$A:$A,$A27)*($N$2))</f>
        <v>5236129.3222629419</v>
      </c>
      <c r="AK27" s="7">
        <f>(SUMIFS('Modeling - Base Estimates'!$X:$X,'Modeling - Base Estimates'!$A:$A,$A27)*SUMIFS('Modeling - Base Estimates'!P:P,'Modeling - Base Estimates'!$A:$A,$A27)*($N$2))</f>
        <v>440159.49022661871</v>
      </c>
      <c r="AL27" s="7">
        <f>(SUMIFS('Modeling - Base Estimates'!$X:$X,'Modeling - Base Estimates'!$A:$A,$A27)*SUMIFS('Modeling - Base Estimates'!Q:Q,'Modeling - Base Estimates'!$A:$A,$A27)*($N$2))</f>
        <v>970076.3587726315</v>
      </c>
      <c r="AM27" s="7">
        <f>(SUMIFS('Modeling - Base Estimates'!$X:$X,'Modeling - Base Estimates'!$A:$A,$A27)*SUMIFS('Modeling - Base Estimates'!R:R,'Modeling - Base Estimates'!$A:$A,$A27)*($N$2))</f>
        <v>1831530.7349351738</v>
      </c>
      <c r="AN27" s="7">
        <f>(SUMIFS('Modeling - Base Estimates'!X:X,'Modeling - Base Estimates'!A:A,$A27)*$R27*($R$2))+(SUMIFS('Modeling - Base Estimates'!X:X,'Modeling - Base Estimates'!A:A,$A27)*$S27*($S$2))+(SUMIFS('Modeling - Base Estimates'!X:X,'Modeling - Base Estimates'!A:A,$A27)*$T27*($T$2))+(SUMIFS('Modeling - Base Estimates'!X:X,'Modeling - Base Estimates'!A:A,$A27)*$U27*($U$2))+(SUMIFS('Modeling - Base Estimates'!X:X,'Modeling - Base Estimates'!A:A,$A27)*$V27*($V$2))</f>
        <v>953981.67610057257</v>
      </c>
      <c r="AO27" s="7">
        <f>SUM(AJ27:AN27)-(SUMIFS('Modeling - Base Estimates'!X:X,'Modeling - Base Estimates'!A:A,A27)-SUMIFS('Modeling - Base Estimates'!Z:Z,'Modeling - Base Estimates'!A:A,A27))</f>
        <v>0</v>
      </c>
      <c r="AQ27" s="7">
        <f t="shared" si="13"/>
        <v>5281558.8504364202</v>
      </c>
      <c r="AR27" s="7">
        <f>(W27*$O27*($N$2+'Modeling - Base Estimates'!$AA$51))</f>
        <v>1410690.6056176329</v>
      </c>
      <c r="AS27" s="7">
        <f>(W27*P27*('Modeling - Base Estimates'!$AE$51))</f>
        <v>960381.09112199408</v>
      </c>
      <c r="AT27" s="7">
        <f t="shared" si="14"/>
        <v>1847421.3999669857</v>
      </c>
      <c r="AU27" s="7">
        <f t="shared" si="15"/>
        <v>962258.57966120925</v>
      </c>
      <c r="AV27" s="5">
        <f t="shared" si="16"/>
        <v>-2.6077032089233398E-8</v>
      </c>
      <c r="AX27" s="7">
        <f>SUMIFS('Modeling - Base Estimates'!X:X,'Modeling - Base Estimates'!A:A,A27)</f>
        <v>162447134.33512449</v>
      </c>
      <c r="AY27" s="5">
        <f t="shared" si="17"/>
        <v>5236129.3222629419</v>
      </c>
      <c r="AZ27" s="5">
        <f t="shared" si="18"/>
        <v>440159.49022661871</v>
      </c>
      <c r="BA27" s="5">
        <f t="shared" si="19"/>
        <v>970076.3587726315</v>
      </c>
      <c r="BB27" s="5">
        <f t="shared" si="20"/>
        <v>1831530.7349351738</v>
      </c>
      <c r="BC27" s="5">
        <f t="shared" si="21"/>
        <v>953981.67610057257</v>
      </c>
      <c r="BD27" s="5">
        <f t="shared" si="22"/>
        <v>153015256.75282654</v>
      </c>
      <c r="BF27" s="5">
        <f t="shared" si="23"/>
        <v>163856552.6691218</v>
      </c>
      <c r="BG27" s="5">
        <f t="shared" si="24"/>
        <v>5281558.8504364202</v>
      </c>
      <c r="BH27" s="5">
        <f t="shared" si="25"/>
        <v>543970.77586677123</v>
      </c>
      <c r="BI27" s="5">
        <f t="shared" si="26"/>
        <v>1410690.6056176329</v>
      </c>
      <c r="BJ27" s="5">
        <f t="shared" si="27"/>
        <v>960381.09112199408</v>
      </c>
      <c r="BK27" s="5">
        <f t="shared" si="28"/>
        <v>1847421.3999669857</v>
      </c>
      <c r="BL27" s="5">
        <f t="shared" si="29"/>
        <v>962258.57966120925</v>
      </c>
      <c r="BM27" s="5">
        <f t="shared" si="30"/>
        <v>152850271.36645079</v>
      </c>
      <c r="BO27" s="5">
        <f t="shared" si="31"/>
        <v>-164985.38637575507</v>
      </c>
      <c r="BP27" s="12">
        <f t="shared" si="32"/>
        <v>-1.0782283406043916E-3</v>
      </c>
    </row>
    <row r="28" spans="1:68" x14ac:dyDescent="0.25">
      <c r="A28" s="1">
        <v>34</v>
      </c>
      <c r="B28" s="1">
        <v>210034</v>
      </c>
      <c r="C28" s="4">
        <v>241447813.20000002</v>
      </c>
      <c r="D28" s="4">
        <v>53805085.600000001</v>
      </c>
      <c r="E28" s="4">
        <f>IF(('Modeling - Base Estimates'!F28/SUM('Modeling - Base Estimates'!F28:G28)+$E$63)&gt;1,SUM('Modeling - Base Estimates'!F28:G28),(('Modeling - Base Estimates'!F28/SUM('Modeling - Base Estimates'!F28:G28)+$E$63))*SUM('Modeling - Base Estimates'!F28:G28))</f>
        <v>16427627.702702172</v>
      </c>
      <c r="F28" s="4">
        <f>SUM('Modeling - Base Estimates'!F28:G28)-E28</f>
        <v>15423582.597297825</v>
      </c>
      <c r="G28" s="4">
        <v>14230518.5</v>
      </c>
      <c r="H28" s="4">
        <v>79184722.799999997</v>
      </c>
      <c r="I28" s="4">
        <v>7412959.6000000006</v>
      </c>
      <c r="J28" s="4">
        <v>8701415.6999999993</v>
      </c>
      <c r="K28" s="4">
        <v>1273645.7</v>
      </c>
      <c r="L28" s="4">
        <v>17661094.700000003</v>
      </c>
      <c r="M28" s="4">
        <f t="shared" si="0"/>
        <v>27327160.300000042</v>
      </c>
      <c r="N28" s="12">
        <f t="shared" si="1"/>
        <v>0.22284354075069335</v>
      </c>
      <c r="O28" s="12">
        <f t="shared" si="2"/>
        <v>6.8038005749484959E-2</v>
      </c>
      <c r="P28" s="12">
        <f t="shared" si="3"/>
        <v>6.3879570466525246E-2</v>
      </c>
      <c r="Q28" s="12">
        <f t="shared" si="10"/>
        <v>0.38689619948067516</v>
      </c>
      <c r="R28" s="12">
        <f t="shared" si="11"/>
        <v>3.0702119442513137E-2</v>
      </c>
      <c r="S28" s="12">
        <f t="shared" si="11"/>
        <v>3.6038494549512856E-2</v>
      </c>
      <c r="T28" s="12">
        <f t="shared" si="11"/>
        <v>5.2750351437020173E-3</v>
      </c>
      <c r="U28" s="12">
        <f t="shared" si="11"/>
        <v>7.3146633493717653E-2</v>
      </c>
      <c r="V28" s="12">
        <f t="shared" si="12"/>
        <v>0.11318040092317572</v>
      </c>
      <c r="W28" s="4">
        <f>SUMIFS('Modeling - Base Estimates'!AK:AK,'Modeling - Base Estimates'!A:A,A28)</f>
        <v>129030836.226592</v>
      </c>
      <c r="X28" s="4">
        <f>(W28*N28*(1-N$2))+(W28*O28*(1-'Modeling - Base Estimates'!$AA$51-N$2))+(W28*P28*(1-'Modeling - Base Estimates'!$AE$51))+(W28*Q28*(1-Q$2))+(W28*R28*(1-R$2))+(W28*S28*(1-S$2))+(W28*T28*(1-T$2))+(W28*U28*(1-U$2))+(W28*V28*(1-V$2))</f>
        <v>120088799.40695781</v>
      </c>
      <c r="Y28" s="5">
        <f>X28*N28*SUMIFS('Modeling - Base Estimates'!AN:AN,'Modeling - Base Estimates'!A:A,A28)</f>
        <v>261501.53714829584</v>
      </c>
      <c r="Z28" s="4">
        <f t="shared" si="5"/>
        <v>119827297.86980951</v>
      </c>
      <c r="AA28" s="4">
        <f>(((W28*N28*(1-N$2))/X28)*X28)-Y28-(((SUMIFS('Modeling - Base Estimates'!X:X,'Modeling - Base Estimates'!A:A,A28)*N28*(1-N$2))/SUMIFS('Modeling - Base Estimates'!Z:Z,'Modeling - Base Estimates'!A:A,A28))*SUMIFS('Modeling - Base Estimates'!Z:Z,'Modeling - Base Estimates'!A:A,A28))</f>
        <v>335.82989497855306</v>
      </c>
      <c r="AB28" s="4"/>
      <c r="AC28" s="18">
        <f>1-((((W28*O28*(1-N$2-'Modeling - Base Estimates'!$AA$51))/X28)*X28)/('Modeling - Base Estimates'!X28*'Modeling - Base Estimates'!P28))</f>
        <v>2.0799726723764289E-2</v>
      </c>
      <c r="AD28" s="18">
        <f t="shared" si="33"/>
        <v>-5.620027327623571E-2</v>
      </c>
      <c r="AE28" s="18">
        <f>1-((((W28*P28*(1-'Modeling - Base Estimates'!$AE$51))/X28)*X28)/(SUMIFS('Modeling - Base Estimates'!X:X,'Modeling - Base Estimates'!A:A,A28)*'Modeling - Base Estimates'!Q28))</f>
        <v>0.21622960760184351</v>
      </c>
      <c r="AF28" s="18">
        <f t="shared" si="34"/>
        <v>0.1392296076018435</v>
      </c>
      <c r="AG28" s="18">
        <f>$N28*(1-$N$2)+$O28*(1-$N$2-'Modeling - Base Estimates'!$AA$51)+$P28*(1-'Modeling - Base Estimates'!$AE$51)+$Q28*(1-$Q$2)+$R28*(1-$R$2)+$S28*(1-$S$2)+$T28*(1-$T$2)+$U28*(1-$U$2)+$V28*(1-$V$2)</f>
        <v>0.9306984509971632</v>
      </c>
      <c r="AH28" s="18" t="e">
        <f>$O28*(1-$N$2-#REF!)+$P28*(1-#REF!)+$Q28*(1-$Q$2)+$R28*(1-$R$2)+$S28*(1-$S$2)+$T28*(1-$T$2)+$U28*(1-$U$2)+$V28*(1-$V$2)</f>
        <v>#REF!</v>
      </c>
      <c r="AJ28" s="7">
        <f>(SUMIFS('Modeling - Base Estimates'!$X:$X,'Modeling - Base Estimates'!$A:$A,$A28)*SUMIFS('Modeling - Base Estimates'!O:O,'Modeling - Base Estimates'!$A:$A,$A28)*($N$2))</f>
        <v>2192190.5869756765</v>
      </c>
      <c r="AK28" s="7">
        <f>(SUMIFS('Modeling - Base Estimates'!$X:$X,'Modeling - Base Estimates'!$A:$A,$A28)*SUMIFS('Modeling - Base Estimates'!P:P,'Modeling - Base Estimates'!$A:$A,$A28)*($N$2))</f>
        <v>557883.99687176931</v>
      </c>
      <c r="AL28" s="7">
        <f>(SUMIFS('Modeling - Base Estimates'!$X:$X,'Modeling - Base Estimates'!$A:$A,$A28)*SUMIFS('Modeling - Base Estimates'!Q:Q,'Modeling - Base Estimates'!$A:$A,$A28)*($N$2))</f>
        <v>739835.7748711959</v>
      </c>
      <c r="AM28" s="7">
        <f>(SUMIFS('Modeling - Base Estimates'!$X:$X,'Modeling - Base Estimates'!$A:$A,$A28)*SUMIFS('Modeling - Base Estimates'!R:R,'Modeling - Base Estimates'!$A:$A,$A28)*($N$2))</f>
        <v>3806034.5109444726</v>
      </c>
      <c r="AN28" s="7">
        <f>(SUMIFS('Modeling - Base Estimates'!X:X,'Modeling - Base Estimates'!A:A,$A28)*$R28*($R$2))+(SUMIFS('Modeling - Base Estimates'!X:X,'Modeling - Base Estimates'!A:A,$A28)*$S28*($S$2))+(SUMIFS('Modeling - Base Estimates'!X:X,'Modeling - Base Estimates'!A:A,$A28)*$T28*($T$2))+(SUMIFS('Modeling - Base Estimates'!X:X,'Modeling - Base Estimates'!A:A,$A28)*$U28*($U$2))+(SUMIFS('Modeling - Base Estimates'!X:X,'Modeling - Base Estimates'!A:A,$A28)*$V28*($V$2))</f>
        <v>483011.00724119064</v>
      </c>
      <c r="AO28" s="7">
        <f>SUM(AJ28:AN28)-(SUMIFS('Modeling - Base Estimates'!X:X,'Modeling - Base Estimates'!A:A,A28)-SUMIFS('Modeling - Base Estimates'!Z:Z,'Modeling - Base Estimates'!A:A,A28))</f>
        <v>2.6077032089233398E-8</v>
      </c>
      <c r="AQ28" s="7">
        <f t="shared" si="13"/>
        <v>2214034.0076282579</v>
      </c>
      <c r="AR28" s="7">
        <f>(W28*$O28*($N$2+'Modeling - Base Estimates'!$AA$51))</f>
        <v>1684453.2160940934</v>
      </c>
      <c r="AS28" s="7">
        <f>(W28*P28*('Modeling - Base Estimates'!$AE$51))</f>
        <v>711767.17975371087</v>
      </c>
      <c r="AT28" s="7">
        <f t="shared" si="14"/>
        <v>3843958.5916949036</v>
      </c>
      <c r="AU28" s="7">
        <f t="shared" si="15"/>
        <v>487823.82446323324</v>
      </c>
      <c r="AV28" s="5">
        <f t="shared" si="16"/>
        <v>0</v>
      </c>
      <c r="AX28" s="7">
        <f>SUMIFS('Modeling - Base Estimates'!X:X,'Modeling - Base Estimates'!A:A,A28)</f>
        <v>127757831.91719976</v>
      </c>
      <c r="AY28" s="5">
        <f t="shared" si="17"/>
        <v>2192190.5869756765</v>
      </c>
      <c r="AZ28" s="5">
        <f t="shared" si="18"/>
        <v>557883.99687176931</v>
      </c>
      <c r="BA28" s="5">
        <f t="shared" si="19"/>
        <v>739835.7748711959</v>
      </c>
      <c r="BB28" s="5">
        <f t="shared" si="20"/>
        <v>3806034.5109444726</v>
      </c>
      <c r="BC28" s="5">
        <f t="shared" si="21"/>
        <v>483011.00724119064</v>
      </c>
      <c r="BD28" s="5">
        <f t="shared" si="22"/>
        <v>119978876.04029545</v>
      </c>
      <c r="BF28" s="5">
        <f t="shared" si="23"/>
        <v>129030836.226592</v>
      </c>
      <c r="BG28" s="5">
        <f t="shared" si="24"/>
        <v>2214034.0076282579</v>
      </c>
      <c r="BH28" s="5">
        <f t="shared" si="25"/>
        <v>261501.53714829584</v>
      </c>
      <c r="BI28" s="5">
        <f t="shared" si="26"/>
        <v>1684453.2160940934</v>
      </c>
      <c r="BJ28" s="5">
        <f t="shared" si="27"/>
        <v>711767.17975371087</v>
      </c>
      <c r="BK28" s="5">
        <f t="shared" si="28"/>
        <v>3843958.5916949036</v>
      </c>
      <c r="BL28" s="5">
        <f t="shared" si="29"/>
        <v>487823.82446323324</v>
      </c>
      <c r="BM28" s="5">
        <f t="shared" si="30"/>
        <v>119827297.86980951</v>
      </c>
      <c r="BO28" s="5">
        <f t="shared" si="31"/>
        <v>-151578.17048594356</v>
      </c>
      <c r="BP28" s="12">
        <f t="shared" si="32"/>
        <v>-1.2633738161960722E-3</v>
      </c>
    </row>
    <row r="29" spans="1:68" x14ac:dyDescent="0.25">
      <c r="A29" s="1">
        <v>35</v>
      </c>
      <c r="B29" s="1">
        <v>210035</v>
      </c>
      <c r="C29" s="4">
        <v>196648597.90000001</v>
      </c>
      <c r="D29" s="4">
        <v>72458241.599999994</v>
      </c>
      <c r="E29" s="4">
        <f>IF(('Modeling - Base Estimates'!F29/SUM('Modeling - Base Estimates'!F29:G29)+$E$63)&gt;1,SUM('Modeling - Base Estimates'!F29:G29),(('Modeling - Base Estimates'!F29/SUM('Modeling - Base Estimates'!F29:G29)+$E$63))*SUM('Modeling - Base Estimates'!F29:G29))</f>
        <v>12821344.970051449</v>
      </c>
      <c r="F29" s="4">
        <f>SUM('Modeling - Base Estimates'!F29:G29)-E29</f>
        <v>11643224.72994855</v>
      </c>
      <c r="G29" s="4">
        <v>3006970.6999999997</v>
      </c>
      <c r="H29" s="4">
        <v>28195313.099999998</v>
      </c>
      <c r="I29" s="4">
        <v>9068738.0999999996</v>
      </c>
      <c r="J29" s="4">
        <v>17077362.300000001</v>
      </c>
      <c r="K29" s="4">
        <v>683678.1</v>
      </c>
      <c r="L29" s="4">
        <v>14059248.4</v>
      </c>
      <c r="M29" s="4">
        <f t="shared" si="0"/>
        <v>27634475.900000006</v>
      </c>
      <c r="N29" s="12">
        <f t="shared" si="1"/>
        <v>0.36846558975643728</v>
      </c>
      <c r="O29" s="12">
        <f t="shared" si="2"/>
        <v>6.5199269697164969E-2</v>
      </c>
      <c r="P29" s="12">
        <f t="shared" si="3"/>
        <v>5.9208277375409402E-2</v>
      </c>
      <c r="Q29" s="12">
        <f t="shared" si="10"/>
        <v>0.15867025818240016</v>
      </c>
      <c r="R29" s="12">
        <f t="shared" si="11"/>
        <v>4.6116464581210215E-2</v>
      </c>
      <c r="S29" s="12">
        <f t="shared" si="11"/>
        <v>8.6842024211554264E-2</v>
      </c>
      <c r="T29" s="12">
        <f t="shared" si="11"/>
        <v>3.4766487394314646E-3</v>
      </c>
      <c r="U29" s="12">
        <f t="shared" si="11"/>
        <v>7.1494272271137305E-2</v>
      </c>
      <c r="V29" s="12">
        <f t="shared" si="12"/>
        <v>0.14052719518525489</v>
      </c>
      <c r="W29" s="4">
        <f>SUMIFS('Modeling - Base Estimates'!AK:AK,'Modeling - Base Estimates'!A:A,A29)</f>
        <v>114962338.97123627</v>
      </c>
      <c r="X29" s="4">
        <f>(W29*N29*(1-N$2))+(W29*O29*(1-'Modeling - Base Estimates'!$AA$51-N$2))+(W29*P29*(1-'Modeling - Base Estimates'!$AE$51))+(W29*Q29*(1-Q$2))+(W29*R29*(1-R$2))+(W29*S29*(1-S$2))+(W29*T29*(1-T$2))+(W29*U29*(1-U$2))+(W29*V29*(1-V$2))</f>
        <v>107620056.6083699</v>
      </c>
      <c r="Y29" s="5">
        <f>X29*N29*SUMIFS('Modeling - Base Estimates'!AN:AN,'Modeling - Base Estimates'!A:A,A29)</f>
        <v>448424.54608389729</v>
      </c>
      <c r="Z29" s="4">
        <f t="shared" si="5"/>
        <v>107171632.062286</v>
      </c>
      <c r="AA29" s="4">
        <f>(((W29*N29*(1-N$2))/X29)*X29)-Y29-(((SUMIFS('Modeling - Base Estimates'!X:X,'Modeling - Base Estimates'!A:A,A29)*N29*(1-N$2))/SUMIFS('Modeling - Base Estimates'!Z:Z,'Modeling - Base Estimates'!A:A,A29))*SUMIFS('Modeling - Base Estimates'!Z:Z,'Modeling - Base Estimates'!A:A,A29))</f>
        <v>539.94548618793488</v>
      </c>
      <c r="AB29" s="4"/>
      <c r="AC29" s="18">
        <f>1-((((W29*O29*(1-N$2-'Modeling - Base Estimates'!$AA$51))/X29)*X29)/('Modeling - Base Estimates'!X29*'Modeling - Base Estimates'!P29))</f>
        <v>2.2296747540772821E-2</v>
      </c>
      <c r="AD29" s="18">
        <f t="shared" si="33"/>
        <v>-5.4703252459227178E-2</v>
      </c>
      <c r="AE29" s="18">
        <f>1-((((W29*P29*(1-'Modeling - Base Estimates'!$AE$51))/X29)*X29)/(SUMIFS('Modeling - Base Estimates'!X:X,'Modeling - Base Estimates'!A:A,A29)*'Modeling - Base Estimates'!Q29))</f>
        <v>0.21700818256830956</v>
      </c>
      <c r="AF29" s="18">
        <f t="shared" si="34"/>
        <v>0.14000818256830955</v>
      </c>
      <c r="AG29" s="18">
        <f>$N29*(1-$N$2)+$O29*(1-$N$2-'Modeling - Base Estimates'!$AA$51)+$P29*(1-'Modeling - Base Estimates'!$AE$51)+$Q29*(1-$Q$2)+$R29*(1-$R$2)+$S29*(1-$S$2)+$T29*(1-$T$2)+$U29*(1-$U$2)+$V29*(1-$V$2)</f>
        <v>0.93613315083382709</v>
      </c>
      <c r="AH29" s="18" t="e">
        <f>$O29*(1-$N$2-#REF!)+$P29*(1-#REF!)+$Q29*(1-$Q$2)+$R29*(1-$R$2)+$S29*(1-$S$2)+$T29*(1-$T$2)+$U29*(1-$U$2)+$V29*(1-$V$2)</f>
        <v>#REF!</v>
      </c>
      <c r="AJ29" s="7">
        <f>(SUMIFS('Modeling - Base Estimates'!$X:$X,'Modeling - Base Estimates'!$A:$A,$A29)*SUMIFS('Modeling - Base Estimates'!O:O,'Modeling - Base Estimates'!$A:$A,$A29)*($N$2))</f>
        <v>3224240.0416934858</v>
      </c>
      <c r="AK29" s="7">
        <f>(SUMIFS('Modeling - Base Estimates'!$X:$X,'Modeling - Base Estimates'!$A:$A,$A29)*SUMIFS('Modeling - Base Estimates'!P:P,'Modeling - Base Estimates'!$A:$A,$A29)*($N$2))</f>
        <v>477047.47848210885</v>
      </c>
      <c r="AL29" s="7">
        <f>(SUMIFS('Modeling - Base Estimates'!$X:$X,'Modeling - Base Estimates'!$A:$A,$A29)*SUMIFS('Modeling - Base Estimates'!Q:Q,'Modeling - Base Estimates'!$A:$A,$A29)*($N$2))</f>
        <v>611574.65045375517</v>
      </c>
      <c r="AM29" s="7">
        <f>(SUMIFS('Modeling - Base Estimates'!$X:$X,'Modeling - Base Estimates'!$A:$A,$A29)*SUMIFS('Modeling - Base Estimates'!R:R,'Modeling - Base Estimates'!$A:$A,$A29)*($N$2))</f>
        <v>1388436.2992910934</v>
      </c>
      <c r="AN29" s="7">
        <f>(SUMIFS('Modeling - Base Estimates'!X:X,'Modeling - Base Estimates'!A:A,$A29)*$R29*($R$2))+(SUMIFS('Modeling - Base Estimates'!X:X,'Modeling - Base Estimates'!A:A,$A29)*$S29*($S$2))+(SUMIFS('Modeling - Base Estimates'!X:X,'Modeling - Base Estimates'!A:A,$A29)*$T29*($T$2))+(SUMIFS('Modeling - Base Estimates'!X:X,'Modeling - Base Estimates'!A:A,$A29)*$U29*($U$2))+(SUMIFS('Modeling - Base Estimates'!X:X,'Modeling - Base Estimates'!A:A,$A29)*$V29*($V$2))</f>
        <v>642594.22556917777</v>
      </c>
      <c r="AO29" s="7">
        <f>SUM(AJ29:AN29)-(SUMIFS('Modeling - Base Estimates'!X:X,'Modeling - Base Estimates'!A:A,A29)-SUMIFS('Modeling - Base Estimates'!Z:Z,'Modeling - Base Estimates'!A:A,A29))</f>
        <v>0</v>
      </c>
      <c r="AQ29" s="7">
        <f t="shared" si="13"/>
        <v>3261694.2842188342</v>
      </c>
      <c r="AR29" s="7">
        <f>(W29*$O29*($N$2+'Modeling - Base Estimates'!$AA$51))</f>
        <v>1438176.5008826489</v>
      </c>
      <c r="AS29" s="7">
        <f>(W29*P29*('Modeling - Base Estimates'!$AE$51))</f>
        <v>587787.67621094373</v>
      </c>
      <c r="AT29" s="7">
        <f t="shared" si="14"/>
        <v>1404565.0084480369</v>
      </c>
      <c r="AU29" s="7">
        <f t="shared" si="15"/>
        <v>650058.8931059083</v>
      </c>
      <c r="AV29" s="5">
        <f t="shared" si="16"/>
        <v>0</v>
      </c>
      <c r="AX29" s="7">
        <f>SUMIFS('Modeling - Base Estimates'!X:X,'Modeling - Base Estimates'!A:A,A29)</f>
        <v>113642219.13476263</v>
      </c>
      <c r="AY29" s="5">
        <f t="shared" si="17"/>
        <v>3224240.0416934858</v>
      </c>
      <c r="AZ29" s="5">
        <f t="shared" si="18"/>
        <v>477047.47848210885</v>
      </c>
      <c r="BA29" s="5">
        <f t="shared" si="19"/>
        <v>611574.65045375517</v>
      </c>
      <c r="BB29" s="5">
        <f t="shared" si="20"/>
        <v>1388436.2992910934</v>
      </c>
      <c r="BC29" s="5">
        <f t="shared" si="21"/>
        <v>642594.22556917777</v>
      </c>
      <c r="BD29" s="5">
        <f t="shared" si="22"/>
        <v>107298326.43927301</v>
      </c>
      <c r="BF29" s="5">
        <f t="shared" si="23"/>
        <v>114962338.97123627</v>
      </c>
      <c r="BG29" s="5">
        <f t="shared" si="24"/>
        <v>3261694.2842188342</v>
      </c>
      <c r="BH29" s="5">
        <f t="shared" si="25"/>
        <v>448424.54608389729</v>
      </c>
      <c r="BI29" s="5">
        <f t="shared" si="26"/>
        <v>1438176.5008826489</v>
      </c>
      <c r="BJ29" s="5">
        <f t="shared" si="27"/>
        <v>587787.67621094373</v>
      </c>
      <c r="BK29" s="5">
        <f t="shared" si="28"/>
        <v>1404565.0084480369</v>
      </c>
      <c r="BL29" s="5">
        <f t="shared" si="29"/>
        <v>650058.8931059083</v>
      </c>
      <c r="BM29" s="5">
        <f t="shared" si="30"/>
        <v>107171632.062286</v>
      </c>
      <c r="BO29" s="5">
        <f t="shared" si="31"/>
        <v>-126694.37698701024</v>
      </c>
      <c r="BP29" s="12">
        <f t="shared" si="32"/>
        <v>-1.1807675030114724E-3</v>
      </c>
    </row>
    <row r="30" spans="1:68" x14ac:dyDescent="0.25">
      <c r="A30" s="1">
        <v>37</v>
      </c>
      <c r="B30" s="1">
        <v>210037</v>
      </c>
      <c r="C30" s="4">
        <v>320559043.5</v>
      </c>
      <c r="D30" s="4">
        <v>143734873.30000001</v>
      </c>
      <c r="E30" s="4">
        <f>IF(('Modeling - Base Estimates'!F30/SUM('Modeling - Base Estimates'!F30:G30)+$E$63)&gt;1,SUM('Modeling - Base Estimates'!F30:G30),(('Modeling - Base Estimates'!F30/SUM('Modeling - Base Estimates'!F30:G30)+$E$63))*SUM('Modeling - Base Estimates'!F30:G30))</f>
        <v>17086241.335436951</v>
      </c>
      <c r="F30" s="4">
        <f>SUM('Modeling - Base Estimates'!F30:G30)-E30</f>
        <v>21055745.964563046</v>
      </c>
      <c r="G30" s="4">
        <v>4498246.3</v>
      </c>
      <c r="H30" s="4">
        <v>52359150.399999999</v>
      </c>
      <c r="I30" s="4">
        <v>12205881.1</v>
      </c>
      <c r="J30" s="4">
        <v>21575524.600000001</v>
      </c>
      <c r="K30" s="4">
        <v>1574144</v>
      </c>
      <c r="L30" s="4">
        <v>12623000</v>
      </c>
      <c r="M30" s="4">
        <f t="shared" si="0"/>
        <v>33846236.5</v>
      </c>
      <c r="N30" s="12">
        <f t="shared" si="1"/>
        <v>0.4483881400775393</v>
      </c>
      <c r="O30" s="12">
        <f t="shared" si="2"/>
        <v>5.3301386068794379E-2</v>
      </c>
      <c r="P30" s="12">
        <f t="shared" si="3"/>
        <v>6.568445467851243E-2</v>
      </c>
      <c r="Q30" s="12">
        <f t="shared" si="10"/>
        <v>0.17736949823410611</v>
      </c>
      <c r="R30" s="12">
        <f t="shared" si="11"/>
        <v>3.8076857750544167E-2</v>
      </c>
      <c r="S30" s="12">
        <f t="shared" si="11"/>
        <v>6.7305930178819001E-2</v>
      </c>
      <c r="T30" s="12">
        <f t="shared" si="11"/>
        <v>4.9106210912436788E-3</v>
      </c>
      <c r="U30" s="12">
        <f t="shared" si="11"/>
        <v>3.937808106168747E-2</v>
      </c>
      <c r="V30" s="12">
        <f t="shared" si="12"/>
        <v>0.10558503085875348</v>
      </c>
      <c r="W30" s="4">
        <f>SUMIFS('Modeling - Base Estimates'!AK:AK,'Modeling - Base Estimates'!A:A,A30)</f>
        <v>171358069.39203146</v>
      </c>
      <c r="X30" s="4">
        <f>(W30*N30*(1-N$2))+(W30*O30*(1-'Modeling - Base Estimates'!$AA$51-N$2))+(W30*P30*(1-'Modeling - Base Estimates'!$AE$51))+(W30*Q30*(1-Q$2))+(W30*R30*(1-R$2))+(W30*S30*(1-S$2))+(W30*T30*(1-T$2))+(W30*U30*(1-U$2))+(W30*V30*(1-V$2))</f>
        <v>159620845.07832646</v>
      </c>
      <c r="Y30" s="5">
        <f>X30*N30*SUMIFS('Modeling - Base Estimates'!AN:AN,'Modeling - Base Estimates'!A:A,A30)</f>
        <v>766326.50043103076</v>
      </c>
      <c r="Z30" s="4">
        <f t="shared" si="5"/>
        <v>158854518.57789543</v>
      </c>
      <c r="AA30" s="4">
        <f>(((W30*N30*(1-N$2))/X30)*X30)-Y30-(((SUMIFS('Modeling - Base Estimates'!X:X,'Modeling - Base Estimates'!A:A,A30)*N30*(1-N$2))/SUMIFS('Modeling - Base Estimates'!Z:Z,'Modeling - Base Estimates'!A:A,A30))*SUMIFS('Modeling - Base Estimates'!Z:Z,'Modeling - Base Estimates'!A:A,A30))</f>
        <v>886.90176279842854</v>
      </c>
      <c r="AB30" s="4"/>
      <c r="AC30" s="18">
        <f>1-((((W30*O30*(1-N$2-'Modeling - Base Estimates'!$AA$51))/X30)*X30)/('Modeling - Base Estimates'!X30*'Modeling - Base Estimates'!P30))</f>
        <v>-1.0695568849988346E-2</v>
      </c>
      <c r="AD30" s="18">
        <f t="shared" si="33"/>
        <v>-8.7695568849988345E-2</v>
      </c>
      <c r="AE30" s="18">
        <f>1-((((W30*P30*(1-'Modeling - Base Estimates'!$AE$51))/X30)*X30)/(SUMIFS('Modeling - Base Estimates'!X:X,'Modeling - Base Estimates'!A:A,A30)*'Modeling - Base Estimates'!Q30))</f>
        <v>0.20068983466300683</v>
      </c>
      <c r="AF30" s="18">
        <f t="shared" si="34"/>
        <v>0.12368983466300683</v>
      </c>
      <c r="AG30" s="18">
        <f>$N30*(1-$N$2)+$O30*(1-$N$2-'Modeling - Base Estimates'!$AA$51)+$P30*(1-'Modeling - Base Estimates'!$AE$51)+$Q30*(1-$Q$2)+$R30*(1-$R$2)+$S30*(1-$S$2)+$T30*(1-$T$2)+$U30*(1-$U$2)+$V30*(1-$V$2)</f>
        <v>0.93150468865955383</v>
      </c>
      <c r="AH30" s="18" t="e">
        <f>$O30*(1-$N$2-#REF!)+$P30*(1-#REF!)+$Q30*(1-$Q$2)+$R30*(1-$R$2)+$S30*(1-$S$2)+$T30*(1-$T$2)+$U30*(1-$U$2)+$V30*(1-$V$2)</f>
        <v>#REF!</v>
      </c>
      <c r="AJ30" s="7">
        <f>(SUMIFS('Modeling - Base Estimates'!$X:$X,'Modeling - Base Estimates'!$A:$A,$A30)*SUMIFS('Modeling - Base Estimates'!O:O,'Modeling - Base Estimates'!$A:$A,$A30)*($N$2))</f>
        <v>5852285.5854155663</v>
      </c>
      <c r="AK30" s="7">
        <f>(SUMIFS('Modeling - Base Estimates'!$X:$X,'Modeling - Base Estimates'!$A:$A,$A30)*SUMIFS('Modeling - Base Estimates'!P:P,'Modeling - Base Estimates'!$A:$A,$A30)*($N$2))</f>
        <v>562332.31814003666</v>
      </c>
      <c r="AL30" s="7">
        <f>(SUMIFS('Modeling - Base Estimates'!$X:$X,'Modeling - Base Estimates'!$A:$A,$A30)*SUMIFS('Modeling - Base Estimates'!Q:Q,'Modeling - Base Estimates'!$A:$A,$A30)*($N$2))</f>
        <v>990650.59651421499</v>
      </c>
      <c r="AM30" s="7">
        <f>(SUMIFS('Modeling - Base Estimates'!$X:$X,'Modeling - Base Estimates'!$A:$A,$A30)*SUMIFS('Modeling - Base Estimates'!R:R,'Modeling - Base Estimates'!$A:$A,$A30)*($N$2))</f>
        <v>2314996.4618340437</v>
      </c>
      <c r="AN30" s="7">
        <f>(SUMIFS('Modeling - Base Estimates'!X:X,'Modeling - Base Estimates'!A:A,$A30)*$R30*($R$2))+(SUMIFS('Modeling - Base Estimates'!X:X,'Modeling - Base Estimates'!A:A,$A30)*$S30*($S$2))+(SUMIFS('Modeling - Base Estimates'!X:X,'Modeling - Base Estimates'!A:A,$A30)*$T30*($T$2))+(SUMIFS('Modeling - Base Estimates'!X:X,'Modeling - Base Estimates'!A:A,$A30)*$U30*($U$2))+(SUMIFS('Modeling - Base Estimates'!X:X,'Modeling - Base Estimates'!A:A,$A30)*$V30*($V$2))</f>
        <v>747981.86684178072</v>
      </c>
      <c r="AO30" s="7">
        <f>SUM(AJ30:AN30)-(SUMIFS('Modeling - Base Estimates'!X:X,'Modeling - Base Estimates'!A:A,A30)-SUMIFS('Modeling - Base Estimates'!Z:Z,'Modeling - Base Estimates'!A:A,A30))</f>
        <v>0</v>
      </c>
      <c r="AQ30" s="7">
        <f t="shared" si="13"/>
        <v>5916289.3036917588</v>
      </c>
      <c r="AR30" s="7">
        <f>(W30*$O30*($N$2+'Modeling - Base Estimates'!$AA$51))</f>
        <v>1752495.5715604331</v>
      </c>
      <c r="AS30" s="7">
        <f>(W30*P30*('Modeling - Base Estimates'!$AE$51))</f>
        <v>971962.74419427547</v>
      </c>
      <c r="AT30" s="7">
        <f t="shared" si="14"/>
        <v>2340314.4985550912</v>
      </c>
      <c r="AU30" s="7">
        <f t="shared" si="15"/>
        <v>756162.19570343907</v>
      </c>
      <c r="AV30" s="5">
        <f t="shared" si="16"/>
        <v>0</v>
      </c>
      <c r="AX30" s="7">
        <f>SUMIFS('Modeling - Base Estimates'!X:X,'Modeling - Base Estimates'!A:A,A30)</f>
        <v>169504280.12738612</v>
      </c>
      <c r="AY30" s="5">
        <f t="shared" si="17"/>
        <v>5852285.5854155663</v>
      </c>
      <c r="AZ30" s="5">
        <f t="shared" si="18"/>
        <v>562332.31814003666</v>
      </c>
      <c r="BA30" s="5">
        <f t="shared" si="19"/>
        <v>990650.59651421499</v>
      </c>
      <c r="BB30" s="5">
        <f t="shared" si="20"/>
        <v>2314996.4618340437</v>
      </c>
      <c r="BC30" s="5">
        <f t="shared" si="21"/>
        <v>747981.86684178072</v>
      </c>
      <c r="BD30" s="5">
        <f t="shared" si="22"/>
        <v>159036033.29864049</v>
      </c>
      <c r="BF30" s="5">
        <f t="shared" si="23"/>
        <v>171358069.39203146</v>
      </c>
      <c r="BG30" s="5">
        <f t="shared" si="24"/>
        <v>5916289.3036917588</v>
      </c>
      <c r="BH30" s="5">
        <f t="shared" si="25"/>
        <v>766326.50043103076</v>
      </c>
      <c r="BI30" s="5">
        <f t="shared" si="26"/>
        <v>1752495.5715604331</v>
      </c>
      <c r="BJ30" s="5">
        <f t="shared" si="27"/>
        <v>971962.74419427547</v>
      </c>
      <c r="BK30" s="5">
        <f t="shared" si="28"/>
        <v>2340314.4985550912</v>
      </c>
      <c r="BL30" s="5">
        <f t="shared" si="29"/>
        <v>756162.19570343907</v>
      </c>
      <c r="BM30" s="5">
        <f t="shared" si="30"/>
        <v>158854518.57789543</v>
      </c>
      <c r="BO30" s="5">
        <f t="shared" si="31"/>
        <v>-181514.72074505687</v>
      </c>
      <c r="BP30" s="12">
        <f t="shared" si="32"/>
        <v>-1.1413433608734791E-3</v>
      </c>
    </row>
    <row r="31" spans="1:68" x14ac:dyDescent="0.25">
      <c r="A31" s="1">
        <v>38</v>
      </c>
      <c r="B31" s="1">
        <v>210038</v>
      </c>
      <c r="C31" s="4">
        <v>285799427.39999998</v>
      </c>
      <c r="D31" s="4">
        <v>68278745.599999994</v>
      </c>
      <c r="E31" s="4">
        <f>IF(('Modeling - Base Estimates'!F31/SUM('Modeling - Base Estimates'!F31:G31)+$E$63)&gt;1,SUM('Modeling - Base Estimates'!F31:G31),(('Modeling - Base Estimates'!F31/SUM('Modeling - Base Estimates'!F31:G31)+$E$63))*SUM('Modeling - Base Estimates'!F31:G31))</f>
        <v>24041139.617919046</v>
      </c>
      <c r="F31" s="4">
        <f>SUM('Modeling - Base Estimates'!F31:G31)-E31</f>
        <v>19072522.082080949</v>
      </c>
      <c r="G31" s="4">
        <v>13843662.1</v>
      </c>
      <c r="H31" s="4">
        <v>88311633.799999997</v>
      </c>
      <c r="I31" s="4">
        <v>7985594.1000000006</v>
      </c>
      <c r="J31" s="4">
        <v>19156676.800000001</v>
      </c>
      <c r="K31" s="4">
        <v>2123218.9</v>
      </c>
      <c r="L31" s="4">
        <v>11763000</v>
      </c>
      <c r="M31" s="4">
        <f t="shared" si="0"/>
        <v>31223234.399999976</v>
      </c>
      <c r="N31" s="12">
        <f t="shared" si="1"/>
        <v>0.23890441706322327</v>
      </c>
      <c r="O31" s="12">
        <f t="shared" si="2"/>
        <v>8.4118921568976698E-2</v>
      </c>
      <c r="P31" s="12">
        <f t="shared" si="3"/>
        <v>6.6733940846520221E-2</v>
      </c>
      <c r="Q31" s="12">
        <f t="shared" si="10"/>
        <v>0.35743702088326856</v>
      </c>
      <c r="R31" s="12">
        <f t="shared" si="11"/>
        <v>2.7941252971173731E-2</v>
      </c>
      <c r="S31" s="12">
        <f t="shared" si="11"/>
        <v>6.7028394613221687E-2</v>
      </c>
      <c r="T31" s="12">
        <f t="shared" si="11"/>
        <v>7.4290523228669001E-3</v>
      </c>
      <c r="U31" s="12">
        <f t="shared" si="11"/>
        <v>4.1158235014714384E-2</v>
      </c>
      <c r="V31" s="12">
        <f t="shared" si="12"/>
        <v>0.10924876471603448</v>
      </c>
      <c r="W31" s="4">
        <f>SUMIFS('Modeling - Base Estimates'!AK:AK,'Modeling - Base Estimates'!A:A,A31)</f>
        <v>156911448.54919684</v>
      </c>
      <c r="X31" s="4">
        <f>(W31*N31*(1-N$2))+(W31*O31*(1-'Modeling - Base Estimates'!$AA$51-N$2))+(W31*P31*(1-'Modeling - Base Estimates'!$AE$51))+(W31*Q31*(1-Q$2))+(W31*R31*(1-R$2))+(W31*S31*(1-S$2))+(W31*T31*(1-T$2))+(W31*U31*(1-U$2))+(W31*V31*(1-V$2))</f>
        <v>145594369.47585377</v>
      </c>
      <c r="Y31" s="5">
        <f>X31*N31*SUMIFS('Modeling - Base Estimates'!AN:AN,'Modeling - Base Estimates'!A:A,A31)</f>
        <v>430625.18830207671</v>
      </c>
      <c r="Z31" s="4">
        <f t="shared" si="5"/>
        <v>145163744.2875517</v>
      </c>
      <c r="AA31" s="4">
        <f>(((W31*N31*(1-N$2))/X31)*X31)-Y31-(((SUMIFS('Modeling - Base Estimates'!X:X,'Modeling - Base Estimates'!A:A,A31)*N31*(1-N$2))/SUMIFS('Modeling - Base Estimates'!Z:Z,'Modeling - Base Estimates'!A:A,A31))*SUMIFS('Modeling - Base Estimates'!Z:Z,'Modeling - Base Estimates'!A:A,A31))</f>
        <v>634.32886102050543</v>
      </c>
      <c r="AB31" s="4"/>
      <c r="AC31" s="18">
        <f>1-((((W31*O31*(1-N$2-'Modeling - Base Estimates'!$AA$51))/X31)*X31)/('Modeling - Base Estimates'!X31*'Modeling - Base Estimates'!P31))</f>
        <v>3.2727080855411095E-2</v>
      </c>
      <c r="AD31" s="18">
        <f t="shared" si="33"/>
        <v>-4.4272919144588904E-2</v>
      </c>
      <c r="AE31" s="18">
        <f>1-((((W31*P31*(1-'Modeling - Base Estimates'!$AE$51))/X31)*X31)/(SUMIFS('Modeling - Base Estimates'!X:X,'Modeling - Base Estimates'!A:A,A31)*'Modeling - Base Estimates'!Q31))</f>
        <v>0.22521000514194212</v>
      </c>
      <c r="AF31" s="18">
        <f t="shared" si="34"/>
        <v>0.1482100051419421</v>
      </c>
      <c r="AG31" s="18">
        <f>$N31*(1-$N$2)+$O31*(1-$N$2-'Modeling - Base Estimates'!$AA$51)+$P31*(1-'Modeling - Base Estimates'!$AE$51)+$Q31*(1-$Q$2)+$R31*(1-$R$2)+$S31*(1-$S$2)+$T31*(1-$T$2)+$U31*(1-$U$2)+$V31*(1-$V$2)</f>
        <v>0.9278760142871616</v>
      </c>
      <c r="AH31" s="18" t="e">
        <f>$O31*(1-$N$2-#REF!)+$P31*(1-#REF!)+$Q31*(1-$Q$2)+$R31*(1-$R$2)+$S31*(1-$S$2)+$T31*(1-$T$2)+$U31*(1-$U$2)+$V31*(1-$V$2)</f>
        <v>#REF!</v>
      </c>
      <c r="AJ31" s="7">
        <f>(SUMIFS('Modeling - Base Estimates'!$X:$X,'Modeling - Base Estimates'!$A:$A,$A31)*SUMIFS('Modeling - Base Estimates'!O:O,'Modeling - Base Estimates'!$A:$A,$A31)*($N$2))</f>
        <v>2850509.3077642908</v>
      </c>
      <c r="AK31" s="7">
        <f>(SUMIFS('Modeling - Base Estimates'!$X:$X,'Modeling - Base Estimates'!$A:$A,$A31)*SUMIFS('Modeling - Base Estimates'!P:P,'Modeling - Base Estimates'!$A:$A,$A31)*($N$2))</f>
        <v>849121.11622786988</v>
      </c>
      <c r="AL31" s="7">
        <f>(SUMIFS('Modeling - Base Estimates'!$X:$X,'Modeling - Base Estimates'!$A:$A,$A31)*SUMIFS('Modeling - Base Estimates'!Q:Q,'Modeling - Base Estimates'!$A:$A,$A31)*($N$2))</f>
        <v>950793.23321868503</v>
      </c>
      <c r="AM31" s="7">
        <f>(SUMIFS('Modeling - Base Estimates'!$X:$X,'Modeling - Base Estimates'!$A:$A,$A31)*SUMIFS('Modeling - Base Estimates'!R:R,'Modeling - Base Estimates'!$A:$A,$A31)*($N$2))</f>
        <v>4264791.6162121948</v>
      </c>
      <c r="AN31" s="7">
        <f>(SUMIFS('Modeling - Base Estimates'!X:X,'Modeling - Base Estimates'!A:A,$A31)*$R31*($R$2))+(SUMIFS('Modeling - Base Estimates'!X:X,'Modeling - Base Estimates'!A:A,$A31)*$S31*($S$2))+(SUMIFS('Modeling - Base Estimates'!X:X,'Modeling - Base Estimates'!A:A,$A31)*$T31*($T$2))+(SUMIFS('Modeling - Base Estimates'!X:X,'Modeling - Base Estimates'!A:A,$A31)*$U31*($U$2))+(SUMIFS('Modeling - Base Estimates'!X:X,'Modeling - Base Estimates'!A:A,$A31)*$V31*($V$2))</f>
        <v>666743.7656808804</v>
      </c>
      <c r="AO31" s="7">
        <f>SUM(AJ31:AN31)-(SUMIFS('Modeling - Base Estimates'!X:X,'Modeling - Base Estimates'!A:A,A31)-SUMIFS('Modeling - Base Estimates'!Z:Z,'Modeling - Base Estimates'!A:A,A31))</f>
        <v>-3.3527612686157227E-8</v>
      </c>
      <c r="AQ31" s="7">
        <f t="shared" si="13"/>
        <v>2886486.5372567703</v>
      </c>
      <c r="AR31" s="7">
        <f>(W31*$O31*($N$2+'Modeling - Base Estimates'!$AA$51))</f>
        <v>2532574.2909137164</v>
      </c>
      <c r="AS31" s="7">
        <f>(W31*P31*('Modeling - Base Estimates'!$AE$51))</f>
        <v>904240.30904492654</v>
      </c>
      <c r="AT31" s="7">
        <f t="shared" si="14"/>
        <v>4318618.9748165458</v>
      </c>
      <c r="AU31" s="7">
        <f t="shared" si="15"/>
        <v>675158.961311094</v>
      </c>
      <c r="AV31" s="5">
        <f t="shared" si="16"/>
        <v>-1.4901161193847656E-8</v>
      </c>
      <c r="AX31" s="7">
        <f>SUMIFS('Modeling - Base Estimates'!X:X,'Modeling - Base Estimates'!A:A,A31)</f>
        <v>154955700.92259717</v>
      </c>
      <c r="AY31" s="5">
        <f t="shared" si="17"/>
        <v>2850509.3077642908</v>
      </c>
      <c r="AZ31" s="5">
        <f t="shared" si="18"/>
        <v>849121.11622786988</v>
      </c>
      <c r="BA31" s="5">
        <f t="shared" si="19"/>
        <v>950793.23321868503</v>
      </c>
      <c r="BB31" s="5">
        <f t="shared" si="20"/>
        <v>4264791.6162121948</v>
      </c>
      <c r="BC31" s="5">
        <f t="shared" si="21"/>
        <v>666743.7656808804</v>
      </c>
      <c r="BD31" s="5">
        <f t="shared" si="22"/>
        <v>145373741.88349324</v>
      </c>
      <c r="BF31" s="5">
        <f t="shared" si="23"/>
        <v>156911448.54919684</v>
      </c>
      <c r="BG31" s="5">
        <f t="shared" si="24"/>
        <v>2886486.5372567703</v>
      </c>
      <c r="BH31" s="5">
        <f t="shared" si="25"/>
        <v>430625.18830207671</v>
      </c>
      <c r="BI31" s="5">
        <f t="shared" si="26"/>
        <v>2532574.2909137164</v>
      </c>
      <c r="BJ31" s="5">
        <f t="shared" si="27"/>
        <v>904240.30904492654</v>
      </c>
      <c r="BK31" s="5">
        <f t="shared" si="28"/>
        <v>4318618.9748165458</v>
      </c>
      <c r="BL31" s="5">
        <f t="shared" si="29"/>
        <v>675158.961311094</v>
      </c>
      <c r="BM31" s="5">
        <f t="shared" si="30"/>
        <v>145163744.2875517</v>
      </c>
      <c r="BO31" s="5">
        <f t="shared" si="31"/>
        <v>-209997.59594154358</v>
      </c>
      <c r="BP31" s="12">
        <f t="shared" si="32"/>
        <v>-1.4445359472816059E-3</v>
      </c>
    </row>
    <row r="32" spans="1:68" x14ac:dyDescent="0.25">
      <c r="A32" s="1">
        <v>39</v>
      </c>
      <c r="B32" s="1">
        <v>210039</v>
      </c>
      <c r="C32" s="4">
        <v>197883196</v>
      </c>
      <c r="D32" s="4">
        <v>77504823.5</v>
      </c>
      <c r="E32" s="4">
        <f>IF(('Modeling - Base Estimates'!F32/SUM('Modeling - Base Estimates'!F32:G32)+$E$63)&gt;1,SUM('Modeling - Base Estimates'!F32:G32),(('Modeling - Base Estimates'!F32/SUM('Modeling - Base Estimates'!F32:G32)+$E$63))*SUM('Modeling - Base Estimates'!F32:G32))</f>
        <v>7724653.0847563539</v>
      </c>
      <c r="F32" s="4">
        <f>SUM('Modeling - Base Estimates'!F32:G32)-E32</f>
        <v>10180301.615243645</v>
      </c>
      <c r="G32" s="4">
        <v>4620170.6000000006</v>
      </c>
      <c r="H32" s="4">
        <v>21027433.5</v>
      </c>
      <c r="I32" s="4">
        <v>10527193</v>
      </c>
      <c r="J32" s="4">
        <v>21988651</v>
      </c>
      <c r="K32" s="4">
        <v>802847.8</v>
      </c>
      <c r="L32" s="4">
        <v>4752502.9000000004</v>
      </c>
      <c r="M32" s="4">
        <f t="shared" si="0"/>
        <v>38754618.99999997</v>
      </c>
      <c r="N32" s="12">
        <f t="shared" si="1"/>
        <v>0.39166955591317615</v>
      </c>
      <c r="O32" s="12">
        <f t="shared" si="2"/>
        <v>3.9036427755878546E-2</v>
      </c>
      <c r="P32" s="12">
        <f t="shared" si="3"/>
        <v>5.1446013714290549E-2</v>
      </c>
      <c r="Q32" s="12">
        <f t="shared" si="10"/>
        <v>0.12960981335676428</v>
      </c>
      <c r="R32" s="12">
        <f t="shared" si="11"/>
        <v>5.3199024539708768E-2</v>
      </c>
      <c r="S32" s="12">
        <f t="shared" si="11"/>
        <v>0.11111934436312622</v>
      </c>
      <c r="T32" s="12">
        <f t="shared" si="11"/>
        <v>4.0571802771974634E-3</v>
      </c>
      <c r="U32" s="12">
        <f t="shared" si="11"/>
        <v>2.4016707815857189E-2</v>
      </c>
      <c r="V32" s="12">
        <f t="shared" si="12"/>
        <v>0.19584593226400068</v>
      </c>
      <c r="W32" s="4">
        <f>SUMIFS('Modeling - Base Estimates'!AK:AK,'Modeling - Base Estimates'!A:A,A32)</f>
        <v>105543825.80119239</v>
      </c>
      <c r="X32" s="4">
        <f>(W32*N32*(1-N$2))+(W32*O32*(1-'Modeling - Base Estimates'!$AA$51-N$2))+(W32*P32*(1-'Modeling - Base Estimates'!$AE$51))+(W32*Q32*(1-Q$2))+(W32*R32*(1-R$2))+(W32*S32*(1-S$2))+(W32*T32*(1-T$2))+(W32*U32*(1-U$2))+(W32*V32*(1-V$2))</f>
        <v>99265177.255497903</v>
      </c>
      <c r="Y32" s="5">
        <f>X32*N32*SUMIFS('Modeling - Base Estimates'!AN:AN,'Modeling - Base Estimates'!A:A,A32)</f>
        <v>271240.53641081339</v>
      </c>
      <c r="Z32" s="4">
        <f t="shared" si="5"/>
        <v>98993936.719087094</v>
      </c>
      <c r="AA32" s="4">
        <f>(((W32*N32*(1-N$2))/X32)*X32)-Y32-(((SUMIFS('Modeling - Base Estimates'!X:X,'Modeling - Base Estimates'!A:A,A32)*N32*(1-N$2))/SUMIFS('Modeling - Base Estimates'!Z:Z,'Modeling - Base Estimates'!A:A,A32))*SUMIFS('Modeling - Base Estimates'!Z:Z,'Modeling - Base Estimates'!A:A,A32))</f>
        <v>236.43199717998505</v>
      </c>
      <c r="AB32" s="4"/>
      <c r="AC32" s="18">
        <f>1-((((W32*O32*(1-N$2-'Modeling - Base Estimates'!$AA$51))/X32)*X32)/('Modeling - Base Estimates'!X32*'Modeling - Base Estimates'!P32))</f>
        <v>-1.6163441973963577E-2</v>
      </c>
      <c r="AD32" s="18">
        <f t="shared" si="33"/>
        <v>-9.3163441973963576E-2</v>
      </c>
      <c r="AE32" s="18">
        <f>1-((((W32*P32*(1-'Modeling - Base Estimates'!$AE$51))/X32)*X32)/(SUMIFS('Modeling - Base Estimates'!X:X,'Modeling - Base Estimates'!A:A,A32)*'Modeling - Base Estimates'!Q32))</f>
        <v>0.20054078870733194</v>
      </c>
      <c r="AF32" s="18">
        <f t="shared" si="34"/>
        <v>0.12354078870733194</v>
      </c>
      <c r="AG32" s="18">
        <f>$N32*(1-$N$2)+$O32*(1-$N$2-'Modeling - Base Estimates'!$AA$51)+$P32*(1-'Modeling - Base Estimates'!$AE$51)+$Q32*(1-$Q$2)+$R32*(1-$R$2)+$S32*(1-$S$2)+$T32*(1-$T$2)+$U32*(1-$U$2)+$V32*(1-$V$2)</f>
        <v>0.94051145580489703</v>
      </c>
      <c r="AH32" s="18" t="e">
        <f>$O32*(1-$N$2-#REF!)+$P32*(1-#REF!)+$Q32*(1-$Q$2)+$R32*(1-$R$2)+$S32*(1-$S$2)+$T32*(1-$T$2)+$U32*(1-$U$2)+$V32*(1-$V$2)</f>
        <v>#REF!</v>
      </c>
      <c r="AJ32" s="7">
        <f>(SUMIFS('Modeling - Base Estimates'!$X:$X,'Modeling - Base Estimates'!$A:$A,$A32)*SUMIFS('Modeling - Base Estimates'!O:O,'Modeling - Base Estimates'!$A:$A,$A32)*($N$2))</f>
        <v>3160401.7692510365</v>
      </c>
      <c r="AK32" s="7">
        <f>(SUMIFS('Modeling - Base Estimates'!$X:$X,'Modeling - Base Estimates'!$A:$A,$A32)*SUMIFS('Modeling - Base Estimates'!P:P,'Modeling - Base Estimates'!$A:$A,$A32)*($N$2))</f>
        <v>252295.60008420373</v>
      </c>
      <c r="AL32" s="7">
        <f>(SUMIFS('Modeling - Base Estimates'!$X:$X,'Modeling - Base Estimates'!$A:$A,$A32)*SUMIFS('Modeling - Base Estimates'!Q:Q,'Modeling - Base Estimates'!$A:$A,$A32)*($N$2))</f>
        <v>477811.86880435719</v>
      </c>
      <c r="AM32" s="7">
        <f>(SUMIFS('Modeling - Base Estimates'!$X:$X,'Modeling - Base Estimates'!$A:$A,$A32)*SUMIFS('Modeling - Base Estimates'!R:R,'Modeling - Base Estimates'!$A:$A,$A32)*($N$2))</f>
        <v>1045828.2428665895</v>
      </c>
      <c r="AN32" s="7">
        <f>(SUMIFS('Modeling - Base Estimates'!X:X,'Modeling - Base Estimates'!A:A,$A32)*$R32*($R$2))+(SUMIFS('Modeling - Base Estimates'!X:X,'Modeling - Base Estimates'!A:A,$A32)*$S32*($S$2))+(SUMIFS('Modeling - Base Estimates'!X:X,'Modeling - Base Estimates'!A:A,$A32)*$T32*($T$2))+(SUMIFS('Modeling - Base Estimates'!X:X,'Modeling - Base Estimates'!A:A,$A32)*$U32*($U$2))+(SUMIFS('Modeling - Base Estimates'!X:X,'Modeling - Base Estimates'!A:A,$A32)*$V32*($V$2))</f>
        <v>777293.52050612634</v>
      </c>
      <c r="AO32" s="7">
        <f>SUM(AJ32:AN32)-(SUMIFS('Modeling - Base Estimates'!X:X,'Modeling - Base Estimates'!A:A,A32)-SUMIFS('Modeling - Base Estimates'!Z:Z,'Modeling - Base Estimates'!A:A,A32))</f>
        <v>9.3132257461547852E-9</v>
      </c>
      <c r="AQ32" s="7">
        <f t="shared" si="13"/>
        <v>3183049.3603316597</v>
      </c>
      <c r="AR32" s="7">
        <f>(W32*$O32*($N$2+'Modeling - Base Estimates'!$AA$51))</f>
        <v>790527.10789648443</v>
      </c>
      <c r="AS32" s="7">
        <f>(W32*P32*('Modeling - Base Estimates'!$AE$51))</f>
        <v>468885.73585271579</v>
      </c>
      <c r="AT32" s="7">
        <f t="shared" si="14"/>
        <v>1053322.6983549569</v>
      </c>
      <c r="AU32" s="7">
        <f t="shared" si="15"/>
        <v>782863.64325865614</v>
      </c>
      <c r="AV32" s="5">
        <f t="shared" si="16"/>
        <v>-1.2107193470001221E-8</v>
      </c>
      <c r="AX32" s="7">
        <f>SUMIFS('Modeling - Base Estimates'!X:X,'Modeling - Base Estimates'!A:A,A32)</f>
        <v>104792875.01870723</v>
      </c>
      <c r="AY32" s="5">
        <f t="shared" si="17"/>
        <v>3160401.7692510365</v>
      </c>
      <c r="AZ32" s="5">
        <f t="shared" si="18"/>
        <v>252295.60008420373</v>
      </c>
      <c r="BA32" s="5">
        <f t="shared" si="19"/>
        <v>477811.86880435719</v>
      </c>
      <c r="BB32" s="5">
        <f t="shared" si="20"/>
        <v>1045828.2428665895</v>
      </c>
      <c r="BC32" s="5">
        <f t="shared" si="21"/>
        <v>777293.52050612634</v>
      </c>
      <c r="BD32" s="5">
        <f t="shared" si="22"/>
        <v>99079244.017194912</v>
      </c>
      <c r="BF32" s="5">
        <f t="shared" si="23"/>
        <v>105543825.80119239</v>
      </c>
      <c r="BG32" s="5">
        <f t="shared" si="24"/>
        <v>3183049.3603316597</v>
      </c>
      <c r="BH32" s="5">
        <f t="shared" si="25"/>
        <v>271240.53641081339</v>
      </c>
      <c r="BI32" s="5">
        <f t="shared" si="26"/>
        <v>790527.10789648443</v>
      </c>
      <c r="BJ32" s="5">
        <f t="shared" si="27"/>
        <v>468885.73585271579</v>
      </c>
      <c r="BK32" s="5">
        <f t="shared" si="28"/>
        <v>1053322.6983549569</v>
      </c>
      <c r="BL32" s="5">
        <f t="shared" si="29"/>
        <v>782863.64325865614</v>
      </c>
      <c r="BM32" s="5">
        <f t="shared" si="30"/>
        <v>98993936.719087109</v>
      </c>
      <c r="BO32" s="5">
        <f t="shared" si="31"/>
        <v>-85307.298107802868</v>
      </c>
      <c r="BP32" s="12">
        <f t="shared" si="32"/>
        <v>-8.6100069650307419E-4</v>
      </c>
    </row>
    <row r="33" spans="1:68" x14ac:dyDescent="0.25">
      <c r="A33" s="1">
        <v>40</v>
      </c>
      <c r="B33" s="1">
        <v>210040</v>
      </c>
      <c r="C33" s="4">
        <v>322316790.09999996</v>
      </c>
      <c r="D33" s="4">
        <v>118630768.5</v>
      </c>
      <c r="E33" s="4">
        <f>IF(('Modeling - Base Estimates'!F33/SUM('Modeling - Base Estimates'!F33:G33)+$E$63)&gt;1,SUM('Modeling - Base Estimates'!F33:G33),(('Modeling - Base Estimates'!F33/SUM('Modeling - Base Estimates'!F33:G33)+$E$63))*SUM('Modeling - Base Estimates'!F33:G33))</f>
        <v>28154245.798148882</v>
      </c>
      <c r="F33" s="4">
        <f>SUM('Modeling - Base Estimates'!F33:G33)-E33</f>
        <v>25238644.301851112</v>
      </c>
      <c r="G33" s="4">
        <v>12438049.6</v>
      </c>
      <c r="H33" s="4">
        <v>52220886.200000003</v>
      </c>
      <c r="I33" s="4">
        <v>7924276</v>
      </c>
      <c r="J33" s="4">
        <v>18569972.099999998</v>
      </c>
      <c r="K33" s="4">
        <v>0</v>
      </c>
      <c r="L33" s="4">
        <v>14047800</v>
      </c>
      <c r="M33" s="4">
        <f t="shared" si="0"/>
        <v>45092147.599999964</v>
      </c>
      <c r="N33" s="12">
        <f t="shared" si="1"/>
        <v>0.3680564343644474</v>
      </c>
      <c r="O33" s="12">
        <f t="shared" si="2"/>
        <v>8.7349609647744145E-2</v>
      </c>
      <c r="P33" s="12">
        <f t="shared" si="3"/>
        <v>7.8303846020620682E-2</v>
      </c>
      <c r="Q33" s="12">
        <f t="shared" si="10"/>
        <v>0.20060678744020544</v>
      </c>
      <c r="R33" s="12">
        <f t="shared" si="11"/>
        <v>2.4585365216442695E-2</v>
      </c>
      <c r="S33" s="12">
        <f t="shared" si="11"/>
        <v>5.7614038952915225E-2</v>
      </c>
      <c r="T33" s="12">
        <f t="shared" si="11"/>
        <v>0</v>
      </c>
      <c r="U33" s="12">
        <f t="shared" si="11"/>
        <v>4.3583829423349679E-2</v>
      </c>
      <c r="V33" s="12">
        <f t="shared" si="12"/>
        <v>0.13990008893427475</v>
      </c>
      <c r="W33" s="4">
        <f>SUMIFS('Modeling - Base Estimates'!AK:AK,'Modeling - Base Estimates'!A:A,A33)</f>
        <v>177715610.87865826</v>
      </c>
      <c r="X33" s="4">
        <f>(W33*N33*(1-N$2))+(W33*O33*(1-'Modeling - Base Estimates'!$AA$51-N$2))+(W33*P33*(1-'Modeling - Base Estimates'!$AE$51))+(W33*Q33*(1-Q$2))+(W33*R33*(1-R$2))+(W33*S33*(1-S$2))+(W33*T33*(1-T$2))+(W33*U33*(1-U$2))+(W33*V33*(1-V$2))</f>
        <v>164953425.75304183</v>
      </c>
      <c r="Y33" s="5">
        <f>X33*N33*SUMIFS('Modeling - Base Estimates'!AN:AN,'Modeling - Base Estimates'!A:A,A33)</f>
        <v>934917.66892457637</v>
      </c>
      <c r="Z33" s="4">
        <f t="shared" si="5"/>
        <v>164018508.08411726</v>
      </c>
      <c r="AA33" s="4">
        <f>(((W33*N33*(1-N$2))/X33)*X33)-Y33-(((SUMIFS('Modeling - Base Estimates'!X:X,'Modeling - Base Estimates'!A:A,A33)*N33*(1-N$2))/SUMIFS('Modeling - Base Estimates'!Z:Z,'Modeling - Base Estimates'!A:A,A33))*SUMIFS('Modeling - Base Estimates'!Z:Z,'Modeling - Base Estimates'!A:A,A33))</f>
        <v>1511.7832959368825</v>
      </c>
      <c r="AB33" s="4"/>
      <c r="AC33" s="18">
        <f>1-((((W33*O33*(1-N$2-'Modeling - Base Estimates'!$AA$51))/X33)*X33)/('Modeling - Base Estimates'!X33*'Modeling - Base Estimates'!P33))</f>
        <v>1.9471945340638896E-2</v>
      </c>
      <c r="AD33" s="18">
        <f t="shared" si="33"/>
        <v>-5.7528054659361103E-2</v>
      </c>
      <c r="AE33" s="18">
        <f>1-((((W33*P33*(1-'Modeling - Base Estimates'!$AE$51))/X33)*X33)/(SUMIFS('Modeling - Base Estimates'!X:X,'Modeling - Base Estimates'!A:A,A33)*'Modeling - Base Estimates'!Q33))</f>
        <v>0.21462386137445177</v>
      </c>
      <c r="AF33" s="18">
        <f t="shared" si="34"/>
        <v>0.13762386137445176</v>
      </c>
      <c r="AG33" s="18">
        <f>$N33*(1-$N$2)+$O33*(1-$N$2-'Modeling - Base Estimates'!$AA$51)+$P33*(1-'Modeling - Base Estimates'!$AE$51)+$Q33*(1-$Q$2)+$R33*(1-$R$2)+$S33*(1-$S$2)+$T33*(1-$T$2)+$U33*(1-$U$2)+$V33*(1-$V$2)</f>
        <v>0.92818759667472173</v>
      </c>
      <c r="AH33" s="18" t="e">
        <f>$O33*(1-$N$2-#REF!)+$P33*(1-#REF!)+$Q33*(1-$Q$2)+$R33*(1-$R$2)+$S33*(1-$S$2)+$T33*(1-$T$2)+$U33*(1-$U$2)+$V33*(1-$V$2)</f>
        <v>#REF!</v>
      </c>
      <c r="AJ33" s="7">
        <f>(SUMIFS('Modeling - Base Estimates'!$X:$X,'Modeling - Base Estimates'!$A:$A,$A33)*SUMIFS('Modeling - Base Estimates'!O:O,'Modeling - Base Estimates'!$A:$A,$A33)*($N$2))</f>
        <v>4958401.4699586695</v>
      </c>
      <c r="AK33" s="7">
        <f>(SUMIFS('Modeling - Base Estimates'!$X:$X,'Modeling - Base Estimates'!$A:$A,$A33)*SUMIFS('Modeling - Base Estimates'!P:P,'Modeling - Base Estimates'!$A:$A,$A33)*($N$2))</f>
        <v>985137.53227108147</v>
      </c>
      <c r="AL33" s="7">
        <f>(SUMIFS('Modeling - Base Estimates'!$X:$X,'Modeling - Base Estimates'!$A:$A,$A33)*SUMIFS('Modeling - Base Estimates'!Q:Q,'Modeling - Base Estimates'!$A:$A,$A33)*($N$2))</f>
        <v>1246521.1521045633</v>
      </c>
      <c r="AM33" s="7">
        <f>(SUMIFS('Modeling - Base Estimates'!$X:$X,'Modeling - Base Estimates'!$A:$A,$A33)*SUMIFS('Modeling - Base Estimates'!R:R,'Modeling - Base Estimates'!$A:$A,$A33)*($N$2))</f>
        <v>2702544.7644864852</v>
      </c>
      <c r="AN33" s="7">
        <f>(SUMIFS('Modeling - Base Estimates'!X:X,'Modeling - Base Estimates'!A:A,$A33)*$R33*($R$2))+(SUMIFS('Modeling - Base Estimates'!X:X,'Modeling - Base Estimates'!A:A,$A33)*$S33*($S$2))+(SUMIFS('Modeling - Base Estimates'!X:X,'Modeling - Base Estimates'!A:A,$A33)*$T33*($T$2))+(SUMIFS('Modeling - Base Estimates'!X:X,'Modeling - Base Estimates'!A:A,$A33)*$U33*($U$2))+(SUMIFS('Modeling - Base Estimates'!X:X,'Modeling - Base Estimates'!A:A,$A33)*$V33*($V$2))</f>
        <v>787920.15368029778</v>
      </c>
      <c r="AO33" s="7">
        <f>SUM(AJ33:AN33)-(SUMIFS('Modeling - Base Estimates'!X:X,'Modeling - Base Estimates'!A:A,A33)-SUMIFS('Modeling - Base Estimates'!Z:Z,'Modeling - Base Estimates'!A:A,A33))</f>
        <v>0</v>
      </c>
      <c r="AQ33" s="7">
        <f t="shared" si="13"/>
        <v>5036521.8034591889</v>
      </c>
      <c r="AR33" s="7">
        <f>(W33*$O33*($N$2+'Modeling - Base Estimates'!$AA$51))</f>
        <v>2978519.263370452</v>
      </c>
      <c r="AS33" s="7">
        <f>(W33*P33*('Modeling - Base Estimates'!$AE$51))</f>
        <v>1201686.3601581729</v>
      </c>
      <c r="AT33" s="7">
        <f t="shared" si="14"/>
        <v>2745123.7487782771</v>
      </c>
      <c r="AU33" s="7">
        <f t="shared" si="15"/>
        <v>800333.94985033618</v>
      </c>
      <c r="AV33" s="5">
        <f t="shared" si="16"/>
        <v>0</v>
      </c>
      <c r="AX33" s="7">
        <f>SUMIFS('Modeling - Base Estimates'!X:X,'Modeling - Base Estimates'!A:A,A33)</f>
        <v>174959104.83503228</v>
      </c>
      <c r="AY33" s="5">
        <f t="shared" si="17"/>
        <v>4958401.4699586695</v>
      </c>
      <c r="AZ33" s="5">
        <f t="shared" si="18"/>
        <v>985137.53227108147</v>
      </c>
      <c r="BA33" s="5">
        <f t="shared" si="19"/>
        <v>1246521.1521045633</v>
      </c>
      <c r="BB33" s="5">
        <f t="shared" si="20"/>
        <v>2702544.7644864852</v>
      </c>
      <c r="BC33" s="5">
        <f t="shared" si="21"/>
        <v>787920.15368029778</v>
      </c>
      <c r="BD33" s="5">
        <f t="shared" si="22"/>
        <v>164278579.76253119</v>
      </c>
      <c r="BF33" s="5">
        <f t="shared" si="23"/>
        <v>177715610.87865826</v>
      </c>
      <c r="BG33" s="5">
        <f t="shared" si="24"/>
        <v>5036521.8034591889</v>
      </c>
      <c r="BH33" s="5">
        <f t="shared" si="25"/>
        <v>934917.66892457637</v>
      </c>
      <c r="BI33" s="5">
        <f t="shared" si="26"/>
        <v>2978519.263370452</v>
      </c>
      <c r="BJ33" s="5">
        <f t="shared" si="27"/>
        <v>1201686.3601581729</v>
      </c>
      <c r="BK33" s="5">
        <f t="shared" si="28"/>
        <v>2745123.7487782771</v>
      </c>
      <c r="BL33" s="5">
        <f t="shared" si="29"/>
        <v>800333.94985033618</v>
      </c>
      <c r="BM33" s="5">
        <f t="shared" si="30"/>
        <v>164018508.08411726</v>
      </c>
      <c r="BO33" s="5">
        <f t="shared" si="31"/>
        <v>-260071.67841392756</v>
      </c>
      <c r="BP33" s="12">
        <f t="shared" si="32"/>
        <v>-1.5831137497649887E-3</v>
      </c>
    </row>
    <row r="34" spans="1:68" x14ac:dyDescent="0.25">
      <c r="A34" s="1">
        <v>43</v>
      </c>
      <c r="B34" s="1">
        <v>210043</v>
      </c>
      <c r="C34" s="4">
        <v>554612092.60000002</v>
      </c>
      <c r="D34" s="4">
        <v>182257626.69999999</v>
      </c>
      <c r="E34" s="4">
        <f>IF(('Modeling - Base Estimates'!F34/SUM('Modeling - Base Estimates'!F34:G34)+$E$63)&gt;1,SUM('Modeling - Base Estimates'!F34:G34),(('Modeling - Base Estimates'!F34/SUM('Modeling - Base Estimates'!F34:G34)+$E$63))*SUM('Modeling - Base Estimates'!F34:G34))</f>
        <v>50128081.625356711</v>
      </c>
      <c r="F34" s="4">
        <f>SUM('Modeling - Base Estimates'!F34:G34)-E34</f>
        <v>33595582.974643297</v>
      </c>
      <c r="G34" s="4">
        <v>18505678.899999999</v>
      </c>
      <c r="H34" s="4">
        <v>85056373.900000006</v>
      </c>
      <c r="I34" s="4">
        <v>30316916.300000001</v>
      </c>
      <c r="J34" s="4">
        <v>35822698.199999996</v>
      </c>
      <c r="K34" s="4">
        <v>2113631.4000000004</v>
      </c>
      <c r="L34" s="4">
        <v>23635000</v>
      </c>
      <c r="M34" s="4">
        <f t="shared" si="0"/>
        <v>93180502.600000024</v>
      </c>
      <c r="N34" s="12">
        <f t="shared" si="1"/>
        <v>0.32862180455817919</v>
      </c>
      <c r="O34" s="12">
        <f t="shared" si="2"/>
        <v>9.0384040114160166E-2</v>
      </c>
      <c r="P34" s="12">
        <f t="shared" si="3"/>
        <v>6.0574919701351093E-2</v>
      </c>
      <c r="Q34" s="12">
        <f t="shared" si="10"/>
        <v>0.18672880411695519</v>
      </c>
      <c r="R34" s="12">
        <f t="shared" si="11"/>
        <v>5.4663280344060781E-2</v>
      </c>
      <c r="S34" s="12">
        <f t="shared" si="11"/>
        <v>6.4590546578356361E-2</v>
      </c>
      <c r="T34" s="12">
        <f t="shared" si="11"/>
        <v>3.8110085016202552E-3</v>
      </c>
      <c r="U34" s="12">
        <f t="shared" si="11"/>
        <v>4.2615370842709242E-2</v>
      </c>
      <c r="V34" s="12">
        <f t="shared" si="12"/>
        <v>0.16801022524260772</v>
      </c>
      <c r="W34" s="4">
        <f>SUMIFS('Modeling - Base Estimates'!AK:AK,'Modeling - Base Estimates'!A:A,A34)</f>
        <v>323343570.61005765</v>
      </c>
      <c r="X34" s="4">
        <f>(W34*N34*(1-N$2))+(W34*O34*(1-'Modeling - Base Estimates'!$AA$51-N$2))+(W34*P34*(1-'Modeling - Base Estimates'!$AE$51))+(W34*Q34*(1-Q$2))+(W34*R34*(1-R$2))+(W34*S34*(1-S$2))+(W34*T34*(1-T$2))+(W34*U34*(1-U$2))+(W34*V34*(1-V$2))</f>
        <v>301287238.68093562</v>
      </c>
      <c r="Y34" s="5">
        <f>X34*N34*SUMIFS('Modeling - Base Estimates'!AN:AN,'Modeling - Base Estimates'!A:A,A34)</f>
        <v>1472425.2996879322</v>
      </c>
      <c r="Z34" s="4">
        <f t="shared" si="5"/>
        <v>299814813.3812477</v>
      </c>
      <c r="AA34" s="4">
        <f>(((W34*N34*(1-N$2))/X34)*X34)-Y34-(((SUMIFS('Modeling - Base Estimates'!X:X,'Modeling - Base Estimates'!A:A,A34)*N34*(1-N$2))/SUMIFS('Modeling - Base Estimates'!Z:Z,'Modeling - Base Estimates'!A:A,A34))*SUMIFS('Modeling - Base Estimates'!Z:Z,'Modeling - Base Estimates'!A:A,A34))</f>
        <v>2161.3599209040403</v>
      </c>
      <c r="AB34" s="4"/>
      <c r="AC34" s="18">
        <f>1-((((W34*O34*(1-N$2-'Modeling - Base Estimates'!$AA$51))/X34)*X34)/('Modeling - Base Estimates'!X34*'Modeling - Base Estimates'!P34))</f>
        <v>4.2172487544148818E-2</v>
      </c>
      <c r="AD34" s="18">
        <f t="shared" si="33"/>
        <v>-3.4827512455851181E-2</v>
      </c>
      <c r="AE34" s="18">
        <f>1-((((W34*P34*(1-'Modeling - Base Estimates'!$AE$51))/X34)*X34)/(SUMIFS('Modeling - Base Estimates'!X:X,'Modeling - Base Estimates'!A:A,A34)*'Modeling - Base Estimates'!Q34))</f>
        <v>0.23591215080941941</v>
      </c>
      <c r="AF34" s="18">
        <f t="shared" si="34"/>
        <v>0.15891215080941939</v>
      </c>
      <c r="AG34" s="18">
        <f>$N34*(1-$N$2)+$O34*(1-$N$2-'Modeling - Base Estimates'!$AA$51)+$P34*(1-'Modeling - Base Estimates'!$AE$51)+$Q34*(1-$Q$2)+$R34*(1-$R$2)+$S34*(1-$S$2)+$T34*(1-$T$2)+$U34*(1-$U$2)+$V34*(1-$V$2)</f>
        <v>0.93178670017310694</v>
      </c>
      <c r="AH34" s="18" t="e">
        <f>$O34*(1-$N$2-#REF!)+$P34*(1-#REF!)+$Q34*(1-$Q$2)+$R34*(1-$R$2)+$S34*(1-$S$2)+$T34*(1-$T$2)+$U34*(1-$U$2)+$V34*(1-$V$2)</f>
        <v>#REF!</v>
      </c>
      <c r="AJ34" s="7">
        <f>(SUMIFS('Modeling - Base Estimates'!$X:$X,'Modeling - Base Estimates'!$A:$A,$A34)*SUMIFS('Modeling - Base Estimates'!O:O,'Modeling - Base Estimates'!$A:$A,$A34)*($N$2))</f>
        <v>8058831.215159189</v>
      </c>
      <c r="AK34" s="7">
        <f>(SUMIFS('Modeling - Base Estimates'!$X:$X,'Modeling - Base Estimates'!$A:$A,$A34)*SUMIFS('Modeling - Base Estimates'!P:P,'Modeling - Base Estimates'!$A:$A,$A34)*($N$2))</f>
        <v>1898624.2112741363</v>
      </c>
      <c r="AL34" s="7">
        <f>(SUMIFS('Modeling - Base Estimates'!$X:$X,'Modeling - Base Estimates'!$A:$A,$A34)*SUMIFS('Modeling - Base Estimates'!Q:Q,'Modeling - Base Estimates'!$A:$A,$A34)*($N$2))</f>
        <v>1803360.1388051817</v>
      </c>
      <c r="AM34" s="7">
        <f>(SUMIFS('Modeling - Base Estimates'!$X:$X,'Modeling - Base Estimates'!$A:$A,$A34)*SUMIFS('Modeling - Base Estimates'!R:R,'Modeling - Base Estimates'!$A:$A,$A34)*($N$2))</f>
        <v>4579172.4545187671</v>
      </c>
      <c r="AN34" s="7">
        <f>(SUMIFS('Modeling - Base Estimates'!X:X,'Modeling - Base Estimates'!A:A,$A34)*$R34*($R$2))+(SUMIFS('Modeling - Base Estimates'!X:X,'Modeling - Base Estimates'!A:A,$A34)*$S34*($S$2))+(SUMIFS('Modeling - Base Estimates'!X:X,'Modeling - Base Estimates'!A:A,$A34)*$T34*($T$2))+(SUMIFS('Modeling - Base Estimates'!X:X,'Modeling - Base Estimates'!A:A,$A34)*$U34*($U$2))+(SUMIFS('Modeling - Base Estimates'!X:X,'Modeling - Base Estimates'!A:A,$A34)*$V34*($V$2))</f>
        <v>1897566.8183132194</v>
      </c>
      <c r="AO34" s="7">
        <f>SUM(AJ34:AN34)-(SUMIFS('Modeling - Base Estimates'!X:X,'Modeling - Base Estimates'!A:A,A34)-SUMIFS('Modeling - Base Estimates'!Z:Z,'Modeling - Base Estimates'!A:A,A34))</f>
        <v>4.0978193283081055E-8</v>
      </c>
      <c r="AQ34" s="7">
        <f t="shared" si="13"/>
        <v>8181846.5702944873</v>
      </c>
      <c r="AR34" s="7">
        <f>(W34*$O34*($N$2+'Modeling - Base Estimates'!$AA$51))</f>
        <v>5607507.2778030476</v>
      </c>
      <c r="AS34" s="7">
        <f>(W34*P34*('Modeling - Base Estimates'!$AE$51))</f>
        <v>1691373.5558383865</v>
      </c>
      <c r="AT34" s="7">
        <f t="shared" si="14"/>
        <v>4649071.9859370189</v>
      </c>
      <c r="AU34" s="7">
        <f t="shared" si="15"/>
        <v>1926532.5392491117</v>
      </c>
      <c r="AV34" s="5">
        <f t="shared" si="16"/>
        <v>0</v>
      </c>
      <c r="AX34" s="7">
        <f>SUMIFS('Modeling - Base Estimates'!X:X,'Modeling - Base Estimates'!A:A,A34)</f>
        <v>318482048.96850967</v>
      </c>
      <c r="AY34" s="5">
        <f t="shared" si="17"/>
        <v>8058831.215159189</v>
      </c>
      <c r="AZ34" s="5">
        <f t="shared" si="18"/>
        <v>1898624.2112741363</v>
      </c>
      <c r="BA34" s="5">
        <f t="shared" si="19"/>
        <v>1803360.1388051817</v>
      </c>
      <c r="BB34" s="5">
        <f t="shared" si="20"/>
        <v>4579172.4545187671</v>
      </c>
      <c r="BC34" s="5">
        <f t="shared" si="21"/>
        <v>1897566.8183132194</v>
      </c>
      <c r="BD34" s="5">
        <f t="shared" si="22"/>
        <v>300244494.13043916</v>
      </c>
      <c r="BF34" s="5">
        <f t="shared" si="23"/>
        <v>323343570.61005765</v>
      </c>
      <c r="BG34" s="5">
        <f t="shared" si="24"/>
        <v>8181846.5702944873</v>
      </c>
      <c r="BH34" s="5">
        <f t="shared" si="25"/>
        <v>1472425.2996879322</v>
      </c>
      <c r="BI34" s="5">
        <f t="shared" si="26"/>
        <v>5607507.2778030476</v>
      </c>
      <c r="BJ34" s="5">
        <f t="shared" si="27"/>
        <v>1691373.5558383865</v>
      </c>
      <c r="BK34" s="5">
        <f t="shared" si="28"/>
        <v>4649071.9859370189</v>
      </c>
      <c r="BL34" s="5">
        <f t="shared" si="29"/>
        <v>1926532.5392491117</v>
      </c>
      <c r="BM34" s="5">
        <f t="shared" si="30"/>
        <v>299814813.38124764</v>
      </c>
      <c r="BO34" s="5">
        <f t="shared" si="31"/>
        <v>-429680.7491915226</v>
      </c>
      <c r="BP34" s="12">
        <f t="shared" si="32"/>
        <v>-1.4311028431543886E-3</v>
      </c>
    </row>
    <row r="35" spans="1:68" x14ac:dyDescent="0.25">
      <c r="A35" s="1">
        <v>44</v>
      </c>
      <c r="B35" s="1">
        <v>210044</v>
      </c>
      <c r="C35" s="4">
        <v>534931449</v>
      </c>
      <c r="D35" s="4">
        <v>164292248</v>
      </c>
      <c r="E35" s="4">
        <f>IF(('Modeling - Base Estimates'!F35/SUM('Modeling - Base Estimates'!F35:G35)+$E$63)&gt;1,SUM('Modeling - Base Estimates'!F35:G35),(('Modeling - Base Estimates'!F35/SUM('Modeling - Base Estimates'!F35:G35)+$E$63))*SUM('Modeling - Base Estimates'!F35:G35))</f>
        <v>50340581.480231114</v>
      </c>
      <c r="F35" s="4">
        <f>SUM('Modeling - Base Estimates'!F35:G35)-E35</f>
        <v>9265706.6197688878</v>
      </c>
      <c r="G35" s="4">
        <v>8366954.4000000004</v>
      </c>
      <c r="H35" s="4">
        <v>64426934</v>
      </c>
      <c r="I35" s="4">
        <v>15686420.6</v>
      </c>
      <c r="J35" s="4">
        <v>21793004.899999999</v>
      </c>
      <c r="K35" s="4">
        <v>110224.8</v>
      </c>
      <c r="L35" s="4">
        <v>15175889.300000001</v>
      </c>
      <c r="M35" s="4">
        <f t="shared" si="0"/>
        <v>185473484.89999998</v>
      </c>
      <c r="N35" s="12">
        <f t="shared" si="1"/>
        <v>0.30712766711908163</v>
      </c>
      <c r="O35" s="12">
        <f t="shared" si="2"/>
        <v>9.4106602956954055E-2</v>
      </c>
      <c r="P35" s="12">
        <f t="shared" si="3"/>
        <v>1.7321297218718744E-2</v>
      </c>
      <c r="Q35" s="12">
        <f t="shared" si="10"/>
        <v>0.13608077920279466</v>
      </c>
      <c r="R35" s="12">
        <f t="shared" si="11"/>
        <v>2.9324169721791773E-2</v>
      </c>
      <c r="S35" s="12">
        <f t="shared" si="11"/>
        <v>4.0739808700235906E-2</v>
      </c>
      <c r="T35" s="12">
        <f t="shared" si="11"/>
        <v>2.0605406581731934E-4</v>
      </c>
      <c r="U35" s="12">
        <f t="shared" si="11"/>
        <v>2.8369783321526121E-2</v>
      </c>
      <c r="V35" s="12">
        <f t="shared" si="12"/>
        <v>0.34672383769307974</v>
      </c>
      <c r="W35" s="4">
        <f>SUMIFS('Modeling - Base Estimates'!AK:AK,'Modeling - Base Estimates'!A:A,A35)</f>
        <v>305469675.66167933</v>
      </c>
      <c r="X35" s="4">
        <f>(W35*N35*(1-N$2))+(W35*O35*(1-'Modeling - Base Estimates'!$AA$51-N$2))+(W35*P35*(1-'Modeling - Base Estimates'!$AE$51))+(W35*Q35*(1-Q$2))+(W35*R35*(1-R$2))+(W35*S35*(1-S$2))+(W35*T35*(1-T$2))+(W35*U35*(1-U$2))+(W35*V35*(1-V$2))</f>
        <v>286502294.41154486</v>
      </c>
      <c r="Y35" s="5">
        <f>X35*N35*SUMIFS('Modeling - Base Estimates'!AN:AN,'Modeling - Base Estimates'!A:A,A35)</f>
        <v>1299991.6048384188</v>
      </c>
      <c r="Z35" s="4">
        <f t="shared" si="5"/>
        <v>285202302.80670643</v>
      </c>
      <c r="AA35" s="4">
        <f>(((W35*N35*(1-N$2))/X35)*X35)-Y35-(((SUMIFS('Modeling - Base Estimates'!X:X,'Modeling - Base Estimates'!A:A,A35)*N35*(1-N$2))/SUMIFS('Modeling - Base Estimates'!Z:Z,'Modeling - Base Estimates'!A:A,A35))*SUMIFS('Modeling - Base Estimates'!Z:Z,'Modeling - Base Estimates'!A:A,A35))</f>
        <v>1399.3486369550228</v>
      </c>
      <c r="AB35" s="4"/>
      <c r="AC35" s="18">
        <f>1-((((W35*O35*(1-N$2-'Modeling - Base Estimates'!$AA$51))/X35)*X35)/('Modeling - Base Estimates'!X35*'Modeling - Base Estimates'!P35))</f>
        <v>8.6685601611352525E-2</v>
      </c>
      <c r="AD35" s="18">
        <f t="shared" si="33"/>
        <v>9.6856016113525262E-3</v>
      </c>
      <c r="AE35" s="18">
        <f>1-((((W35*P35*(1-'Modeling - Base Estimates'!$AE$51))/X35)*X35)/(SUMIFS('Modeling - Base Estimates'!X:X,'Modeling - Base Estimates'!A:A,A35)*'Modeling - Base Estimates'!Q35))</f>
        <v>0.4024729059467782</v>
      </c>
      <c r="AF35" s="18">
        <f t="shared" si="34"/>
        <v>0.32547290594677819</v>
      </c>
      <c r="AG35" s="18">
        <f>$N35*(1-$N$2)+$O35*(1-$N$2-'Modeling - Base Estimates'!$AA$51)+$P35*(1-'Modeling - Base Estimates'!$AE$51)+$Q35*(1-$Q$2)+$R35*(1-$R$2)+$S35*(1-$S$2)+$T35*(1-$T$2)+$U35*(1-$U$2)+$V35*(1-$V$2)</f>
        <v>0.93790748227610776</v>
      </c>
      <c r="AH35" s="18" t="e">
        <f>$O35*(1-$N$2-#REF!)+$P35*(1-#REF!)+$Q35*(1-$Q$2)+$R35*(1-$R$2)+$S35*(1-$S$2)+$T35*(1-$T$2)+$U35*(1-$U$2)+$V35*(1-$V$2)</f>
        <v>#REF!</v>
      </c>
      <c r="AJ35" s="7">
        <f>(SUMIFS('Modeling - Base Estimates'!$X:$X,'Modeling - Base Estimates'!$A:$A,$A35)*SUMIFS('Modeling - Base Estimates'!O:O,'Modeling - Base Estimates'!$A:$A,$A35)*($N$2))</f>
        <v>7115433.799745122</v>
      </c>
      <c r="AK35" s="7">
        <f>(SUMIFS('Modeling - Base Estimates'!$X:$X,'Modeling - Base Estimates'!$A:$A,$A35)*SUMIFS('Modeling - Base Estimates'!P:P,'Modeling - Base Estimates'!$A:$A,$A35)*($N$2))</f>
        <v>1958566.122813951</v>
      </c>
      <c r="AL35" s="7">
        <f>(SUMIFS('Modeling - Base Estimates'!$X:$X,'Modeling - Base Estimates'!$A:$A,$A35)*SUMIFS('Modeling - Base Estimates'!Q:Q,'Modeling - Base Estimates'!$A:$A,$A35)*($N$2))</f>
        <v>622959.1906876663</v>
      </c>
      <c r="AM35" s="7">
        <f>(SUMIFS('Modeling - Base Estimates'!$X:$X,'Modeling - Base Estimates'!$A:$A,$A35)*SUMIFS('Modeling - Base Estimates'!R:R,'Modeling - Base Estimates'!$A:$A,$A35)*($N$2))</f>
        <v>3152675.1885227989</v>
      </c>
      <c r="AN35" s="7">
        <f>(SUMIFS('Modeling - Base Estimates'!X:X,'Modeling - Base Estimates'!A:A,$A35)*$R35*($R$2))+(SUMIFS('Modeling - Base Estimates'!X:X,'Modeling - Base Estimates'!A:A,$A35)*$S35*($S$2))+(SUMIFS('Modeling - Base Estimates'!X:X,'Modeling - Base Estimates'!A:A,$A35)*$T35*($T$2))+(SUMIFS('Modeling - Base Estimates'!X:X,'Modeling - Base Estimates'!A:A,$A35)*$U35*($U$2))+(SUMIFS('Modeling - Base Estimates'!X:X,'Modeling - Base Estimates'!A:A,$A35)*$V35*($V$2))</f>
        <v>2531350.6039174809</v>
      </c>
      <c r="AO35" s="7">
        <f>SUM(AJ35:AN35)-(SUMIFS('Modeling - Base Estimates'!X:X,'Modeling - Base Estimates'!A:A,A35)-SUMIFS('Modeling - Base Estimates'!Z:Z,'Modeling - Base Estimates'!A:A,A35))</f>
        <v>-1.4901161193847656E-8</v>
      </c>
      <c r="AQ35" s="7">
        <f t="shared" si="13"/>
        <v>7224000.5423427438</v>
      </c>
      <c r="AR35" s="7">
        <f>(W35*$O35*($N$2+'Modeling - Base Estimates'!$AA$51))</f>
        <v>5515718.1561012464</v>
      </c>
      <c r="AS35" s="7">
        <f>(W35*P35*('Modeling - Base Estimates'!$AE$51))</f>
        <v>456910.33012535272</v>
      </c>
      <c r="AT35" s="7">
        <f t="shared" si="14"/>
        <v>3200778.4644887038</v>
      </c>
      <c r="AU35" s="7">
        <f t="shared" si="15"/>
        <v>2569973.7570764194</v>
      </c>
      <c r="AV35" s="5">
        <f t="shared" si="16"/>
        <v>0</v>
      </c>
      <c r="AX35" s="7">
        <f>SUMIFS('Modeling - Base Estimates'!X:X,'Modeling - Base Estimates'!A:A,A35)</f>
        <v>300878888.67951423</v>
      </c>
      <c r="AY35" s="5">
        <f t="shared" si="17"/>
        <v>7115433.799745122</v>
      </c>
      <c r="AZ35" s="5">
        <f t="shared" si="18"/>
        <v>1958566.122813951</v>
      </c>
      <c r="BA35" s="5">
        <f t="shared" si="19"/>
        <v>622959.1906876663</v>
      </c>
      <c r="BB35" s="5">
        <f t="shared" si="20"/>
        <v>3152675.1885227989</v>
      </c>
      <c r="BC35" s="5">
        <f t="shared" si="21"/>
        <v>2531350.6039174809</v>
      </c>
      <c r="BD35" s="5">
        <f t="shared" si="22"/>
        <v>285497903.7738272</v>
      </c>
      <c r="BF35" s="5">
        <f t="shared" si="23"/>
        <v>305469675.66167933</v>
      </c>
      <c r="BG35" s="5">
        <f t="shared" si="24"/>
        <v>7224000.5423427438</v>
      </c>
      <c r="BH35" s="5">
        <f t="shared" si="25"/>
        <v>1299991.6048384188</v>
      </c>
      <c r="BI35" s="5">
        <f t="shared" si="26"/>
        <v>5515718.1561012464</v>
      </c>
      <c r="BJ35" s="5">
        <f t="shared" si="27"/>
        <v>456910.33012535272</v>
      </c>
      <c r="BK35" s="5">
        <f t="shared" si="28"/>
        <v>3200778.4644887038</v>
      </c>
      <c r="BL35" s="5">
        <f t="shared" si="29"/>
        <v>2569973.7570764194</v>
      </c>
      <c r="BM35" s="5">
        <f t="shared" si="30"/>
        <v>285202302.80670643</v>
      </c>
      <c r="BO35" s="5">
        <f t="shared" si="31"/>
        <v>-295600.96712076664</v>
      </c>
      <c r="BP35" s="12">
        <f t="shared" si="32"/>
        <v>-1.0353875219866523E-3</v>
      </c>
    </row>
    <row r="36" spans="1:68" x14ac:dyDescent="0.25">
      <c r="A36" s="1">
        <v>48</v>
      </c>
      <c r="B36" s="1">
        <v>210048</v>
      </c>
      <c r="C36" s="4">
        <v>401343341.20000005</v>
      </c>
      <c r="D36" s="4">
        <v>121407962.7</v>
      </c>
      <c r="E36" s="4">
        <f>IF(('Modeling - Base Estimates'!F36/SUM('Modeling - Base Estimates'!F36:G36)+$E$63)&gt;1,SUM('Modeling - Base Estimates'!F36:G36),(('Modeling - Base Estimates'!F36/SUM('Modeling - Base Estimates'!F36:G36)+$E$63))*SUM('Modeling - Base Estimates'!F36:G36))</f>
        <v>18547307.377830908</v>
      </c>
      <c r="F36" s="4">
        <f>SUM('Modeling - Base Estimates'!F36:G36)-E36</f>
        <v>13513915.122169092</v>
      </c>
      <c r="G36" s="4">
        <v>19432638.5</v>
      </c>
      <c r="H36" s="4">
        <v>40638411.200000003</v>
      </c>
      <c r="I36" s="4">
        <v>26725304.5</v>
      </c>
      <c r="J36" s="4">
        <v>22983880.800000001</v>
      </c>
      <c r="K36" s="4">
        <v>2006012</v>
      </c>
      <c r="L36" s="4">
        <v>17983000</v>
      </c>
      <c r="M36" s="4">
        <f t="shared" si="0"/>
        <v>118104909.00000006</v>
      </c>
      <c r="N36" s="12">
        <f t="shared" si="1"/>
        <v>0.3025039915624243</v>
      </c>
      <c r="O36" s="12">
        <f t="shared" si="2"/>
        <v>4.6213068646847918E-2</v>
      </c>
      <c r="P36" s="12">
        <f t="shared" si="3"/>
        <v>3.3671706329456076E-2</v>
      </c>
      <c r="Q36" s="12">
        <f t="shared" si="10"/>
        <v>0.14967496288935564</v>
      </c>
      <c r="R36" s="12">
        <f t="shared" si="11"/>
        <v>6.6589629767102754E-2</v>
      </c>
      <c r="S36" s="12">
        <f t="shared" si="11"/>
        <v>5.7267377929528233E-2</v>
      </c>
      <c r="T36" s="12">
        <f t="shared" si="11"/>
        <v>4.9982441318251521E-3</v>
      </c>
      <c r="U36" s="12">
        <f t="shared" si="11"/>
        <v>4.4807022202564946E-2</v>
      </c>
      <c r="V36" s="12">
        <f t="shared" si="12"/>
        <v>0.29427399654089503</v>
      </c>
      <c r="W36" s="4">
        <f>SUMIFS('Modeling - Base Estimates'!AK:AK,'Modeling - Base Estimates'!A:A,A36)</f>
        <v>225531119.54353765</v>
      </c>
      <c r="X36" s="4">
        <f>(W36*N36*(1-N$2))+(W36*O36*(1-'Modeling - Base Estimates'!$AA$51-N$2))+(W36*P36*(1-'Modeling - Base Estimates'!$AE$51))+(W36*Q36*(1-Q$2))+(W36*R36*(1-R$2))+(W36*S36*(1-S$2))+(W36*T36*(1-T$2))+(W36*U36*(1-U$2))+(W36*V36*(1-V$2))</f>
        <v>213076938.12476945</v>
      </c>
      <c r="Y36" s="5">
        <f>X36*N36*SUMIFS('Modeling - Base Estimates'!AN:AN,'Modeling - Base Estimates'!A:A,A36)</f>
        <v>460490.7345526935</v>
      </c>
      <c r="Z36" s="4">
        <f t="shared" si="5"/>
        <v>212616447.39021677</v>
      </c>
      <c r="AA36" s="4">
        <f>(((W36*N36*(1-N$2))/X36)*X36)-Y36-(((SUMIFS('Modeling - Base Estimates'!X:X,'Modeling - Base Estimates'!A:A,A36)*N36*(1-N$2))/SUMIFS('Modeling - Base Estimates'!Z:Z,'Modeling - Base Estimates'!A:A,A36))*SUMIFS('Modeling - Base Estimates'!Z:Z,'Modeling - Base Estimates'!A:A,A36))</f>
        <v>352.78196607530117</v>
      </c>
      <c r="AB36" s="4"/>
      <c r="AC36" s="18">
        <f>1-((((W36*O36*(1-N$2-'Modeling - Base Estimates'!$AA$51))/X36)*X36)/('Modeling - Base Estimates'!X36*'Modeling - Base Estimates'!P36))</f>
        <v>4.4019619606440741E-2</v>
      </c>
      <c r="AD36" s="18">
        <f t="shared" si="33"/>
        <v>-3.2980380393559258E-2</v>
      </c>
      <c r="AE36" s="18">
        <f>1-((((W36*P36*(1-'Modeling - Base Estimates'!$AE$51))/X36)*X36)/(SUMIFS('Modeling - Base Estimates'!X:X,'Modeling - Base Estimates'!A:A,A36)*'Modeling - Base Estimates'!Q36))</f>
        <v>0.23538138836812728</v>
      </c>
      <c r="AF36" s="18">
        <f t="shared" si="34"/>
        <v>0.15838138836812726</v>
      </c>
      <c r="AG36" s="18">
        <f>$N36*(1-$N$2)+$O36*(1-$N$2-'Modeling - Base Estimates'!$AA$51)+$P36*(1-'Modeling - Base Estimates'!$AE$51)+$Q36*(1-$Q$2)+$R36*(1-$R$2)+$S36*(1-$S$2)+$T36*(1-$T$2)+$U36*(1-$U$2)+$V36*(1-$V$2)</f>
        <v>0.94477843481655777</v>
      </c>
      <c r="AH36" s="18" t="e">
        <f>$O36*(1-$N$2-#REF!)+$P36*(1-#REF!)+$Q36*(1-$Q$2)+$R36*(1-$R$2)+$S36*(1-$S$2)+$T36*(1-$T$2)+$U36*(1-$U$2)+$V36*(1-$V$2)</f>
        <v>#REF!</v>
      </c>
      <c r="AJ36" s="7">
        <f>(SUMIFS('Modeling - Base Estimates'!$X:$X,'Modeling - Base Estimates'!$A:$A,$A36)*SUMIFS('Modeling - Base Estimates'!O:O,'Modeling - Base Estimates'!$A:$A,$A36)*($N$2))</f>
        <v>5214807.6852541836</v>
      </c>
      <c r="AK36" s="7">
        <f>(SUMIFS('Modeling - Base Estimates'!$X:$X,'Modeling - Base Estimates'!$A:$A,$A36)*SUMIFS('Modeling - Base Estimates'!P:P,'Modeling - Base Estimates'!$A:$A,$A36)*($N$2))</f>
        <v>678410.63305653352</v>
      </c>
      <c r="AL36" s="7">
        <f>(SUMIFS('Modeling - Base Estimates'!$X:$X,'Modeling - Base Estimates'!$A:$A,$A36)*SUMIFS('Modeling - Base Estimates'!Q:Q,'Modeling - Base Estimates'!$A:$A,$A36)*($N$2))</f>
        <v>698707.52108612179</v>
      </c>
      <c r="AM36" s="7">
        <f>(SUMIFS('Modeling - Base Estimates'!$X:$X,'Modeling - Base Estimates'!$A:$A,$A36)*SUMIFS('Modeling - Base Estimates'!R:R,'Modeling - Base Estimates'!$A:$A,$A36)*($N$2))</f>
        <v>2580217.6782334396</v>
      </c>
      <c r="AN36" s="7">
        <f>(SUMIFS('Modeling - Base Estimates'!X:X,'Modeling - Base Estimates'!A:A,$A36)*$R36*($R$2))+(SUMIFS('Modeling - Base Estimates'!X:X,'Modeling - Base Estimates'!A:A,$A36)*$S36*($S$2))+(SUMIFS('Modeling - Base Estimates'!X:X,'Modeling - Base Estimates'!A:A,$A36)*$T36*($T$2))+(SUMIFS('Modeling - Base Estimates'!X:X,'Modeling - Base Estimates'!A:A,$A36)*$U36*($U$2))+(SUMIFS('Modeling - Base Estimates'!X:X,'Modeling - Base Estimates'!A:A,$A36)*$V36*($V$2))</f>
        <v>1931878.9157084243</v>
      </c>
      <c r="AO36" s="7">
        <f>SUM(AJ36:AN36)-(SUMIFS('Modeling - Base Estimates'!X:X,'Modeling - Base Estimates'!A:A,A36)-SUMIFS('Modeling - Base Estimates'!Z:Z,'Modeling - Base Estimates'!A:A,A36))</f>
        <v>3.166496753692627E-8</v>
      </c>
      <c r="AQ36" s="7">
        <f t="shared" si="13"/>
        <v>5253252.9190266058</v>
      </c>
      <c r="AR36" s="7">
        <f>(W36*$O36*($N$2+'Modeling - Base Estimates'!$AA$51))</f>
        <v>1999793.4854085641</v>
      </c>
      <c r="AS36" s="7">
        <f>(W36*P36*('Modeling - Base Estimates'!$AE$51))</f>
        <v>655773.7980258168</v>
      </c>
      <c r="AT36" s="7">
        <f t="shared" si="14"/>
        <v>2599239.8700016844</v>
      </c>
      <c r="AU36" s="7">
        <f t="shared" si="15"/>
        <v>1946121.3463055184</v>
      </c>
      <c r="AV36" s="5">
        <f t="shared" si="16"/>
        <v>0</v>
      </c>
      <c r="AX36" s="7">
        <f>SUMIFS('Modeling - Base Estimates'!X:X,'Modeling - Base Estimates'!A:A,A36)</f>
        <v>223880599.99927512</v>
      </c>
      <c r="AY36" s="5">
        <f t="shared" si="17"/>
        <v>5214807.6852541836</v>
      </c>
      <c r="AZ36" s="5">
        <f t="shared" si="18"/>
        <v>678410.63305653352</v>
      </c>
      <c r="BA36" s="5">
        <f t="shared" si="19"/>
        <v>698707.52108612179</v>
      </c>
      <c r="BB36" s="5">
        <f t="shared" si="20"/>
        <v>2580217.6782334396</v>
      </c>
      <c r="BC36" s="5">
        <f t="shared" si="21"/>
        <v>1931878.9157084243</v>
      </c>
      <c r="BD36" s="5">
        <f t="shared" si="22"/>
        <v>212776577.56593642</v>
      </c>
      <c r="BF36" s="5">
        <f t="shared" si="23"/>
        <v>225531119.54353765</v>
      </c>
      <c r="BG36" s="5">
        <f t="shared" si="24"/>
        <v>5253252.9190266058</v>
      </c>
      <c r="BH36" s="5">
        <f t="shared" si="25"/>
        <v>460490.7345526935</v>
      </c>
      <c r="BI36" s="5">
        <f t="shared" si="26"/>
        <v>1999793.4854085641</v>
      </c>
      <c r="BJ36" s="5">
        <f t="shared" si="27"/>
        <v>655773.7980258168</v>
      </c>
      <c r="BK36" s="5">
        <f t="shared" si="28"/>
        <v>2599239.8700016844</v>
      </c>
      <c r="BL36" s="5">
        <f t="shared" si="29"/>
        <v>1946121.3463055184</v>
      </c>
      <c r="BM36" s="5">
        <f t="shared" si="30"/>
        <v>212616447.39021677</v>
      </c>
      <c r="BO36" s="5">
        <f t="shared" si="31"/>
        <v>-160130.1757196486</v>
      </c>
      <c r="BP36" s="12">
        <f t="shared" si="32"/>
        <v>-7.5257426146929424E-4</v>
      </c>
    </row>
    <row r="37" spans="1:68" x14ac:dyDescent="0.25">
      <c r="A37" s="1">
        <v>49</v>
      </c>
      <c r="B37" s="1">
        <v>210049</v>
      </c>
      <c r="C37" s="4">
        <v>459407671.19999999</v>
      </c>
      <c r="D37" s="4">
        <v>181124820.59999999</v>
      </c>
      <c r="E37" s="4">
        <f>IF(('Modeling - Base Estimates'!F37/SUM('Modeling - Base Estimates'!F37:G37)+$E$63)&gt;1,SUM('Modeling - Base Estimates'!F37:G37),(('Modeling - Base Estimates'!F37/SUM('Modeling - Base Estimates'!F37:G37)+$E$63))*SUM('Modeling - Base Estimates'!F37:G37))</f>
        <v>30696098.820962146</v>
      </c>
      <c r="F37" s="4">
        <f>SUM('Modeling - Base Estimates'!F37:G37)-E37</f>
        <v>35208628.979037851</v>
      </c>
      <c r="G37" s="4">
        <v>6358302</v>
      </c>
      <c r="H37" s="4">
        <v>52144893.399999999</v>
      </c>
      <c r="I37" s="4">
        <v>28312462.800000001</v>
      </c>
      <c r="J37" s="4">
        <v>39426214.299999997</v>
      </c>
      <c r="K37" s="4">
        <v>1299337.2999999998</v>
      </c>
      <c r="L37" s="4">
        <v>17703000</v>
      </c>
      <c r="M37" s="4">
        <f t="shared" si="0"/>
        <v>67133912.99999994</v>
      </c>
      <c r="N37" s="12">
        <f t="shared" si="1"/>
        <v>0.39425728379086761</v>
      </c>
      <c r="O37" s="12">
        <f t="shared" si="2"/>
        <v>6.6816687541986663E-2</v>
      </c>
      <c r="P37" s="12">
        <f t="shared" si="3"/>
        <v>7.6639183858360119E-2</v>
      </c>
      <c r="Q37" s="12">
        <f t="shared" si="10"/>
        <v>0.12734483785868483</v>
      </c>
      <c r="R37" s="12">
        <f t="shared" si="11"/>
        <v>6.1628189024458768E-2</v>
      </c>
      <c r="S37" s="12">
        <f t="shared" si="11"/>
        <v>8.581966904691947E-2</v>
      </c>
      <c r="T37" s="12">
        <f t="shared" si="11"/>
        <v>2.82828820991616E-3</v>
      </c>
      <c r="U37" s="12">
        <f t="shared" si="11"/>
        <v>3.8534402252706657E-2</v>
      </c>
      <c r="V37" s="12">
        <f t="shared" si="12"/>
        <v>0.14613145841609956</v>
      </c>
      <c r="W37" s="4">
        <f>SUMIFS('Modeling - Base Estimates'!AK:AK,'Modeling - Base Estimates'!A:A,A37)</f>
        <v>267138408.62125391</v>
      </c>
      <c r="X37" s="4">
        <f>(W37*N37*(1-N$2))+(W37*O37*(1-'Modeling - Base Estimates'!$AA$51-N$2))+(W37*P37*(1-'Modeling - Base Estimates'!$AE$51))+(W37*Q37*(1-Q$2))+(W37*R37*(1-R$2))+(W37*S37*(1-S$2))+(W37*T37*(1-T$2))+(W37*U37*(1-U$2))+(W37*V37*(1-V$2))</f>
        <v>249591688.2392984</v>
      </c>
      <c r="Y37" s="5">
        <f>X37*N37*SUMIFS('Modeling - Base Estimates'!AN:AN,'Modeling - Base Estimates'!A:A,A37)</f>
        <v>1192959.1256177314</v>
      </c>
      <c r="Z37" s="4">
        <f t="shared" si="5"/>
        <v>248398729.11368066</v>
      </c>
      <c r="AA37" s="4">
        <f>(((W37*N37*(1-N$2))/X37)*X37)-Y37-(((SUMIFS('Modeling - Base Estimates'!X:X,'Modeling - Base Estimates'!A:A,A37)*N37*(1-N$2))/SUMIFS('Modeling - Base Estimates'!Z:Z,'Modeling - Base Estimates'!A:A,A37))*SUMIFS('Modeling - Base Estimates'!Z:Z,'Modeling - Base Estimates'!A:A,A37))</f>
        <v>1659.5928033590317</v>
      </c>
      <c r="AB37" s="4"/>
      <c r="AC37" s="18">
        <f>1-((((W37*O37*(1-N$2-'Modeling - Base Estimates'!$AA$51))/X37)*X37)/('Modeling - Base Estimates'!X37*'Modeling - Base Estimates'!P37))</f>
        <v>-3.1094300052370016E-3</v>
      </c>
      <c r="AD37" s="18">
        <f t="shared" si="33"/>
        <v>-8.0109430005237001E-2</v>
      </c>
      <c r="AE37" s="18">
        <f>1-((((W37*P37*(1-'Modeling - Base Estimates'!$AE$51))/X37)*X37)/(SUMIFS('Modeling - Base Estimates'!X:X,'Modeling - Base Estimates'!A:A,A37)*'Modeling - Base Estimates'!Q37))</f>
        <v>0.20307398774708452</v>
      </c>
      <c r="AF37" s="18">
        <f t="shared" si="34"/>
        <v>0.1260739877470845</v>
      </c>
      <c r="AG37" s="18">
        <f>$N37*(1-$N$2)+$O37*(1-$N$2-'Modeling - Base Estimates'!$AA$51)+$P37*(1-'Modeling - Base Estimates'!$AE$51)+$Q37*(1-$Q$2)+$R37*(1-$R$2)+$S37*(1-$S$2)+$T37*(1-$T$2)+$U37*(1-$U$2)+$V37*(1-$V$2)</f>
        <v>0.93431599569482693</v>
      </c>
      <c r="AH37" s="18" t="e">
        <f>$O37*(1-$N$2-#REF!)+$P37*(1-#REF!)+$Q37*(1-$Q$2)+$R37*(1-$R$2)+$S37*(1-$S$2)+$T37*(1-$T$2)+$U37*(1-$U$2)+$V37*(1-$V$2)</f>
        <v>#REF!</v>
      </c>
      <c r="AJ37" s="7">
        <f>(SUMIFS('Modeling - Base Estimates'!$X:$X,'Modeling - Base Estimates'!$A:$A,$A37)*SUMIFS('Modeling - Base Estimates'!O:O,'Modeling - Base Estimates'!$A:$A,$A37)*($N$2))</f>
        <v>8010077.8638210883</v>
      </c>
      <c r="AK37" s="7">
        <f>(SUMIFS('Modeling - Base Estimates'!$X:$X,'Modeling - Base Estimates'!$A:$A,$A37)*SUMIFS('Modeling - Base Estimates'!P:P,'Modeling - Base Estimates'!$A:$A,$A37)*($N$2))</f>
        <v>1107243.9223547592</v>
      </c>
      <c r="AL37" s="7">
        <f>(SUMIFS('Modeling - Base Estimates'!$X:$X,'Modeling - Base Estimates'!$A:$A,$A37)*SUMIFS('Modeling - Base Estimates'!Q:Q,'Modeling - Base Estimates'!$A:$A,$A37)*($N$2))</f>
        <v>1807331.7803191699</v>
      </c>
      <c r="AM37" s="7">
        <f>(SUMIFS('Modeling - Base Estimates'!$X:$X,'Modeling - Base Estimates'!$A:$A,$A37)*SUMIFS('Modeling - Base Estimates'!R:R,'Modeling - Base Estimates'!$A:$A,$A37)*($N$2))</f>
        <v>2587249.7699872931</v>
      </c>
      <c r="AN37" s="7">
        <f>(SUMIFS('Modeling - Base Estimates'!X:X,'Modeling - Base Estimates'!A:A,$A37)*$R37*($R$2))+(SUMIFS('Modeling - Base Estimates'!X:X,'Modeling - Base Estimates'!A:A,$A37)*$S37*($S$2))+(SUMIFS('Modeling - Base Estimates'!X:X,'Modeling - Base Estimates'!A:A,$A37)*$T37*($T$2))+(SUMIFS('Modeling - Base Estimates'!X:X,'Modeling - Base Estimates'!A:A,$A37)*$U37*($U$2))+(SUMIFS('Modeling - Base Estimates'!X:X,'Modeling - Base Estimates'!A:A,$A37)*$V37*($V$2))</f>
        <v>1604828.3777940134</v>
      </c>
      <c r="AO37" s="7">
        <f>SUM(AJ37:AN37)-(SUMIFS('Modeling - Base Estimates'!X:X,'Modeling - Base Estimates'!A:A,A37)-SUMIFS('Modeling - Base Estimates'!Z:Z,'Modeling - Base Estimates'!A:A,A37))</f>
        <v>-5.2154064178466797E-8</v>
      </c>
      <c r="AQ37" s="7">
        <f t="shared" si="13"/>
        <v>8109737.280200745</v>
      </c>
      <c r="AR37" s="7">
        <f>(W37*$O37*($N$2+'Modeling - Base Estimates'!$AA$51))</f>
        <v>3424799.4256729241</v>
      </c>
      <c r="AS37" s="7">
        <f>(W37*P37*('Modeling - Base Estimates'!$AE$51))</f>
        <v>1767948.7242433848</v>
      </c>
      <c r="AT37" s="7">
        <f t="shared" si="14"/>
        <v>2619439.6945409519</v>
      </c>
      <c r="AU37" s="7">
        <f t="shared" si="15"/>
        <v>1624795.2572975</v>
      </c>
      <c r="AV37" s="5">
        <f t="shared" si="16"/>
        <v>0</v>
      </c>
      <c r="AX37" s="7">
        <f>SUMIFS('Modeling - Base Estimates'!X:X,'Modeling - Base Estimates'!A:A,A37)</f>
        <v>263855582.43639317</v>
      </c>
      <c r="AY37" s="5">
        <f t="shared" si="17"/>
        <v>8010077.8638210883</v>
      </c>
      <c r="AZ37" s="5">
        <f t="shared" si="18"/>
        <v>1107243.9223547592</v>
      </c>
      <c r="BA37" s="5">
        <f t="shared" si="19"/>
        <v>1807331.7803191699</v>
      </c>
      <c r="BB37" s="5">
        <f t="shared" si="20"/>
        <v>2587249.7699872931</v>
      </c>
      <c r="BC37" s="5">
        <f t="shared" si="21"/>
        <v>1604828.3777940134</v>
      </c>
      <c r="BD37" s="5">
        <f t="shared" si="22"/>
        <v>248738850.72211686</v>
      </c>
      <c r="BF37" s="5">
        <f t="shared" si="23"/>
        <v>267138408.62125391</v>
      </c>
      <c r="BG37" s="5">
        <f t="shared" si="24"/>
        <v>8109737.280200745</v>
      </c>
      <c r="BH37" s="5">
        <f t="shared" si="25"/>
        <v>1192959.1256177314</v>
      </c>
      <c r="BI37" s="5">
        <f t="shared" si="26"/>
        <v>3424799.4256729241</v>
      </c>
      <c r="BJ37" s="5">
        <f t="shared" si="27"/>
        <v>1767948.7242433848</v>
      </c>
      <c r="BK37" s="5">
        <f t="shared" si="28"/>
        <v>2619439.6945409519</v>
      </c>
      <c r="BL37" s="5">
        <f t="shared" si="29"/>
        <v>1624795.2572975</v>
      </c>
      <c r="BM37" s="5">
        <f t="shared" si="30"/>
        <v>248398729.11368066</v>
      </c>
      <c r="BO37" s="5">
        <f t="shared" si="31"/>
        <v>-340121.60843619704</v>
      </c>
      <c r="BP37" s="12">
        <f t="shared" si="32"/>
        <v>-1.3673843368206685E-3</v>
      </c>
    </row>
    <row r="38" spans="1:68" x14ac:dyDescent="0.25">
      <c r="A38" s="1">
        <v>51</v>
      </c>
      <c r="B38" s="1">
        <v>210051</v>
      </c>
      <c r="C38" s="4">
        <v>326288289.5</v>
      </c>
      <c r="D38" s="4">
        <v>93352818.100000009</v>
      </c>
      <c r="E38" s="4">
        <f>IF(('Modeling - Base Estimates'!F38/SUM('Modeling - Base Estimates'!F38:G38)+$E$63)&gt;1,SUM('Modeling - Base Estimates'!F38:G38),(('Modeling - Base Estimates'!F38/SUM('Modeling - Base Estimates'!F38:G38)+$E$63))*SUM('Modeling - Base Estimates'!F38:G38))</f>
        <v>39714816.3404781</v>
      </c>
      <c r="F38" s="4">
        <f>SUM('Modeling - Base Estimates'!F38:G38)-E38</f>
        <v>5873577.9595218971</v>
      </c>
      <c r="G38" s="4">
        <v>14672785.5</v>
      </c>
      <c r="H38" s="4">
        <v>52534663.399999999</v>
      </c>
      <c r="I38" s="4">
        <v>10446850.700000001</v>
      </c>
      <c r="J38" s="4">
        <v>14459044.700000001</v>
      </c>
      <c r="K38" s="4">
        <v>1010147.2</v>
      </c>
      <c r="L38" s="4">
        <v>17527323</v>
      </c>
      <c r="M38" s="4">
        <f t="shared" si="0"/>
        <v>76696262.600000024</v>
      </c>
      <c r="N38" s="12">
        <f t="shared" si="1"/>
        <v>0.2861053280307812</v>
      </c>
      <c r="O38" s="12">
        <f t="shared" si="2"/>
        <v>0.12171695282517364</v>
      </c>
      <c r="P38" s="12">
        <f t="shared" si="3"/>
        <v>1.8001191426521904E-2</v>
      </c>
      <c r="Q38" s="12">
        <f t="shared" si="10"/>
        <v>0.20597566956199329</v>
      </c>
      <c r="R38" s="12">
        <f t="shared" si="11"/>
        <v>3.2017240692298894E-2</v>
      </c>
      <c r="S38" s="12">
        <f t="shared" si="11"/>
        <v>4.4313710192164284E-2</v>
      </c>
      <c r="T38" s="12">
        <f t="shared" si="11"/>
        <v>3.0958732890718713E-3</v>
      </c>
      <c r="U38" s="12">
        <f t="shared" si="11"/>
        <v>5.3717291009305439E-2</v>
      </c>
      <c r="V38" s="12">
        <f t="shared" si="12"/>
        <v>0.23505674297268955</v>
      </c>
      <c r="W38" s="4">
        <f>SUMIFS('Modeling - Base Estimates'!AK:AK,'Modeling - Base Estimates'!A:A,A38)</f>
        <v>177734486.27772069</v>
      </c>
      <c r="X38" s="4">
        <f>(W38*N38*(1-N$2))+(W38*O38*(1-'Modeling - Base Estimates'!$AA$51-N$2))+(W38*P38*(1-'Modeling - Base Estimates'!$AE$51))+(W38*Q38*(1-Q$2))+(W38*R38*(1-R$2))+(W38*S38*(1-S$2))+(W38*T38*(1-T$2))+(W38*U38*(1-U$2))+(W38*V38*(1-V$2))</f>
        <v>165440836.59638304</v>
      </c>
      <c r="Y38" s="5">
        <f>X38*N38*SUMIFS('Modeling - Base Estimates'!AN:AN,'Modeling - Base Estimates'!A:A,A38)</f>
        <v>890659.31278697983</v>
      </c>
      <c r="Z38" s="4">
        <f t="shared" si="5"/>
        <v>164550177.28359607</v>
      </c>
      <c r="AA38" s="4">
        <f>(((W38*N38*(1-N$2))/X38)*X38)-Y38-(((SUMIFS('Modeling - Base Estimates'!X:X,'Modeling - Base Estimates'!A:A,A38)*N38*(1-N$2))/SUMIFS('Modeling - Base Estimates'!Z:Z,'Modeling - Base Estimates'!A:A,A38))*SUMIFS('Modeling - Base Estimates'!Z:Z,'Modeling - Base Estimates'!A:A,A38))</f>
        <v>1211.2808274254203</v>
      </c>
      <c r="AB38" s="4"/>
      <c r="AC38" s="18">
        <f>1-((((W38*O38*(1-N$2-'Modeling - Base Estimates'!$AA$51))/X38)*X38)/('Modeling - Base Estimates'!X38*'Modeling - Base Estimates'!P38))</f>
        <v>8.6145370620327344E-2</v>
      </c>
      <c r="AD38" s="18">
        <f t="shared" si="33"/>
        <v>9.1453706203273449E-3</v>
      </c>
      <c r="AE38" s="18">
        <f>1-((((W38*P38*(1-'Modeling - Base Estimates'!$AE$51))/X38)*X38)/(SUMIFS('Modeling - Base Estimates'!X:X,'Modeling - Base Estimates'!A:A,A38)*'Modeling - Base Estimates'!Q38))</f>
        <v>0.44112368129815283</v>
      </c>
      <c r="AF38" s="18">
        <f t="shared" si="34"/>
        <v>0.36412368129815281</v>
      </c>
      <c r="AG38" s="18">
        <f>$N38*(1-$N$2)+$O38*(1-$N$2-'Modeling - Base Estimates'!$AA$51)+$P38*(1-'Modeling - Base Estimates'!$AE$51)+$Q38*(1-$Q$2)+$R38*(1-$R$2)+$S38*(1-$S$2)+$T38*(1-$T$2)+$U38*(1-$U$2)+$V38*(1-$V$2)</f>
        <v>0.93083137696683083</v>
      </c>
      <c r="AH38" s="18" t="e">
        <f>$O38*(1-$N$2-#REF!)+$P38*(1-#REF!)+$Q38*(1-$Q$2)+$R38*(1-$R$2)+$S38*(1-$S$2)+$T38*(1-$T$2)+$U38*(1-$U$2)+$V38*(1-$V$2)</f>
        <v>#REF!</v>
      </c>
      <c r="AJ38" s="7">
        <f>(SUMIFS('Modeling - Base Estimates'!$X:$X,'Modeling - Base Estimates'!$A:$A,$A38)*SUMIFS('Modeling - Base Estimates'!O:O,'Modeling - Base Estimates'!$A:$A,$A38)*($N$2))</f>
        <v>3841107.2571396055</v>
      </c>
      <c r="AK38" s="7">
        <f>(SUMIFS('Modeling - Base Estimates'!$X:$X,'Modeling - Base Estimates'!$A:$A,$A38)*SUMIFS('Modeling - Base Estimates'!P:P,'Modeling - Base Estimates'!$A:$A,$A38)*($N$2))</f>
        <v>1473044.9533713711</v>
      </c>
      <c r="AL38" s="7">
        <f>(SUMIFS('Modeling - Base Estimates'!$X:$X,'Modeling - Base Estimates'!$A:$A,$A38)*SUMIFS('Modeling - Base Estimates'!Q:Q,'Modeling - Base Estimates'!$A:$A,$A38)*($N$2))</f>
        <v>402741.07806362212</v>
      </c>
      <c r="AM38" s="7">
        <f>(SUMIFS('Modeling - Base Estimates'!$X:$X,'Modeling - Base Estimates'!$A:$A,$A38)*SUMIFS('Modeling - Base Estimates'!R:R,'Modeling - Base Estimates'!$A:$A,$A38)*($N$2))</f>
        <v>2765326.4781690533</v>
      </c>
      <c r="AN38" s="7">
        <f>(SUMIFS('Modeling - Base Estimates'!X:X,'Modeling - Base Estimates'!A:A,$A38)*$R38*($R$2))+(SUMIFS('Modeling - Base Estimates'!X:X,'Modeling - Base Estimates'!A:A,$A38)*$S38*($S$2))+(SUMIFS('Modeling - Base Estimates'!X:X,'Modeling - Base Estimates'!A:A,$A38)*$T38*($T$2))+(SUMIFS('Modeling - Base Estimates'!X:X,'Modeling - Base Estimates'!A:A,$A38)*$U38*($U$2))+(SUMIFS('Modeling - Base Estimates'!X:X,'Modeling - Base Estimates'!A:A,$A38)*$V38*($V$2))</f>
        <v>1110605.2621764014</v>
      </c>
      <c r="AO38" s="7">
        <f>SUM(AJ38:AN38)-(SUMIFS('Modeling - Base Estimates'!X:X,'Modeling - Base Estimates'!A:A,A38)-SUMIFS('Modeling - Base Estimates'!Z:Z,'Modeling - Base Estimates'!A:A,A38))</f>
        <v>2.9802322387695313E-8</v>
      </c>
      <c r="AQ38" s="7">
        <f t="shared" si="13"/>
        <v>3915510.3294129637</v>
      </c>
      <c r="AR38" s="7">
        <f>(W38*$O38*($N$2+'Modeling - Base Estimates'!$AA$51))</f>
        <v>4150846.1865706136</v>
      </c>
      <c r="AS38" s="7">
        <f>(W38*P38*('Modeling - Base Estimates'!$AE$51))</f>
        <v>276283.79501860635</v>
      </c>
      <c r="AT38" s="7">
        <f t="shared" si="14"/>
        <v>2818891.4457789026</v>
      </c>
      <c r="AU38" s="7">
        <f t="shared" si="15"/>
        <v>1132117.9245565757</v>
      </c>
      <c r="AV38" s="5">
        <f t="shared" si="16"/>
        <v>0</v>
      </c>
      <c r="AX38" s="7">
        <f>SUMIFS('Modeling - Base Estimates'!X:X,'Modeling - Base Estimates'!A:A,A38)</f>
        <v>174357150.83088201</v>
      </c>
      <c r="AY38" s="5">
        <f t="shared" si="17"/>
        <v>3841107.2571396055</v>
      </c>
      <c r="AZ38" s="5">
        <f t="shared" si="18"/>
        <v>1473044.9533713711</v>
      </c>
      <c r="BA38" s="5">
        <f t="shared" si="19"/>
        <v>402741.07806362212</v>
      </c>
      <c r="BB38" s="5">
        <f t="shared" si="20"/>
        <v>2765326.4781690533</v>
      </c>
      <c r="BC38" s="5">
        <f t="shared" si="21"/>
        <v>1110605.2621764014</v>
      </c>
      <c r="BD38" s="5">
        <f t="shared" si="22"/>
        <v>164764325.80196196</v>
      </c>
      <c r="BF38" s="5">
        <f t="shared" si="23"/>
        <v>177734486.27772069</v>
      </c>
      <c r="BG38" s="5">
        <f t="shared" si="24"/>
        <v>3915510.3294129637</v>
      </c>
      <c r="BH38" s="5">
        <f t="shared" si="25"/>
        <v>890659.31278697983</v>
      </c>
      <c r="BI38" s="5">
        <f t="shared" si="26"/>
        <v>4150846.1865706136</v>
      </c>
      <c r="BJ38" s="5">
        <f t="shared" si="27"/>
        <v>276283.79501860635</v>
      </c>
      <c r="BK38" s="5">
        <f t="shared" si="28"/>
        <v>2818891.4457789026</v>
      </c>
      <c r="BL38" s="5">
        <f t="shared" si="29"/>
        <v>1132117.9245565757</v>
      </c>
      <c r="BM38" s="5">
        <f t="shared" si="30"/>
        <v>164550177.28359604</v>
      </c>
      <c r="BO38" s="5">
        <f t="shared" si="31"/>
        <v>-214148.51836591959</v>
      </c>
      <c r="BP38" s="12">
        <f t="shared" si="32"/>
        <v>-1.2997262442800562E-3</v>
      </c>
    </row>
    <row r="39" spans="1:68" x14ac:dyDescent="0.25">
      <c r="A39" s="1">
        <v>55</v>
      </c>
      <c r="B39" s="1">
        <v>210055</v>
      </c>
      <c r="C39" s="4">
        <v>44865831.899999999</v>
      </c>
      <c r="D39" s="4">
        <v>5675446.2999999998</v>
      </c>
      <c r="E39" s="4">
        <f>IF(('Modeling - Base Estimates'!F39/SUM('Modeling - Base Estimates'!F39:G39)+$E$63)&gt;1,SUM('Modeling - Base Estimates'!F39:G39),(('Modeling - Base Estimates'!F39/SUM('Modeling - Base Estimates'!F39:G39)+$E$63))*SUM('Modeling - Base Estimates'!F39:G39))</f>
        <v>1286603.0398286365</v>
      </c>
      <c r="F39" s="4">
        <f>SUM('Modeling - Base Estimates'!F39:G39)-E39</f>
        <v>1349590.6601713633</v>
      </c>
      <c r="G39" s="4">
        <v>-659389</v>
      </c>
      <c r="H39" s="4">
        <v>10444154.399999999</v>
      </c>
      <c r="I39" s="4">
        <v>0</v>
      </c>
      <c r="J39" s="4">
        <v>7020203.4000000004</v>
      </c>
      <c r="K39" s="4">
        <v>124797.3</v>
      </c>
      <c r="L39" s="4">
        <v>7309000</v>
      </c>
      <c r="M39" s="4">
        <f t="shared" si="0"/>
        <v>12315425.800000001</v>
      </c>
      <c r="N39" s="12">
        <f t="shared" si="1"/>
        <v>0.12649818491385201</v>
      </c>
      <c r="O39" s="12">
        <f t="shared" si="2"/>
        <v>2.8676678562347943E-2</v>
      </c>
      <c r="P39" s="12">
        <f t="shared" si="3"/>
        <v>3.008058923724901E-2</v>
      </c>
      <c r="Q39" s="12">
        <f t="shared" si="10"/>
        <v>0.21808946776711832</v>
      </c>
      <c r="R39" s="12">
        <f t="shared" si="11"/>
        <v>0</v>
      </c>
      <c r="S39" s="12">
        <f t="shared" si="11"/>
        <v>0.15647104049351196</v>
      </c>
      <c r="T39" s="12">
        <f t="shared" si="11"/>
        <v>2.7815666112723969E-3</v>
      </c>
      <c r="U39" s="12">
        <f t="shared" si="11"/>
        <v>0.16290793440074383</v>
      </c>
      <c r="V39" s="12">
        <f t="shared" si="12"/>
        <v>0.27449453801390455</v>
      </c>
      <c r="W39" s="4">
        <f>SUMIFS('Modeling - Base Estimates'!AK:AK,'Modeling - Base Estimates'!A:A,A39)</f>
        <v>24469056.935375791</v>
      </c>
      <c r="X39" s="4">
        <f>(W39*N39*(1-N$2))+(W39*O39*(1-'Modeling - Base Estimates'!$AA$51-N$2))+(W39*P39*(1-'Modeling - Base Estimates'!$AE$51))+(W39*Q39*(1-Q$2))+(W39*R39*(1-R$2))+(W39*S39*(1-S$2))+(W39*T39*(1-T$2))+(W39*U39*(1-U$2))+(W39*V39*(1-V$2))</f>
        <v>23409349.752382442</v>
      </c>
      <c r="Y39" s="5">
        <f>X39*N39*SUMIFS('Modeling - Base Estimates'!AN:AN,'Modeling - Base Estimates'!A:A,A39)</f>
        <v>10321.522025316544</v>
      </c>
      <c r="Z39" s="4">
        <f t="shared" si="5"/>
        <v>23399028.230357125</v>
      </c>
      <c r="AA39" s="4">
        <f>(((W39*N39*(1-N$2))/X39)*X39)-Y39-(((SUMIFS('Modeling - Base Estimates'!X:X,'Modeling - Base Estimates'!A:A,A39)*N39*(1-N$2))/SUMIFS('Modeling - Base Estimates'!Z:Z,'Modeling - Base Estimates'!A:A,A39))*SUMIFS('Modeling - Base Estimates'!Z:Z,'Modeling - Base Estimates'!A:A,A39))</f>
        <v>5.7436061683110893</v>
      </c>
      <c r="AB39" s="4"/>
      <c r="AC39" s="18">
        <f>1-((((W39*O39*(1-N$2-'Modeling - Base Estimates'!$AA$51))/X39)*X39)/('Modeling - Base Estimates'!X39*'Modeling - Base Estimates'!P39))</f>
        <v>1.5782363773995445E-2</v>
      </c>
      <c r="AD39" s="18">
        <f t="shared" si="33"/>
        <v>-6.1217636226004554E-2</v>
      </c>
      <c r="AE39" s="18">
        <f>1-((((W39*P39*(1-'Modeling - Base Estimates'!$AE$51))/X39)*X39)/(SUMIFS('Modeling - Base Estimates'!X:X,'Modeling - Base Estimates'!A:A,A39)*'Modeling - Base Estimates'!Q39))</f>
        <v>0.21474563614727382</v>
      </c>
      <c r="AF39" s="18">
        <f t="shared" si="34"/>
        <v>0.13774563614727381</v>
      </c>
      <c r="AG39" s="18">
        <f>$N39*(1-$N$2)+$O39*(1-$N$2-'Modeling - Base Estimates'!$AA$51)+$P39*(1-'Modeling - Base Estimates'!$AE$51)+$Q39*(1-$Q$2)+$R39*(1-$R$2)+$S39*(1-$S$2)+$T39*(1-$T$2)+$U39*(1-$U$2)+$V39*(1-$V$2)</f>
        <v>0.95669194829240478</v>
      </c>
      <c r="AH39" s="18" t="e">
        <f>$O39*(1-$N$2-#REF!)+$P39*(1-#REF!)+$Q39*(1-$Q$2)+$R39*(1-$R$2)+$S39*(1-$S$2)+$T39*(1-$T$2)+$U39*(1-$U$2)+$V39*(1-$V$2)</f>
        <v>#REF!</v>
      </c>
      <c r="AJ39" s="7">
        <f>(SUMIFS('Modeling - Base Estimates'!$X:$X,'Modeling - Base Estimates'!$A:$A,$A39)*SUMIFS('Modeling - Base Estimates'!O:O,'Modeling - Base Estimates'!$A:$A,$A39)*($N$2))</f>
        <v>237475.89137408082</v>
      </c>
      <c r="AK39" s="7">
        <f>(SUMIFS('Modeling - Base Estimates'!$X:$X,'Modeling - Base Estimates'!$A:$A,$A39)*SUMIFS('Modeling - Base Estimates'!P:P,'Modeling - Base Estimates'!$A:$A,$A39)*($N$2))</f>
        <v>44363.446596558846</v>
      </c>
      <c r="AL39" s="7">
        <f>(SUMIFS('Modeling - Base Estimates'!$X:$X,'Modeling - Base Estimates'!$A:$A,$A39)*SUMIFS('Modeling - Base Estimates'!Q:Q,'Modeling - Base Estimates'!$A:$A,$A39)*($N$2))</f>
        <v>65941.96651998075</v>
      </c>
      <c r="AM39" s="7">
        <f>(SUMIFS('Modeling - Base Estimates'!$X:$X,'Modeling - Base Estimates'!$A:$A,$A39)*SUMIFS('Modeling - Base Estimates'!R:R,'Modeling - Base Estimates'!$A:$A,$A39)*($N$2))</f>
        <v>409420.82127554697</v>
      </c>
      <c r="AN39" s="7">
        <f>(SUMIFS('Modeling - Base Estimates'!X:X,'Modeling - Base Estimates'!A:A,$A39)*$R39*($R$2))+(SUMIFS('Modeling - Base Estimates'!X:X,'Modeling - Base Estimates'!A:A,$A39)*$S39*($S$2))+(SUMIFS('Modeling - Base Estimates'!X:X,'Modeling - Base Estimates'!A:A,$A39)*$T39*($T$2))+(SUMIFS('Modeling - Base Estimates'!X:X,'Modeling - Base Estimates'!A:A,$A39)*$U39*($U$2))+(SUMIFS('Modeling - Base Estimates'!X:X,'Modeling - Base Estimates'!A:A,$A39)*$V39*($V$2))</f>
        <v>211500.37041196052</v>
      </c>
      <c r="AO39" s="7">
        <f>SUM(AJ39:AN39)-(SUMIFS('Modeling - Base Estimates'!X:X,'Modeling - Base Estimates'!A:A,A39)-SUMIFS('Modeling - Base Estimates'!Z:Z,'Modeling - Base Estimates'!A:A,A39))</f>
        <v>3.8417056202888489E-9</v>
      </c>
      <c r="AQ39" s="7">
        <f t="shared" si="13"/>
        <v>238337.42924366298</v>
      </c>
      <c r="AR39" s="7">
        <f>(W39*$O39*($N$2+'Modeling - Base Estimates'!$AA$51))</f>
        <v>134635.6110556176</v>
      </c>
      <c r="AS39" s="7">
        <f>(W39*P39*('Modeling - Base Estimates'!$AE$51))</f>
        <v>63560.313412193595</v>
      </c>
      <c r="AT39" s="7">
        <f t="shared" si="14"/>
        <v>410906.15749255545</v>
      </c>
      <c r="AU39" s="7">
        <f t="shared" si="15"/>
        <v>212267.67178931809</v>
      </c>
      <c r="AV39" s="5">
        <f t="shared" si="16"/>
        <v>0</v>
      </c>
      <c r="AX39" s="7">
        <f>SUMIFS('Modeling - Base Estimates'!X:X,'Modeling - Base Estimates'!A:A,A39)</f>
        <v>24380606.626711786</v>
      </c>
      <c r="AY39" s="5">
        <f t="shared" si="17"/>
        <v>237475.89137408082</v>
      </c>
      <c r="AZ39" s="5">
        <f t="shared" si="18"/>
        <v>44363.446596558846</v>
      </c>
      <c r="BA39" s="5">
        <f t="shared" si="19"/>
        <v>65941.96651998075</v>
      </c>
      <c r="BB39" s="5">
        <f t="shared" si="20"/>
        <v>409420.82127554697</v>
      </c>
      <c r="BC39" s="5">
        <f t="shared" si="21"/>
        <v>211500.37041196052</v>
      </c>
      <c r="BD39" s="5">
        <f t="shared" si="22"/>
        <v>23411904.130533658</v>
      </c>
      <c r="BF39" s="5">
        <f t="shared" si="23"/>
        <v>24469056.935375791</v>
      </c>
      <c r="BG39" s="5">
        <f t="shared" si="24"/>
        <v>238337.42924366298</v>
      </c>
      <c r="BH39" s="5">
        <f t="shared" si="25"/>
        <v>10321.522025316544</v>
      </c>
      <c r="BI39" s="5">
        <f t="shared" si="26"/>
        <v>134635.6110556176</v>
      </c>
      <c r="BJ39" s="5">
        <f t="shared" si="27"/>
        <v>63560.313412193595</v>
      </c>
      <c r="BK39" s="5">
        <f t="shared" si="28"/>
        <v>410906.15749255545</v>
      </c>
      <c r="BL39" s="5">
        <f t="shared" si="29"/>
        <v>212267.67178931809</v>
      </c>
      <c r="BM39" s="5">
        <f t="shared" si="30"/>
        <v>23399028.230357125</v>
      </c>
      <c r="BO39" s="5">
        <f t="shared" si="31"/>
        <v>-12875.900176532567</v>
      </c>
      <c r="BP39" s="12">
        <f t="shared" si="32"/>
        <v>-5.4997236041727591E-4</v>
      </c>
    </row>
    <row r="40" spans="1:68" x14ac:dyDescent="0.25">
      <c r="A40" s="1">
        <v>2004</v>
      </c>
      <c r="B40" s="1">
        <v>210056</v>
      </c>
      <c r="C40" s="4">
        <v>328543892.10000002</v>
      </c>
      <c r="D40" s="4">
        <v>122110058.8</v>
      </c>
      <c r="E40" s="4">
        <f>IF(('Modeling - Base Estimates'!F40/SUM('Modeling - Base Estimates'!F40:G40)+$E$63)&gt;1,SUM('Modeling - Base Estimates'!F40:G40),(('Modeling - Base Estimates'!F40/SUM('Modeling - Base Estimates'!F40:G40)+$E$63))*SUM('Modeling - Base Estimates'!F40:G40))</f>
        <v>32162987.102221519</v>
      </c>
      <c r="F40" s="4">
        <f>SUM('Modeling - Base Estimates'!F40:G40)-E40</f>
        <v>35072475.997778475</v>
      </c>
      <c r="G40" s="4">
        <v>14512319.600000001</v>
      </c>
      <c r="H40" s="4">
        <v>56449240.799999997</v>
      </c>
      <c r="I40" s="4">
        <v>8904352.6999999993</v>
      </c>
      <c r="J40" s="4">
        <v>14951033.699999999</v>
      </c>
      <c r="K40" s="4">
        <v>2970682.3</v>
      </c>
      <c r="L40" s="4">
        <v>17450430.300000001</v>
      </c>
      <c r="M40" s="4">
        <f t="shared" si="0"/>
        <v>23960310.800000072</v>
      </c>
      <c r="N40" s="12">
        <f t="shared" si="1"/>
        <v>0.3716704578480885</v>
      </c>
      <c r="O40" s="12">
        <f t="shared" si="2"/>
        <v>9.7895556349079718E-2</v>
      </c>
      <c r="P40" s="12">
        <f t="shared" si="3"/>
        <v>0.10675126472021992</v>
      </c>
      <c r="Q40" s="12">
        <f t="shared" si="10"/>
        <v>0.21598806767164369</v>
      </c>
      <c r="R40" s="12">
        <f t="shared" si="11"/>
        <v>2.7102475237280477E-2</v>
      </c>
      <c r="S40" s="12">
        <f t="shared" si="11"/>
        <v>4.5506959829432175E-2</v>
      </c>
      <c r="T40" s="12">
        <f t="shared" si="11"/>
        <v>9.0419647767970169E-3</v>
      </c>
      <c r="U40" s="12">
        <f t="shared" si="11"/>
        <v>5.3114456605659721E-2</v>
      </c>
      <c r="V40" s="12">
        <f t="shared" si="12"/>
        <v>7.2928796961798908E-2</v>
      </c>
      <c r="W40" s="4">
        <f>SUMIFS('Modeling - Base Estimates'!AK:AK,'Modeling - Base Estimates'!A:A,A40)</f>
        <v>180434177.19137433</v>
      </c>
      <c r="X40" s="4">
        <f>(W40*N40*(1-N$2))+(W40*O40*(1-'Modeling - Base Estimates'!$AA$51-N$2))+(W40*P40*(1-'Modeling - Base Estimates'!$AE$51))+(W40*Q40*(1-Q$2))+(W40*R40*(1-R$2))+(W40*S40*(1-S$2))+(W40*T40*(1-T$2))+(W40*U40*(1-U$2))+(W40*V40*(1-V$2))</f>
        <v>166647024.99743187</v>
      </c>
      <c r="Y40" s="5">
        <f>X40*N40*SUMIFS('Modeling - Base Estimates'!AN:AN,'Modeling - Base Estimates'!A:A,A40)</f>
        <v>1086113.5526467529</v>
      </c>
      <c r="Z40" s="4">
        <f t="shared" si="5"/>
        <v>165560911.44478512</v>
      </c>
      <c r="AA40" s="4">
        <f>(((W40*N40*(1-N$2))/X40)*X40)-Y40-(((SUMIFS('Modeling - Base Estimates'!X:X,'Modeling - Base Estimates'!A:A,A40)*N40*(1-N$2))/SUMIFS('Modeling - Base Estimates'!Z:Z,'Modeling - Base Estimates'!A:A,A40))*SUMIFS('Modeling - Base Estimates'!Z:Z,'Modeling - Base Estimates'!A:A,A40))</f>
        <v>2180.4840273335576</v>
      </c>
      <c r="AB40" s="4"/>
      <c r="AC40" s="18">
        <f>1-((((W40*O40*(1-N$2-'Modeling - Base Estimates'!$AA$51))/X40)*X40)/('Modeling - Base Estimates'!X40*'Modeling - Base Estimates'!P40))</f>
        <v>-2.5460889745563264E-3</v>
      </c>
      <c r="AD40" s="18">
        <f t="shared" si="33"/>
        <v>-7.9546088974556325E-2</v>
      </c>
      <c r="AE40" s="18">
        <f>1-((((W40*P40*(1-'Modeling - Base Estimates'!$AE$51))/X40)*X40)/(SUMIFS('Modeling - Base Estimates'!X:X,'Modeling - Base Estimates'!A:A,A40)*'Modeling - Base Estimates'!Q40))</f>
        <v>0.20145092350784521</v>
      </c>
      <c r="AF40" s="18">
        <f t="shared" si="34"/>
        <v>0.12445092350784522</v>
      </c>
      <c r="AG40" s="18">
        <f>$N40*(1-$N$2)+$O40*(1-$N$2-'Modeling - Base Estimates'!$AA$51)+$P40*(1-'Modeling - Base Estimates'!$AE$51)+$Q40*(1-$Q$2)+$R40*(1-$R$2)+$S40*(1-$S$2)+$T40*(1-$T$2)+$U40*(1-$U$2)+$V40*(1-$V$2)</f>
        <v>0.92358902061376458</v>
      </c>
      <c r="AH40" s="18" t="e">
        <f>$O40*(1-$N$2-#REF!)+$P40*(1-#REF!)+$Q40*(1-$Q$2)+$R40*(1-$R$2)+$S40*(1-$S$2)+$T40*(1-$T$2)+$U40*(1-$U$2)+$V40*(1-$V$2)</f>
        <v>#REF!</v>
      </c>
      <c r="AJ40" s="7">
        <f>(SUMIFS('Modeling - Base Estimates'!$X:$X,'Modeling - Base Estimates'!$A:$A,$A40)*SUMIFS('Modeling - Base Estimates'!O:O,'Modeling - Base Estimates'!$A:$A,$A40)*($N$2))</f>
        <v>5072988.6734302938</v>
      </c>
      <c r="AK40" s="7">
        <f>(SUMIFS('Modeling - Base Estimates'!$X:$X,'Modeling - Base Estimates'!$A:$A,$A40)*SUMIFS('Modeling - Base Estimates'!P:P,'Modeling - Base Estimates'!$A:$A,$A40)*($N$2))</f>
        <v>1096346.356045597</v>
      </c>
      <c r="AL40" s="7">
        <f>(SUMIFS('Modeling - Base Estimates'!$X:$X,'Modeling - Base Estimates'!$A:$A,$A40)*SUMIFS('Modeling - Base Estimates'!Q:Q,'Modeling - Base Estimates'!$A:$A,$A40)*($N$2))</f>
        <v>1696910.3675285999</v>
      </c>
      <c r="AM40" s="7">
        <f>(SUMIFS('Modeling - Base Estimates'!$X:$X,'Modeling - Base Estimates'!$A:$A,$A40)*SUMIFS('Modeling - Base Estimates'!R:R,'Modeling - Base Estimates'!$A:$A,$A40)*($N$2))</f>
        <v>2948055.1864097519</v>
      </c>
      <c r="AN40" s="7">
        <f>(SUMIFS('Modeling - Base Estimates'!X:X,'Modeling - Base Estimates'!A:A,$A40)*$R40*($R$2))+(SUMIFS('Modeling - Base Estimates'!X:X,'Modeling - Base Estimates'!A:A,$A40)*$S40*($S$2))+(SUMIFS('Modeling - Base Estimates'!X:X,'Modeling - Base Estimates'!A:A,$A40)*$T40*($T$2))+(SUMIFS('Modeling - Base Estimates'!X:X,'Modeling - Base Estimates'!A:A,$A40)*$U40*($U$2))+(SUMIFS('Modeling - Base Estimates'!X:X,'Modeling - Base Estimates'!A:A,$A40)*$V40*($V$2))</f>
        <v>560033.82353039563</v>
      </c>
      <c r="AO40" s="7">
        <f>SUM(AJ40:AN40)-(SUMIFS('Modeling - Base Estimates'!X:X,'Modeling - Base Estimates'!A:A,A40)-SUMIFS('Modeling - Base Estimates'!Z:Z,'Modeling - Base Estimates'!A:A,A40))</f>
        <v>0</v>
      </c>
      <c r="AQ40" s="7">
        <f t="shared" si="13"/>
        <v>5163778.100108414</v>
      </c>
      <c r="AR40" s="7">
        <f>(W40*$O40*($N$2+'Modeling - Base Estimates'!$AA$51))</f>
        <v>3389187.9083949123</v>
      </c>
      <c r="AS40" s="7">
        <f>(W40*P40*('Modeling - Base Estimates'!$AE$51))</f>
        <v>1663314.1869194382</v>
      </c>
      <c r="AT40" s="7">
        <f t="shared" si="14"/>
        <v>3000815.4540585689</v>
      </c>
      <c r="AU40" s="7">
        <f t="shared" si="15"/>
        <v>570056.54446115205</v>
      </c>
      <c r="AV40" s="5">
        <f t="shared" si="16"/>
        <v>2.6077032089233398E-8</v>
      </c>
      <c r="AX40" s="7">
        <f>SUMIFS('Modeling - Base Estimates'!X:X,'Modeling - Base Estimates'!A:A,A40)</f>
        <v>177261787.67680568</v>
      </c>
      <c r="AY40" s="5">
        <f t="shared" si="17"/>
        <v>5072988.6734302938</v>
      </c>
      <c r="AZ40" s="5">
        <f t="shared" si="18"/>
        <v>1096346.356045597</v>
      </c>
      <c r="BA40" s="5">
        <f t="shared" si="19"/>
        <v>1696910.3675285999</v>
      </c>
      <c r="BB40" s="5">
        <f t="shared" si="20"/>
        <v>2948055.1864097519</v>
      </c>
      <c r="BC40" s="5">
        <f t="shared" si="21"/>
        <v>560033.82353039563</v>
      </c>
      <c r="BD40" s="5">
        <f t="shared" si="22"/>
        <v>165887453.26986104</v>
      </c>
      <c r="BF40" s="5">
        <f t="shared" si="23"/>
        <v>180434177.19137433</v>
      </c>
      <c r="BG40" s="5">
        <f t="shared" si="24"/>
        <v>5163778.100108414</v>
      </c>
      <c r="BH40" s="5">
        <f t="shared" si="25"/>
        <v>1086113.5526467529</v>
      </c>
      <c r="BI40" s="5">
        <f t="shared" si="26"/>
        <v>3389187.9083949123</v>
      </c>
      <c r="BJ40" s="5">
        <f t="shared" si="27"/>
        <v>1663314.1869194382</v>
      </c>
      <c r="BK40" s="5">
        <f t="shared" si="28"/>
        <v>3000815.4540585689</v>
      </c>
      <c r="BL40" s="5">
        <f t="shared" si="29"/>
        <v>570056.54446115205</v>
      </c>
      <c r="BM40" s="5">
        <f t="shared" si="30"/>
        <v>165560911.44478509</v>
      </c>
      <c r="BO40" s="5">
        <f t="shared" si="31"/>
        <v>-326541.8250759542</v>
      </c>
      <c r="BP40" s="12">
        <f t="shared" si="32"/>
        <v>-1.9684540249390961E-3</v>
      </c>
    </row>
    <row r="41" spans="1:68" x14ac:dyDescent="0.25">
      <c r="A41" s="1">
        <v>2001</v>
      </c>
      <c r="B41" s="1">
        <v>210058</v>
      </c>
      <c r="C41" s="4">
        <v>156242273.30000001</v>
      </c>
      <c r="D41" s="4">
        <v>47893188.600000001</v>
      </c>
      <c r="E41" s="4">
        <f>IF(('Modeling - Base Estimates'!F41/SUM('Modeling - Base Estimates'!F41:G41)+$E$63)&gt;1,SUM('Modeling - Base Estimates'!F41:G41),(('Modeling - Base Estimates'!F41/SUM('Modeling - Base Estimates'!F41:G41)+$E$63))*SUM('Modeling - Base Estimates'!F41:G41))</f>
        <v>6018944.4236312564</v>
      </c>
      <c r="F41" s="4">
        <f>SUM('Modeling - Base Estimates'!F41:G41)-E41</f>
        <v>6406143.2763687428</v>
      </c>
      <c r="G41" s="4">
        <v>3676701.8</v>
      </c>
      <c r="H41" s="4">
        <v>32997858.800000001</v>
      </c>
      <c r="I41" s="4">
        <v>11239838.799999999</v>
      </c>
      <c r="J41" s="4">
        <v>13550906.300000001</v>
      </c>
      <c r="K41" s="4">
        <v>407449.59999999998</v>
      </c>
      <c r="L41" s="4">
        <v>5372000</v>
      </c>
      <c r="M41" s="4">
        <f t="shared" si="0"/>
        <v>28679241.700000018</v>
      </c>
      <c r="N41" s="12">
        <f t="shared" si="1"/>
        <v>0.30653156529565162</v>
      </c>
      <c r="O41" s="12">
        <f t="shared" si="2"/>
        <v>3.8523149314874029E-2</v>
      </c>
      <c r="P41" s="12">
        <f t="shared" si="3"/>
        <v>4.1001344521327712E-2</v>
      </c>
      <c r="Q41" s="12">
        <f t="shared" si="10"/>
        <v>0.23472879538549316</v>
      </c>
      <c r="R41" s="12">
        <f t="shared" si="11"/>
        <v>7.1938525743403897E-2</v>
      </c>
      <c r="S41" s="12">
        <f t="shared" si="11"/>
        <v>8.6730089199233376E-2</v>
      </c>
      <c r="T41" s="12">
        <f t="shared" si="11"/>
        <v>2.6078063983212664E-3</v>
      </c>
      <c r="U41" s="12">
        <f t="shared" si="11"/>
        <v>3.4382500244893706E-2</v>
      </c>
      <c r="V41" s="12">
        <f t="shared" si="12"/>
        <v>0.18355622389680126</v>
      </c>
      <c r="W41" s="4">
        <f>SUMIFS('Modeling - Base Estimates'!AK:AK,'Modeling - Base Estimates'!A:A,A41)</f>
        <v>85276562.660868511</v>
      </c>
      <c r="X41" s="4">
        <f>(W41*N41*(1-N$2))+(W41*O41*(1-'Modeling - Base Estimates'!$AA$51-N$2))+(W41*P41*(1-'Modeling - Base Estimates'!$AE$51))+(W41*Q41*(1-Q$2))+(W41*R41*(1-R$2))+(W41*S41*(1-S$2))+(W41*T41*(1-T$2))+(W41*U41*(1-U$2))+(W41*V41*(1-V$2))</f>
        <v>80186768.824138343</v>
      </c>
      <c r="Y41" s="5">
        <f>X41*N41*SUMIFS('Modeling - Base Estimates'!AN:AN,'Modeling - Base Estimates'!A:A,A41)</f>
        <v>149159.41504975528</v>
      </c>
      <c r="Z41" s="4">
        <f t="shared" si="5"/>
        <v>80037609.409088582</v>
      </c>
      <c r="AA41" s="4">
        <f>(((W41*N41*(1-N$2))/X41)*X41)-Y41-(((SUMIFS('Modeling - Base Estimates'!X:X,'Modeling - Base Estimates'!A:A,A41)*N41*(1-N$2))/SUMIFS('Modeling - Base Estimates'!Z:Z,'Modeling - Base Estimates'!A:A,A41))*SUMIFS('Modeling - Base Estimates'!Z:Z,'Modeling - Base Estimates'!A:A,A41))</f>
        <v>114.29572672396898</v>
      </c>
      <c r="AB41" s="4"/>
      <c r="AC41" s="18">
        <f>1-((((W41*O41*(1-N$2-'Modeling - Base Estimates'!$AA$51))/X41)*X41)/('Modeling - Base Estimates'!X41*'Modeling - Base Estimates'!P41))</f>
        <v>1.1651805293111162E-2</v>
      </c>
      <c r="AD41" s="18">
        <f t="shared" si="33"/>
        <v>-6.5348194706888837E-2</v>
      </c>
      <c r="AE41" s="18">
        <f>1-((((W41*P41*(1-'Modeling - Base Estimates'!$AE$51))/X41)*X41)/(SUMIFS('Modeling - Base Estimates'!X:X,'Modeling - Base Estimates'!A:A,A41)*'Modeling - Base Estimates'!Q41))</f>
        <v>0.21191527398969889</v>
      </c>
      <c r="AF41" s="18">
        <f t="shared" si="34"/>
        <v>0.13491527398969888</v>
      </c>
      <c r="AG41" s="18">
        <f>$N41*(1-$N$2)+$O41*(1-$N$2-'Modeling - Base Estimates'!$AA$51)+$P41*(1-'Modeling - Base Estimates'!$AE$51)+$Q41*(1-$Q$2)+$R41*(1-$R$2)+$S41*(1-$S$2)+$T41*(1-$T$2)+$U41*(1-$U$2)+$V41*(1-$V$2)</f>
        <v>0.94031427067515061</v>
      </c>
      <c r="AH41" s="18" t="e">
        <f>$O41*(1-$N$2-#REF!)+$P41*(1-#REF!)+$Q41*(1-$Q$2)+$R41*(1-$R$2)+$S41*(1-$S$2)+$T41*(1-$T$2)+$U41*(1-$U$2)+$V41*(1-$V$2)</f>
        <v>#REF!</v>
      </c>
      <c r="AJ41" s="7">
        <f>(SUMIFS('Modeling - Base Estimates'!$X:$X,'Modeling - Base Estimates'!$A:$A,$A41)*SUMIFS('Modeling - Base Estimates'!O:O,'Modeling - Base Estimates'!$A:$A,$A41)*($N$2))</f>
        <v>2000323.831011062</v>
      </c>
      <c r="AK41" s="7">
        <f>(SUMIFS('Modeling - Base Estimates'!$X:$X,'Modeling - Base Estimates'!$A:$A,$A41)*SUMIFS('Modeling - Base Estimates'!P:P,'Modeling - Base Estimates'!$A:$A,$A41)*($N$2))</f>
        <v>206829.19390083037</v>
      </c>
      <c r="AL41" s="7">
        <f>(SUMIFS('Modeling - Base Estimates'!$X:$X,'Modeling - Base Estimates'!$A:$A,$A41)*SUMIFS('Modeling - Base Estimates'!Q:Q,'Modeling - Base Estimates'!$A:$A,$A41)*($N$2))</f>
        <v>312121.40753631061</v>
      </c>
      <c r="AM41" s="7">
        <f>(SUMIFS('Modeling - Base Estimates'!$X:$X,'Modeling - Base Estimates'!$A:$A,$A41)*SUMIFS('Modeling - Base Estimates'!R:R,'Modeling - Base Estimates'!$A:$A,$A41)*($N$2))</f>
        <v>1531762.6515274316</v>
      </c>
      <c r="AN41" s="7">
        <f>(SUMIFS('Modeling - Base Estimates'!X:X,'Modeling - Base Estimates'!A:A,$A41)*$R41*($R$2))+(SUMIFS('Modeling - Base Estimates'!X:X,'Modeling - Base Estimates'!A:A,$A41)*$S41*($S$2))+(SUMIFS('Modeling - Base Estimates'!X:X,'Modeling - Base Estimates'!A:A,$A41)*$T41*($T$2))+(SUMIFS('Modeling - Base Estimates'!X:X,'Modeling - Base Estimates'!A:A,$A41)*$U41*($U$2))+(SUMIFS('Modeling - Base Estimates'!X:X,'Modeling - Base Estimates'!A:A,$A41)*$V41*($V$2))</f>
        <v>599725.9540069747</v>
      </c>
      <c r="AO41" s="7">
        <f>SUM(AJ41:AN41)-(SUMIFS('Modeling - Base Estimates'!X:X,'Modeling - Base Estimates'!A:A,A41)-SUMIFS('Modeling - Base Estimates'!Z:Z,'Modeling - Base Estimates'!A:A,A41))</f>
        <v>0</v>
      </c>
      <c r="AQ41" s="7">
        <f t="shared" si="13"/>
        <v>2012776.7841310932</v>
      </c>
      <c r="AR41" s="7">
        <f>(W41*$O41*($N$2+'Modeling - Base Estimates'!$AA$51))</f>
        <v>630326.16677415068</v>
      </c>
      <c r="AS41" s="7">
        <f>(W41*P41*('Modeling - Base Estimates'!$AE$51))</f>
        <v>301932.76499048551</v>
      </c>
      <c r="AT41" s="7">
        <f t="shared" si="14"/>
        <v>1541298.5917560917</v>
      </c>
      <c r="AU41" s="7">
        <f t="shared" si="15"/>
        <v>603459.5290783369</v>
      </c>
      <c r="AV41" s="5">
        <f t="shared" si="16"/>
        <v>-9.3132257461547852E-9</v>
      </c>
      <c r="AX41" s="7">
        <f>SUMIFS('Modeling - Base Estimates'!X:X,'Modeling - Base Estimates'!A:A,A41)</f>
        <v>84748960.67070961</v>
      </c>
      <c r="AY41" s="5">
        <f t="shared" si="17"/>
        <v>2000323.831011062</v>
      </c>
      <c r="AZ41" s="5">
        <f t="shared" si="18"/>
        <v>206829.19390083037</v>
      </c>
      <c r="BA41" s="5">
        <f t="shared" si="19"/>
        <v>312121.40753631061</v>
      </c>
      <c r="BB41" s="5">
        <f t="shared" si="20"/>
        <v>1531762.6515274316</v>
      </c>
      <c r="BC41" s="5">
        <f t="shared" si="21"/>
        <v>599725.9540069747</v>
      </c>
      <c r="BD41" s="5">
        <f t="shared" si="22"/>
        <v>80098197.632726997</v>
      </c>
      <c r="BF41" s="5">
        <f t="shared" si="23"/>
        <v>85276562.660868511</v>
      </c>
      <c r="BG41" s="5">
        <f t="shared" si="24"/>
        <v>2012776.7841310932</v>
      </c>
      <c r="BH41" s="5">
        <f t="shared" si="25"/>
        <v>149159.41504975528</v>
      </c>
      <c r="BI41" s="5">
        <f t="shared" si="26"/>
        <v>630326.16677415068</v>
      </c>
      <c r="BJ41" s="5">
        <f t="shared" si="27"/>
        <v>301932.76499048551</v>
      </c>
      <c r="BK41" s="5">
        <f t="shared" si="28"/>
        <v>1541298.5917560917</v>
      </c>
      <c r="BL41" s="5">
        <f t="shared" si="29"/>
        <v>603459.5290783369</v>
      </c>
      <c r="BM41" s="5">
        <f t="shared" si="30"/>
        <v>80037609.409088597</v>
      </c>
      <c r="BO41" s="5">
        <f t="shared" si="31"/>
        <v>-60588.223638400435</v>
      </c>
      <c r="BP41" s="12">
        <f t="shared" si="32"/>
        <v>-7.5642430702641602E-4</v>
      </c>
    </row>
    <row r="42" spans="1:68" x14ac:dyDescent="0.25">
      <c r="A42" s="1">
        <v>61</v>
      </c>
      <c r="B42" s="1">
        <v>210061</v>
      </c>
      <c r="C42" s="4">
        <v>140018931</v>
      </c>
      <c r="D42" s="4">
        <v>56859232</v>
      </c>
      <c r="E42" s="4">
        <f>IF(('Modeling - Base Estimates'!F42/SUM('Modeling - Base Estimates'!F42:G42)+$E$63)&gt;1,SUM('Modeling - Base Estimates'!F42:G42),(('Modeling - Base Estimates'!F42/SUM('Modeling - Base Estimates'!F42:G42)+$E$63))*SUM('Modeling - Base Estimates'!F42:G42))</f>
        <v>8782870.0360095464</v>
      </c>
      <c r="F42" s="4">
        <f>SUM('Modeling - Base Estimates'!F42:G42)-E42</f>
        <v>11180793.963990454</v>
      </c>
      <c r="G42" s="4">
        <v>2058348</v>
      </c>
      <c r="H42" s="4">
        <v>14009632</v>
      </c>
      <c r="I42" s="4">
        <v>4007551</v>
      </c>
      <c r="J42" s="4">
        <v>18777367</v>
      </c>
      <c r="K42" s="4">
        <v>1705777</v>
      </c>
      <c r="L42" s="4">
        <v>5700964</v>
      </c>
      <c r="M42" s="4">
        <f t="shared" si="0"/>
        <v>16936396</v>
      </c>
      <c r="N42" s="12">
        <f t="shared" si="1"/>
        <v>0.40608246037816131</v>
      </c>
      <c r="O42" s="12">
        <f t="shared" si="2"/>
        <v>6.2726304031056668E-2</v>
      </c>
      <c r="P42" s="12">
        <f t="shared" si="3"/>
        <v>7.9852016324781491E-2</v>
      </c>
      <c r="Q42" s="12">
        <f t="shared" si="10"/>
        <v>0.11475576827536271</v>
      </c>
      <c r="R42" s="12">
        <f t="shared" si="11"/>
        <v>2.8621494046401484E-2</v>
      </c>
      <c r="S42" s="12">
        <f t="shared" si="11"/>
        <v>0.13410591600645771</v>
      </c>
      <c r="T42" s="12">
        <f t="shared" si="11"/>
        <v>1.2182474097020494E-2</v>
      </c>
      <c r="U42" s="12">
        <f t="shared" si="11"/>
        <v>4.0715665798076978E-2</v>
      </c>
      <c r="V42" s="12">
        <f t="shared" si="12"/>
        <v>0.12095790104268116</v>
      </c>
      <c r="W42" s="4">
        <f>SUMIFS('Modeling - Base Estimates'!AK:AK,'Modeling - Base Estimates'!A:A,A42)</f>
        <v>78508921.646534726</v>
      </c>
      <c r="X42" s="4">
        <f>(W42*N42*(1-N$2))+(W42*O42*(1-'Modeling - Base Estimates'!$AA$51-N$2))+(W42*P42*(1-'Modeling - Base Estimates'!$AE$51))+(W42*Q42*(1-Q$2))+(W42*R42*(1-R$2))+(W42*S42*(1-S$2))+(W42*T42*(1-T$2))+(W42*U42*(1-U$2))+(W42*V42*(1-V$2))</f>
        <v>73403919.982710689</v>
      </c>
      <c r="Y42" s="5">
        <f>X42*N42*SUMIFS('Modeling - Base Estimates'!AN:AN,'Modeling - Base Estimates'!A:A,A42)</f>
        <v>345487.43927609839</v>
      </c>
      <c r="Z42" s="4">
        <f t="shared" si="5"/>
        <v>73058432.54343459</v>
      </c>
      <c r="AA42" s="4">
        <f>(((W42*N42*(1-N$2))/X42)*X42)-Y42-(((SUMIFS('Modeling - Base Estimates'!X:X,'Modeling - Base Estimates'!A:A,A42)*N42*(1-N$2))/SUMIFS('Modeling - Base Estimates'!Z:Z,'Modeling - Base Estimates'!A:A,A42))*SUMIFS('Modeling - Base Estimates'!Z:Z,'Modeling - Base Estimates'!A:A,A42))</f>
        <v>477.35002679750323</v>
      </c>
      <c r="AB42" s="4"/>
      <c r="AC42" s="18">
        <f>1-((((W42*O42*(1-N$2-'Modeling - Base Estimates'!$AA$51))/X42)*X42)/('Modeling - Base Estimates'!X42*'Modeling - Base Estimates'!P42))</f>
        <v>-1.6048662307652117E-2</v>
      </c>
      <c r="AD42" s="18">
        <f t="shared" si="33"/>
        <v>-9.3048662307652116E-2</v>
      </c>
      <c r="AE42" s="18">
        <f>1-((((W42*P42*(1-'Modeling - Base Estimates'!$AE$51))/X42)*X42)/(SUMIFS('Modeling - Base Estimates'!X:X,'Modeling - Base Estimates'!A:A,A42)*'Modeling - Base Estimates'!Q42))</f>
        <v>0.19838510295759038</v>
      </c>
      <c r="AF42" s="18">
        <f t="shared" si="34"/>
        <v>0.12138510295759038</v>
      </c>
      <c r="AG42" s="18">
        <f>$N42*(1-$N$2)+$O42*(1-$N$2-'Modeling - Base Estimates'!$AA$51)+$P42*(1-'Modeling - Base Estimates'!$AE$51)+$Q42*(1-$Q$2)+$R42*(1-$R$2)+$S42*(1-$S$2)+$T42*(1-$T$2)+$U42*(1-$U$2)+$V42*(1-$V$2)</f>
        <v>0.9349755218036504</v>
      </c>
      <c r="AH42" s="18" t="e">
        <f>$O42*(1-$N$2-#REF!)+$P42*(1-#REF!)+$Q42*(1-$Q$2)+$R42*(1-$R$2)+$S42*(1-$S$2)+$T42*(1-$T$2)+$U42*(1-$U$2)+$V42*(1-$V$2)</f>
        <v>#REF!</v>
      </c>
      <c r="AJ42" s="7">
        <f>(SUMIFS('Modeling - Base Estimates'!$X:$X,'Modeling - Base Estimates'!$A:$A,$A42)*SUMIFS('Modeling - Base Estimates'!O:O,'Modeling - Base Estimates'!$A:$A,$A42)*($N$2))</f>
        <v>2425982.7622734015</v>
      </c>
      <c r="AK42" s="7">
        <f>(SUMIFS('Modeling - Base Estimates'!$X:$X,'Modeling - Base Estimates'!$A:$A,$A42)*SUMIFS('Modeling - Base Estimates'!P:P,'Modeling - Base Estimates'!$A:$A,$A42)*($N$2))</f>
        <v>301595.28293181048</v>
      </c>
      <c r="AL42" s="7">
        <f>(SUMIFS('Modeling - Base Estimates'!$X:$X,'Modeling - Base Estimates'!$A:$A,$A42)*SUMIFS('Modeling - Base Estimates'!Q:Q,'Modeling - Base Estimates'!$A:$A,$A42)*($N$2))</f>
        <v>550183.80433792365</v>
      </c>
      <c r="AM42" s="7">
        <f>(SUMIFS('Modeling - Base Estimates'!$X:$X,'Modeling - Base Estimates'!$A:$A,$A42)*SUMIFS('Modeling - Base Estimates'!R:R,'Modeling - Base Estimates'!$A:$A,$A42)*($N$2))</f>
        <v>685563.99960790481</v>
      </c>
      <c r="AN42" s="7">
        <f>(SUMIFS('Modeling - Base Estimates'!X:X,'Modeling - Base Estimates'!A:A,$A42)*$R42*($R$2))+(SUMIFS('Modeling - Base Estimates'!X:X,'Modeling - Base Estimates'!A:A,$A42)*$S42*($S$2))+(SUMIFS('Modeling - Base Estimates'!X:X,'Modeling - Base Estimates'!A:A,$A42)*$T42*($T$2))+(SUMIFS('Modeling - Base Estimates'!X:X,'Modeling - Base Estimates'!A:A,$A42)*$U42*($U$2))+(SUMIFS('Modeling - Base Estimates'!X:X,'Modeling - Base Estimates'!A:A,$A42)*$V42*($V$2))</f>
        <v>464654.87688735605</v>
      </c>
      <c r="AO42" s="7">
        <f>SUM(AJ42:AN42)-(SUMIFS('Modeling - Base Estimates'!X:X,'Modeling - Base Estimates'!A:A,A42)-SUMIFS('Modeling - Base Estimates'!Z:Z,'Modeling - Base Estimates'!A:A,A42))</f>
        <v>0</v>
      </c>
      <c r="AQ42" s="7">
        <f t="shared" si="13"/>
        <v>2454844.3969173054</v>
      </c>
      <c r="AR42" s="7">
        <f>(W42*$O42*($N$2+'Modeling - Base Estimates'!$AA$51))</f>
        <v>944892.88080336072</v>
      </c>
      <c r="AS42" s="7">
        <f>(W42*P42*('Modeling - Base Estimates'!$AE$51))</f>
        <v>541361.48946987488</v>
      </c>
      <c r="AT42" s="7">
        <f t="shared" si="14"/>
        <v>693720.07474141265</v>
      </c>
      <c r="AU42" s="7">
        <f t="shared" si="15"/>
        <v>470182.82189206977</v>
      </c>
      <c r="AV42" s="5">
        <f t="shared" si="16"/>
        <v>-1.3038516044616699E-8</v>
      </c>
      <c r="AX42" s="7">
        <f>SUMIFS('Modeling - Base Estimates'!X:X,'Modeling - Base Estimates'!A:A,A42)</f>
        <v>77585891.325063199</v>
      </c>
      <c r="AY42" s="5">
        <f t="shared" si="17"/>
        <v>2425982.7622734015</v>
      </c>
      <c r="AZ42" s="5">
        <f t="shared" si="18"/>
        <v>301595.28293181048</v>
      </c>
      <c r="BA42" s="5">
        <f t="shared" si="19"/>
        <v>550183.80433792365</v>
      </c>
      <c r="BB42" s="5">
        <f t="shared" si="20"/>
        <v>685563.99960790481</v>
      </c>
      <c r="BC42" s="5">
        <f t="shared" si="21"/>
        <v>464654.87688735605</v>
      </c>
      <c r="BD42" s="5">
        <f t="shared" si="22"/>
        <v>73157910.599024802</v>
      </c>
      <c r="BF42" s="5">
        <f t="shared" si="23"/>
        <v>78508921.646534726</v>
      </c>
      <c r="BG42" s="5">
        <f t="shared" si="24"/>
        <v>2454844.3969173054</v>
      </c>
      <c r="BH42" s="5">
        <f t="shared" si="25"/>
        <v>345487.43927609839</v>
      </c>
      <c r="BI42" s="5">
        <f t="shared" si="26"/>
        <v>944892.88080336072</v>
      </c>
      <c r="BJ42" s="5">
        <f t="shared" si="27"/>
        <v>541361.48946987488</v>
      </c>
      <c r="BK42" s="5">
        <f t="shared" si="28"/>
        <v>693720.07474141265</v>
      </c>
      <c r="BL42" s="5">
        <f t="shared" si="29"/>
        <v>470182.82189206977</v>
      </c>
      <c r="BM42" s="5">
        <f t="shared" si="30"/>
        <v>73058432.543434605</v>
      </c>
      <c r="BO42" s="5">
        <f t="shared" si="31"/>
        <v>-99478.055590197444</v>
      </c>
      <c r="BP42" s="12">
        <f t="shared" si="32"/>
        <v>-1.3597716880602586E-3</v>
      </c>
    </row>
    <row r="43" spans="1:68" x14ac:dyDescent="0.25">
      <c r="A43" s="1">
        <v>62</v>
      </c>
      <c r="B43" s="1">
        <v>210062</v>
      </c>
      <c r="C43" s="4">
        <v>361328376.89999998</v>
      </c>
      <c r="D43" s="4">
        <v>105388833.3</v>
      </c>
      <c r="E43" s="4">
        <f>IF(('Modeling - Base Estimates'!F43/SUM('Modeling - Base Estimates'!F43:G43)+$E$63)&gt;1,SUM('Modeling - Base Estimates'!F43:G43),(('Modeling - Base Estimates'!F43/SUM('Modeling - Base Estimates'!F43:G43)+$E$63))*SUM('Modeling - Base Estimates'!F43:G43))</f>
        <v>30176162.525355391</v>
      </c>
      <c r="F43" s="4">
        <f>SUM('Modeling - Base Estimates'!F43:G43)-E43</f>
        <v>23177304.674644604</v>
      </c>
      <c r="G43" s="4">
        <v>14412588.5</v>
      </c>
      <c r="H43" s="4">
        <v>54390583.200000003</v>
      </c>
      <c r="I43" s="4">
        <v>15232751.1</v>
      </c>
      <c r="J43" s="4">
        <v>17701477.599999998</v>
      </c>
      <c r="K43" s="4">
        <v>1726075.9000000001</v>
      </c>
      <c r="L43" s="4">
        <v>19159376.799999997</v>
      </c>
      <c r="M43" s="4">
        <f t="shared" si="0"/>
        <v>79963223.300000012</v>
      </c>
      <c r="N43" s="12">
        <f t="shared" si="1"/>
        <v>0.29167051368668745</v>
      </c>
      <c r="O43" s="12">
        <f t="shared" si="2"/>
        <v>8.3514510496657854E-2</v>
      </c>
      <c r="P43" s="12">
        <f t="shared" si="3"/>
        <v>6.4144712002675269E-2</v>
      </c>
      <c r="Q43" s="12">
        <f t="shared" si="10"/>
        <v>0.19041729379323488</v>
      </c>
      <c r="R43" s="12">
        <f t="shared" si="11"/>
        <v>4.2157638518980106E-2</v>
      </c>
      <c r="S43" s="12">
        <f t="shared" si="11"/>
        <v>4.8990001150391239E-2</v>
      </c>
      <c r="T43" s="12">
        <f t="shared" si="11"/>
        <v>4.7770283496933958E-3</v>
      </c>
      <c r="U43" s="12">
        <f t="shared" si="11"/>
        <v>5.3024832880209906E-2</v>
      </c>
      <c r="V43" s="12">
        <f t="shared" si="12"/>
        <v>0.22130346912146998</v>
      </c>
      <c r="W43" s="4">
        <f>SUMIFS('Modeling - Base Estimates'!AK:AK,'Modeling - Base Estimates'!A:A,A43)</f>
        <v>205568698.65455058</v>
      </c>
      <c r="X43" s="4">
        <f>(W43*N43*(1-N$2))+(W43*O43*(1-'Modeling - Base Estimates'!$AA$51-N$2))+(W43*P43*(1-'Modeling - Base Estimates'!$AE$51))+(W43*Q43*(1-Q$2))+(W43*R43*(1-R$2))+(W43*S43*(1-S$2))+(W43*T43*(1-T$2))+(W43*U43*(1-U$2))+(W43*V43*(1-V$2))</f>
        <v>192179176.72755349</v>
      </c>
      <c r="Y43" s="5">
        <f>X43*N43*SUMIFS('Modeling - Base Estimates'!AN:AN,'Modeling - Base Estimates'!A:A,A43)</f>
        <v>726451.93492365885</v>
      </c>
      <c r="Z43" s="4">
        <f t="shared" si="5"/>
        <v>191452724.79262984</v>
      </c>
      <c r="AA43" s="4">
        <f>(((W43*N43*(1-N$2))/X43)*X43)-Y43-(((SUMIFS('Modeling - Base Estimates'!X:X,'Modeling - Base Estimates'!A:A,A43)*N43*(1-N$2))/SUMIFS('Modeling - Base Estimates'!Z:Z,'Modeling - Base Estimates'!A:A,A43))*SUMIFS('Modeling - Base Estimates'!Z:Z,'Modeling - Base Estimates'!A:A,A43))</f>
        <v>1039.6078631356359</v>
      </c>
      <c r="AB43" s="4"/>
      <c r="AC43" s="18">
        <f>1-((((W43*O43*(1-N$2-'Modeling - Base Estimates'!$AA$51))/X43)*X43)/('Modeling - Base Estimates'!X43*'Modeling - Base Estimates'!P43))</f>
        <v>3.4534534692011398E-2</v>
      </c>
      <c r="AD43" s="18">
        <f t="shared" si="33"/>
        <v>-4.2465465307988601E-2</v>
      </c>
      <c r="AE43" s="18">
        <f>1-((((W43*P43*(1-'Modeling - Base Estimates'!$AE$51))/X43)*X43)/(SUMIFS('Modeling - Base Estimates'!X:X,'Modeling - Base Estimates'!A:A,A43)*'Modeling - Base Estimates'!Q43))</f>
        <v>0.22697951731994448</v>
      </c>
      <c r="AF43" s="18">
        <f t="shared" si="34"/>
        <v>0.14997951731994447</v>
      </c>
      <c r="AG43" s="18">
        <f>$N43*(1-$N$2)+$O43*(1-$N$2-'Modeling - Base Estimates'!$AA$51)+$P43*(1-'Modeling - Base Estimates'!$AE$51)+$Q43*(1-$Q$2)+$R43*(1-$R$2)+$S43*(1-$S$2)+$T43*(1-$T$2)+$U43*(1-$U$2)+$V43*(1-$V$2)</f>
        <v>0.93486594985213367</v>
      </c>
      <c r="AH43" s="18" t="e">
        <f>$O43*(1-$N$2-#REF!)+$P43*(1-#REF!)+$Q43*(1-$Q$2)+$R43*(1-$R$2)+$S43*(1-$S$2)+$T43*(1-$T$2)+$U43*(1-$U$2)+$V43*(1-$V$2)</f>
        <v>#REF!</v>
      </c>
      <c r="AJ43" s="7">
        <f>(SUMIFS('Modeling - Base Estimates'!$X:$X,'Modeling - Base Estimates'!$A:$A,$A43)*SUMIFS('Modeling - Base Estimates'!O:O,'Modeling - Base Estimates'!$A:$A,$A43)*($N$2))</f>
        <v>4556101.2739291489</v>
      </c>
      <c r="AK43" s="7">
        <f>(SUMIFS('Modeling - Base Estimates'!$X:$X,'Modeling - Base Estimates'!$A:$A,$A43)*SUMIFS('Modeling - Base Estimates'!P:P,'Modeling - Base Estimates'!$A:$A,$A43)*($N$2))</f>
        <v>1106502.8199262698</v>
      </c>
      <c r="AL43" s="7">
        <f>(SUMIFS('Modeling - Base Estimates'!$X:$X,'Modeling - Base Estimates'!$A:$A,$A43)*SUMIFS('Modeling - Base Estimates'!Q:Q,'Modeling - Base Estimates'!$A:$A,$A43)*($N$2))</f>
        <v>1200039.4603786499</v>
      </c>
      <c r="AM43" s="7">
        <f>(SUMIFS('Modeling - Base Estimates'!$X:$X,'Modeling - Base Estimates'!$A:$A,$A43)*SUMIFS('Modeling - Base Estimates'!R:R,'Modeling - Base Estimates'!$A:$A,$A43)*($N$2))</f>
        <v>2974453.8241580091</v>
      </c>
      <c r="AN43" s="7">
        <f>(SUMIFS('Modeling - Base Estimates'!X:X,'Modeling - Base Estimates'!A:A,$A43)*$R43*($R$2))+(SUMIFS('Modeling - Base Estimates'!X:X,'Modeling - Base Estimates'!A:A,$A43)*$S43*($S$2))+(SUMIFS('Modeling - Base Estimates'!X:X,'Modeling - Base Estimates'!A:A,$A43)*$T43*($T$2))+(SUMIFS('Modeling - Base Estimates'!X:X,'Modeling - Base Estimates'!A:A,$A43)*$U43*($U$2))+(SUMIFS('Modeling - Base Estimates'!X:X,'Modeling - Base Estimates'!A:A,$A43)*$V43*($V$2))</f>
        <v>1308479.5089991756</v>
      </c>
      <c r="AO43" s="7">
        <f>SUM(AJ43:AN43)-(SUMIFS('Modeling - Base Estimates'!X:X,'Modeling - Base Estimates'!A:A,A43)-SUMIFS('Modeling - Base Estimates'!Z:Z,'Modeling - Base Estimates'!A:A,A43))</f>
        <v>1.4901161193847656E-8</v>
      </c>
      <c r="AQ43" s="7">
        <f t="shared" si="13"/>
        <v>4616791.2509546997</v>
      </c>
      <c r="AR43" s="7">
        <f>(W43*$O43*($N$2+'Modeling - Base Estimates'!$AA$51))</f>
        <v>3294069.762287715</v>
      </c>
      <c r="AS43" s="7">
        <f>(W43*P43*('Modeling - Base Estimates'!$AE$51))</f>
        <v>1138676.3629087103</v>
      </c>
      <c r="AT43" s="7">
        <f t="shared" si="14"/>
        <v>3014075.3170525325</v>
      </c>
      <c r="AU43" s="7">
        <f t="shared" si="15"/>
        <v>1325909.2337934799</v>
      </c>
      <c r="AV43" s="5">
        <f t="shared" si="16"/>
        <v>4.0978193283081055E-8</v>
      </c>
      <c r="AX43" s="7">
        <f>SUMIFS('Modeling - Base Estimates'!X:X,'Modeling - Base Estimates'!A:A,A43)</f>
        <v>202866397.65795752</v>
      </c>
      <c r="AY43" s="5">
        <f t="shared" si="17"/>
        <v>4556101.2739291489</v>
      </c>
      <c r="AZ43" s="5">
        <f t="shared" si="18"/>
        <v>1106502.8199262698</v>
      </c>
      <c r="BA43" s="5">
        <f t="shared" si="19"/>
        <v>1200039.4603786499</v>
      </c>
      <c r="BB43" s="5">
        <f t="shared" si="20"/>
        <v>2974453.8241580091</v>
      </c>
      <c r="BC43" s="5">
        <f t="shared" si="21"/>
        <v>1308479.5089991756</v>
      </c>
      <c r="BD43" s="5">
        <f t="shared" si="22"/>
        <v>191720820.77056628</v>
      </c>
      <c r="BF43" s="5">
        <f t="shared" si="23"/>
        <v>205568698.65455058</v>
      </c>
      <c r="BG43" s="5">
        <f t="shared" si="24"/>
        <v>4616791.2509546997</v>
      </c>
      <c r="BH43" s="5">
        <f t="shared" si="25"/>
        <v>726451.93492365885</v>
      </c>
      <c r="BI43" s="5">
        <f t="shared" si="26"/>
        <v>3294069.762287715</v>
      </c>
      <c r="BJ43" s="5">
        <f t="shared" si="27"/>
        <v>1138676.3629087103</v>
      </c>
      <c r="BK43" s="5">
        <f t="shared" si="28"/>
        <v>3014075.3170525325</v>
      </c>
      <c r="BL43" s="5">
        <f t="shared" si="29"/>
        <v>1325909.2337934799</v>
      </c>
      <c r="BM43" s="5">
        <f t="shared" si="30"/>
        <v>191452724.79262978</v>
      </c>
      <c r="BO43" s="5">
        <f t="shared" si="31"/>
        <v>-268095.97793650627</v>
      </c>
      <c r="BP43" s="12">
        <f t="shared" si="32"/>
        <v>-1.3983665251325974E-3</v>
      </c>
    </row>
    <row r="44" spans="1:68" x14ac:dyDescent="0.25">
      <c r="A44" s="1">
        <v>63</v>
      </c>
      <c r="B44" s="1">
        <v>210063</v>
      </c>
      <c r="C44" s="4">
        <v>506646499.30000001</v>
      </c>
      <c r="D44" s="4">
        <v>198977874.29999998</v>
      </c>
      <c r="E44" s="4">
        <f>IF(('Modeling - Base Estimates'!F44/SUM('Modeling - Base Estimates'!F44:G44)+$E$63)&gt;1,SUM('Modeling - Base Estimates'!F44:G44),(('Modeling - Base Estimates'!F44/SUM('Modeling - Base Estimates'!F44:G44)+$E$63))*SUM('Modeling - Base Estimates'!F44:G44))</f>
        <v>51263553.180298075</v>
      </c>
      <c r="F44" s="4">
        <f>SUM('Modeling - Base Estimates'!F44:G44)-E44</f>
        <v>31188892.019701928</v>
      </c>
      <c r="G44" s="4">
        <v>5872375.2999999998</v>
      </c>
      <c r="H44" s="4">
        <v>48858997.899999999</v>
      </c>
      <c r="I44" s="4">
        <v>33098644.500000004</v>
      </c>
      <c r="J44" s="4">
        <v>36220367.599999994</v>
      </c>
      <c r="K44" s="4">
        <v>889040.20000000007</v>
      </c>
      <c r="L44" s="4">
        <v>16433809.099999998</v>
      </c>
      <c r="M44" s="4">
        <f t="shared" si="0"/>
        <v>83842945.200000048</v>
      </c>
      <c r="N44" s="12">
        <f t="shared" si="1"/>
        <v>0.39273512118393111</v>
      </c>
      <c r="O44" s="12">
        <f t="shared" si="2"/>
        <v>0.10118209294078917</v>
      </c>
      <c r="P44" s="12">
        <f t="shared" si="3"/>
        <v>6.1559474037210481E-2</v>
      </c>
      <c r="Q44" s="12">
        <f t="shared" si="10"/>
        <v>0.10802674700332227</v>
      </c>
      <c r="R44" s="12">
        <f t="shared" si="11"/>
        <v>6.5328872390769926E-2</v>
      </c>
      <c r="S44" s="12">
        <f t="shared" si="11"/>
        <v>7.1490413236928077E-2</v>
      </c>
      <c r="T44" s="12">
        <f t="shared" si="11"/>
        <v>1.7547544515324357E-3</v>
      </c>
      <c r="U44" s="12">
        <f t="shared" si="11"/>
        <v>3.2436440639983709E-2</v>
      </c>
      <c r="V44" s="12">
        <f t="shared" si="12"/>
        <v>0.16548608411553284</v>
      </c>
      <c r="W44" s="4">
        <f>SUMIFS('Modeling - Base Estimates'!AK:AK,'Modeling - Base Estimates'!A:A,A44)</f>
        <v>285571074.23979384</v>
      </c>
      <c r="X44" s="4">
        <f>(W44*N44*(1-N$2))+(W44*O44*(1-'Modeling - Base Estimates'!$AA$51-N$2))+(W44*P44*(1-'Modeling - Base Estimates'!$AE$51))+(W44*Q44*(1-Q$2))+(W44*R44*(1-R$2))+(W44*S44*(1-S$2))+(W44*T44*(1-T$2))+(W44*U44*(1-U$2))+(W44*V44*(1-V$2))</f>
        <v>265714401.60572296</v>
      </c>
      <c r="Y44" s="5">
        <f>X44*N44*SUMIFS('Modeling - Base Estimates'!AN:AN,'Modeling - Base Estimates'!A:A,A44)</f>
        <v>1917663.9066383773</v>
      </c>
      <c r="Z44" s="4">
        <f t="shared" si="5"/>
        <v>263796737.69908458</v>
      </c>
      <c r="AA44" s="4">
        <f>(((W44*N44*(1-N$2))/X44)*X44)-Y44-(((SUMIFS('Modeling - Base Estimates'!X:X,'Modeling - Base Estimates'!A:A,A44)*N44*(1-N$2))/SUMIFS('Modeling - Base Estimates'!Z:Z,'Modeling - Base Estimates'!A:A,A44))*SUMIFS('Modeling - Base Estimates'!Z:Z,'Modeling - Base Estimates'!A:A,A44))</f>
        <v>3038.9359351396561</v>
      </c>
      <c r="AB44" s="4"/>
      <c r="AC44" s="18">
        <f>1-((((W44*O44*(1-N$2-'Modeling - Base Estimates'!$AA$51))/X44)*X44)/('Modeling - Base Estimates'!X44*'Modeling - Base Estimates'!P44))</f>
        <v>4.4655578834341014E-2</v>
      </c>
      <c r="AD44" s="18">
        <f t="shared" si="33"/>
        <v>-3.2344421165658985E-2</v>
      </c>
      <c r="AE44" s="18">
        <f>1-((((W44*P44*(1-'Modeling - Base Estimates'!$AE$51))/X44)*X44)/(SUMIFS('Modeling - Base Estimates'!X:X,'Modeling - Base Estimates'!A:A,A44)*'Modeling - Base Estimates'!Q44))</f>
        <v>0.2413047001385572</v>
      </c>
      <c r="AF44" s="18">
        <f t="shared" si="34"/>
        <v>0.16430470013855719</v>
      </c>
      <c r="AG44" s="18">
        <f>$N44*(1-$N$2)+$O44*(1-$N$2-'Modeling - Base Estimates'!$AA$51)+$P44*(1-'Modeling - Base Estimates'!$AE$51)+$Q44*(1-$Q$2)+$R44*(1-$R$2)+$S44*(1-$S$2)+$T44*(1-$T$2)+$U44*(1-$U$2)+$V44*(1-$V$2)</f>
        <v>0.930466792944872</v>
      </c>
      <c r="AH44" s="18" t="e">
        <f>$O44*(1-$N$2-#REF!)+$P44*(1-#REF!)+$Q44*(1-$Q$2)+$R44*(1-$R$2)+$S44*(1-$S$2)+$T44*(1-$T$2)+$U44*(1-$U$2)+$V44*(1-$V$2)</f>
        <v>#REF!</v>
      </c>
      <c r="AJ44" s="7">
        <f>(SUMIFS('Modeling - Base Estimates'!$X:$X,'Modeling - Base Estimates'!$A:$A,$A44)*SUMIFS('Modeling - Base Estimates'!O:O,'Modeling - Base Estimates'!$A:$A,$A44)*($N$2))</f>
        <v>8475609.8830608968</v>
      </c>
      <c r="AK44" s="7">
        <f>(SUMIFS('Modeling - Base Estimates'!$X:$X,'Modeling - Base Estimates'!$A:$A,$A44)*SUMIFS('Modeling - Base Estimates'!P:P,'Modeling - Base Estimates'!$A:$A,$A44)*($N$2))</f>
        <v>1882037.3766104591</v>
      </c>
      <c r="AL44" s="7">
        <f>(SUMIFS('Modeling - Base Estimates'!$X:$X,'Modeling - Base Estimates'!$A:$A,$A44)*SUMIFS('Modeling - Base Estimates'!Q:Q,'Modeling - Base Estimates'!$A:$A,$A44)*($N$2))</f>
        <v>1630085.5761456864</v>
      </c>
      <c r="AM44" s="7">
        <f>(SUMIFS('Modeling - Base Estimates'!$X:$X,'Modeling - Base Estimates'!$A:$A,$A44)*SUMIFS('Modeling - Base Estimates'!R:R,'Modeling - Base Estimates'!$A:$A,$A44)*($N$2))</f>
        <v>2331323.3656723928</v>
      </c>
      <c r="AN44" s="7">
        <f>(SUMIFS('Modeling - Base Estimates'!X:X,'Modeling - Base Estimates'!A:A,$A44)*$R44*($R$2))+(SUMIFS('Modeling - Base Estimates'!X:X,'Modeling - Base Estimates'!A:A,$A44)*$S44*($S$2))+(SUMIFS('Modeling - Base Estimates'!X:X,'Modeling - Base Estimates'!A:A,$A44)*$T44*($T$2))+(SUMIFS('Modeling - Base Estimates'!X:X,'Modeling - Base Estimates'!A:A,$A44)*$U44*($U$2))+(SUMIFS('Modeling - Base Estimates'!X:X,'Modeling - Base Estimates'!A:A,$A44)*$V44*($V$2))</f>
        <v>1750168.5609526099</v>
      </c>
      <c r="AO44" s="7">
        <f>SUM(AJ44:AN44)-(SUMIFS('Modeling - Base Estimates'!X:X,'Modeling - Base Estimates'!A:A,A44)-SUMIFS('Modeling - Base Estimates'!Z:Z,'Modeling - Base Estimates'!A:A,A44))</f>
        <v>0</v>
      </c>
      <c r="AQ44" s="7">
        <f t="shared" si="13"/>
        <v>8635841.8645106927</v>
      </c>
      <c r="AR44" s="7">
        <f>(W44*$O44*($N$2+'Modeling - Base Estimates'!$AA$51))</f>
        <v>5544108.738957095</v>
      </c>
      <c r="AS44" s="7">
        <f>(W44*P44*('Modeling - Base Estimates'!$AE$51))</f>
        <v>1518069.2214342658</v>
      </c>
      <c r="AT44" s="7">
        <f t="shared" si="14"/>
        <v>2375397.192504426</v>
      </c>
      <c r="AU44" s="7">
        <f t="shared" si="15"/>
        <v>1783255.6166644401</v>
      </c>
      <c r="AV44" s="5">
        <f t="shared" si="16"/>
        <v>4.4703483581542969E-8</v>
      </c>
      <c r="AX44" s="7">
        <f>SUMIFS('Modeling - Base Estimates'!X:X,'Modeling - Base Estimates'!A:A,A44)</f>
        <v>280272503.49381578</v>
      </c>
      <c r="AY44" s="5">
        <f t="shared" si="17"/>
        <v>8475609.8830608968</v>
      </c>
      <c r="AZ44" s="5">
        <f t="shared" si="18"/>
        <v>1882037.3766104591</v>
      </c>
      <c r="BA44" s="5">
        <f t="shared" si="19"/>
        <v>1630085.5761456864</v>
      </c>
      <c r="BB44" s="5">
        <f t="shared" si="20"/>
        <v>2331323.3656723928</v>
      </c>
      <c r="BC44" s="5">
        <f t="shared" si="21"/>
        <v>1750168.5609526099</v>
      </c>
      <c r="BD44" s="5">
        <f t="shared" si="22"/>
        <v>264203278.73137373</v>
      </c>
      <c r="BF44" s="5">
        <f t="shared" si="23"/>
        <v>285571074.23979384</v>
      </c>
      <c r="BG44" s="5">
        <f t="shared" si="24"/>
        <v>8635841.8645106927</v>
      </c>
      <c r="BH44" s="5">
        <f t="shared" si="25"/>
        <v>1917663.9066383773</v>
      </c>
      <c r="BI44" s="5">
        <f t="shared" si="26"/>
        <v>5544108.738957095</v>
      </c>
      <c r="BJ44" s="5">
        <f t="shared" si="27"/>
        <v>1518069.2214342658</v>
      </c>
      <c r="BK44" s="5">
        <f t="shared" si="28"/>
        <v>2375397.192504426</v>
      </c>
      <c r="BL44" s="5">
        <f t="shared" si="29"/>
        <v>1783255.6166644401</v>
      </c>
      <c r="BM44" s="5">
        <f t="shared" si="30"/>
        <v>263796737.69908455</v>
      </c>
      <c r="BO44" s="5">
        <f t="shared" si="31"/>
        <v>-406541.03228917718</v>
      </c>
      <c r="BP44" s="12">
        <f t="shared" si="32"/>
        <v>-1.538743327642516E-3</v>
      </c>
    </row>
    <row r="45" spans="1:68" x14ac:dyDescent="0.25">
      <c r="A45" s="1">
        <v>5033</v>
      </c>
      <c r="B45" s="1">
        <v>210064</v>
      </c>
      <c r="C45" s="4">
        <v>70446050.799999997</v>
      </c>
      <c r="D45" s="4">
        <v>45640192.5</v>
      </c>
      <c r="E45" s="4">
        <f>IF(('Modeling - Base Estimates'!F45/SUM('Modeling - Base Estimates'!F45:G45)+$E$63)&gt;1,SUM('Modeling - Base Estimates'!F45:G45),(('Modeling - Base Estimates'!F45/SUM('Modeling - Base Estimates'!F45:G45)+$E$63))*SUM('Modeling - Base Estimates'!F45:G45))</f>
        <v>5312396.0230453229</v>
      </c>
      <c r="F45" s="4">
        <f>SUM('Modeling - Base Estimates'!F45:G45)-E45</f>
        <v>5454166.9769546771</v>
      </c>
      <c r="G45" s="4">
        <v>1873970.5</v>
      </c>
      <c r="H45" s="4">
        <v>3518260.3</v>
      </c>
      <c r="I45" s="4">
        <v>2853112.6</v>
      </c>
      <c r="J45" s="4">
        <v>2078.5</v>
      </c>
      <c r="K45" s="4">
        <v>0</v>
      </c>
      <c r="L45" s="4">
        <v>4253279</v>
      </c>
      <c r="M45" s="4">
        <f t="shared" si="0"/>
        <v>1538594.3999999911</v>
      </c>
      <c r="N45" s="12">
        <f t="shared" si="1"/>
        <v>0.64787439440111239</v>
      </c>
      <c r="O45" s="12">
        <f t="shared" si="2"/>
        <v>7.5410842236245321E-2</v>
      </c>
      <c r="P45" s="12">
        <f t="shared" si="3"/>
        <v>7.7423317773189879E-2</v>
      </c>
      <c r="Q45" s="12">
        <f t="shared" si="10"/>
        <v>7.6544117644136267E-2</v>
      </c>
      <c r="R45" s="12">
        <f t="shared" si="11"/>
        <v>4.0500674879563305E-2</v>
      </c>
      <c r="S45" s="12">
        <f t="shared" si="11"/>
        <v>2.9504847701129046E-5</v>
      </c>
      <c r="T45" s="12">
        <f t="shared" si="11"/>
        <v>0</v>
      </c>
      <c r="U45" s="12">
        <f t="shared" si="11"/>
        <v>6.0376400830122905E-2</v>
      </c>
      <c r="V45" s="12">
        <f t="shared" si="12"/>
        <v>2.1840747387928679E-2</v>
      </c>
      <c r="W45" s="4">
        <f>SUMIFS('Modeling - Base Estimates'!AK:AK,'Modeling - Base Estimates'!A:A,A45)</f>
        <v>43667018.236346222</v>
      </c>
      <c r="X45" s="4">
        <f>(W45*N45*(1-N$2))+(W45*O45*(1-'Modeling - Base Estimates'!$AA$51-N$2))+(W45*P45*(1-'Modeling - Base Estimates'!$AE$51))+(W45*Q45*(1-Q$2))+(W45*R45*(1-R$2))+(W45*S45*(1-S$2))+(W45*T45*(1-T$2))+(W45*U45*(1-U$2))+(W45*V45*(1-V$2))</f>
        <v>40248588.796800651</v>
      </c>
      <c r="Y45" s="5">
        <f>X45*N45*SUMIFS('Modeling - Base Estimates'!AN:AN,'Modeling - Base Estimates'!A:A,A45)</f>
        <v>628054.83459718351</v>
      </c>
      <c r="Z45" s="4">
        <f t="shared" si="5"/>
        <v>39620533.962203465</v>
      </c>
      <c r="AA45" s="4">
        <f>(((W45*N45*(1-N$2))/X45)*X45)-Y45-(((SUMIFS('Modeling - Base Estimates'!X:X,'Modeling - Base Estimates'!A:A,A45)*N45*(1-N$2))/SUMIFS('Modeling - Base Estimates'!Z:Z,'Modeling - Base Estimates'!A:A,A45))*SUMIFS('Modeling - Base Estimates'!Z:Z,'Modeling - Base Estimates'!A:A,A45))</f>
        <v>943.56606389582157</v>
      </c>
      <c r="AB45" s="4"/>
      <c r="AC45" s="18">
        <f>1-((((W45*O45*(1-N$2-'Modeling - Base Estimates'!$AA$51))/X45)*X45)/('Modeling - Base Estimates'!X45*'Modeling - Base Estimates'!P45))</f>
        <v>-2.5388993526629378E-3</v>
      </c>
      <c r="AD45" s="18">
        <f t="shared" si="33"/>
        <v>-7.9538899352662937E-2</v>
      </c>
      <c r="AE45" s="18">
        <f>1-((((W45*P45*(1-'Modeling - Base Estimates'!$AE$51))/X45)*X45)/(SUMIFS('Modeling - Base Estimates'!X:X,'Modeling - Base Estimates'!A:A,A45)*'Modeling - Base Estimates'!Q45))</f>
        <v>0.19948922718074591</v>
      </c>
      <c r="AF45" s="18">
        <f t="shared" si="34"/>
        <v>0.12248922718074591</v>
      </c>
      <c r="AG45" s="18">
        <f>$N45*(1-$N$2)+$O45*(1-$N$2-'Modeling - Base Estimates'!$AA$51)+$P45*(1-'Modeling - Base Estimates'!$AE$51)+$Q45*(1-$Q$2)+$R45*(1-$R$2)+$S45*(1-$S$2)+$T45*(1-$T$2)+$U45*(1-$U$2)+$V45*(1-$V$2)</f>
        <v>0.92171598662763177</v>
      </c>
      <c r="AH45" s="18" t="e">
        <f>$O45*(1-$N$2-#REF!)+$P45*(1-#REF!)+$Q45*(1-$Q$2)+$R45*(1-$R$2)+$S45*(1-$S$2)+$T45*(1-$T$2)+$U45*(1-$U$2)+$V45*(1-$V$2)</f>
        <v>#REF!</v>
      </c>
      <c r="AJ45" s="7">
        <f>(SUMIFS('Modeling - Base Estimates'!$X:$X,'Modeling - Base Estimates'!$A:$A,$A45)*SUMIFS('Modeling - Base Estimates'!O:O,'Modeling - Base Estimates'!$A:$A,$A45)*($N$2))</f>
        <v>2125913.8879297823</v>
      </c>
      <c r="AK45" s="7">
        <f>(SUMIFS('Modeling - Base Estimates'!$X:$X,'Modeling - Base Estimates'!$A:$A,$A45)*SUMIFS('Modeling - Base Estimates'!P:P,'Modeling - Base Estimates'!$A:$A,$A45)*($N$2))</f>
        <v>204388.49153754924</v>
      </c>
      <c r="AL45" s="7">
        <f>(SUMIFS('Modeling - Base Estimates'!$X:$X,'Modeling - Base Estimates'!$A:$A,$A45)*SUMIFS('Modeling - Base Estimates'!Q:Q,'Modeling - Base Estimates'!$A:$A,$A45)*($N$2))</f>
        <v>297116.53184662998</v>
      </c>
      <c r="AM45" s="7">
        <f>(SUMIFS('Modeling - Base Estimates'!$X:$X,'Modeling - Base Estimates'!$A:$A,$A45)*SUMIFS('Modeling - Base Estimates'!R:R,'Modeling - Base Estimates'!$A:$A,$A45)*($N$2))</f>
        <v>251169.36885493458</v>
      </c>
      <c r="AN45" s="7">
        <f>(SUMIFS('Modeling - Base Estimates'!X:X,'Modeling - Base Estimates'!A:A,$A45)*$R45*($R$2))+(SUMIFS('Modeling - Base Estimates'!X:X,'Modeling - Base Estimates'!A:A,$A45)*$S45*($S$2))+(SUMIFS('Modeling - Base Estimates'!X:X,'Modeling - Base Estimates'!A:A,$A45)*$T45*($T$2))+(SUMIFS('Modeling - Base Estimates'!X:X,'Modeling - Base Estimates'!A:A,$A45)*$U45*($U$2))+(SUMIFS('Modeling - Base Estimates'!X:X,'Modeling - Base Estimates'!A:A,$A45)*$V45*($V$2))</f>
        <v>57473.798230571847</v>
      </c>
      <c r="AO45" s="7">
        <f>SUM(AJ45:AN45)-(SUMIFS('Modeling - Base Estimates'!X:X,'Modeling - Base Estimates'!A:A,A45)-SUMIFS('Modeling - Base Estimates'!Z:Z,'Modeling - Base Estimates'!A:A,A45))</f>
        <v>-4.6566128730773926E-9</v>
      </c>
      <c r="AQ45" s="7">
        <f t="shared" si="13"/>
        <v>2178387.2106284858</v>
      </c>
      <c r="AR45" s="7">
        <f>(W45*$O45*($N$2+'Modeling - Base Estimates'!$AA$51))</f>
        <v>631831.38488334382</v>
      </c>
      <c r="AS45" s="7">
        <f>(W45*P45*('Modeling - Base Estimates'!$AE$51))</f>
        <v>291949.52618625533</v>
      </c>
      <c r="AT45" s="7">
        <f t="shared" si="14"/>
        <v>257368.91034096773</v>
      </c>
      <c r="AU45" s="7">
        <f t="shared" si="15"/>
        <v>58892.407506514719</v>
      </c>
      <c r="AV45" s="5">
        <f t="shared" si="16"/>
        <v>-4.6566128730773926E-9</v>
      </c>
      <c r="AX45" s="7">
        <f>SUMIFS('Modeling - Base Estimates'!X:X,'Modeling - Base Estimates'!A:A,A45)</f>
        <v>42615160.454577073</v>
      </c>
      <c r="AY45" s="5">
        <f t="shared" si="17"/>
        <v>2125913.8879297823</v>
      </c>
      <c r="AZ45" s="5">
        <f t="shared" si="18"/>
        <v>204388.49153754924</v>
      </c>
      <c r="BA45" s="5">
        <f t="shared" si="19"/>
        <v>297116.53184662998</v>
      </c>
      <c r="BB45" s="5">
        <f t="shared" si="20"/>
        <v>251169.36885493458</v>
      </c>
      <c r="BC45" s="5">
        <f t="shared" si="21"/>
        <v>57473.798230571847</v>
      </c>
      <c r="BD45" s="5">
        <f t="shared" si="22"/>
        <v>39679098.376177609</v>
      </c>
      <c r="BF45" s="5">
        <f t="shared" si="23"/>
        <v>43667018.236346222</v>
      </c>
      <c r="BG45" s="5">
        <f t="shared" si="24"/>
        <v>2178387.2106284858</v>
      </c>
      <c r="BH45" s="5">
        <f t="shared" si="25"/>
        <v>628054.83459718351</v>
      </c>
      <c r="BI45" s="5">
        <f t="shared" si="26"/>
        <v>631831.38488334382</v>
      </c>
      <c r="BJ45" s="5">
        <f t="shared" si="27"/>
        <v>291949.52618625533</v>
      </c>
      <c r="BK45" s="5">
        <f t="shared" si="28"/>
        <v>257368.91034096773</v>
      </c>
      <c r="BL45" s="5">
        <f t="shared" si="29"/>
        <v>58892.407506514719</v>
      </c>
      <c r="BM45" s="5">
        <f t="shared" si="30"/>
        <v>39620533.962203473</v>
      </c>
      <c r="BO45" s="5">
        <f t="shared" si="31"/>
        <v>-58564.413974136114</v>
      </c>
      <c r="BP45" s="12">
        <f t="shared" si="32"/>
        <v>-1.4759512279970757E-3</v>
      </c>
    </row>
    <row r="46" spans="1:68" x14ac:dyDescent="0.25">
      <c r="A46" s="1">
        <v>65</v>
      </c>
      <c r="B46" s="1">
        <v>210065</v>
      </c>
      <c r="C46" s="4">
        <v>180505379.09999999</v>
      </c>
      <c r="D46" s="4">
        <v>54128086.799999997</v>
      </c>
      <c r="E46" s="4">
        <f>IF(('Modeling - Base Estimates'!F46/SUM('Modeling - Base Estimates'!F46:G46)+$E$63)&gt;1,SUM('Modeling - Base Estimates'!F46:G46),(('Modeling - Base Estimates'!F46/SUM('Modeling - Base Estimates'!F46:G46)+$E$63))*SUM('Modeling - Base Estimates'!F46:G46))</f>
        <v>14714787.609074559</v>
      </c>
      <c r="F46" s="4">
        <f>SUM('Modeling - Base Estimates'!F46:G46)-E46</f>
        <v>7719824.8909254409</v>
      </c>
      <c r="G46" s="4">
        <v>8587628</v>
      </c>
      <c r="H46" s="4">
        <v>27615563.199999999</v>
      </c>
      <c r="I46" s="4">
        <v>8436535.0999999996</v>
      </c>
      <c r="J46" s="4">
        <v>14101959.800000001</v>
      </c>
      <c r="K46" s="4">
        <v>2123815.0999999996</v>
      </c>
      <c r="L46" s="4">
        <v>10863401.9</v>
      </c>
      <c r="M46" s="4">
        <f t="shared" si="0"/>
        <v>32213776.699999988</v>
      </c>
      <c r="N46" s="12">
        <f t="shared" si="1"/>
        <v>0.29986966078176003</v>
      </c>
      <c r="O46" s="12">
        <f t="shared" si="2"/>
        <v>8.151993964081572E-2</v>
      </c>
      <c r="P46" s="12">
        <f t="shared" si="3"/>
        <v>4.2767838440142314E-2</v>
      </c>
      <c r="Q46" s="12">
        <f t="shared" si="10"/>
        <v>0.20056571931822281</v>
      </c>
      <c r="R46" s="12">
        <f t="shared" si="11"/>
        <v>4.6738413791680734E-2</v>
      </c>
      <c r="S46" s="12">
        <f t="shared" si="11"/>
        <v>7.8124872900255868E-2</v>
      </c>
      <c r="T46" s="12">
        <f t="shared" si="11"/>
        <v>1.1765938004669688E-2</v>
      </c>
      <c r="U46" s="12">
        <f t="shared" si="11"/>
        <v>6.0183258549772495E-2</v>
      </c>
      <c r="V46" s="12">
        <f t="shared" si="12"/>
        <v>0.17846435857268028</v>
      </c>
      <c r="W46" s="4">
        <f>SUMIFS('Modeling - Base Estimates'!AK:AK,'Modeling - Base Estimates'!A:A,A46)</f>
        <v>105695024.99776249</v>
      </c>
      <c r="X46" s="4">
        <f>(W46*N46*(1-N$2))+(W46*O46*(1-'Modeling - Base Estimates'!$AA$51-N$2))+(W46*P46*(1-'Modeling - Base Estimates'!$AE$51))+(W46*Q46*(1-Q$2))+(W46*R46*(1-R$2))+(W46*S46*(1-S$2))+(W46*T46*(1-T$2))+(W46*U46*(1-U$2))+(W46*V46*(1-V$2))</f>
        <v>98900220.41827631</v>
      </c>
      <c r="Y46" s="5">
        <f>X46*N46*SUMIFS('Modeling - Base Estimates'!AN:AN,'Modeling - Base Estimates'!A:A,A46)</f>
        <v>378697.35717795644</v>
      </c>
      <c r="Z46" s="4">
        <f t="shared" si="5"/>
        <v>98521523.061098352</v>
      </c>
      <c r="AA46" s="4">
        <f>(((W46*N46*(1-N$2))/X46)*X46)-Y46-(((SUMIFS('Modeling - Base Estimates'!X:X,'Modeling - Base Estimates'!A:A,A46)*N46*(1-N$2))/SUMIFS('Modeling - Base Estimates'!Z:Z,'Modeling - Base Estimates'!A:A,A46))*SUMIFS('Modeling - Base Estimates'!Z:Z,'Modeling - Base Estimates'!A:A,A46))</f>
        <v>455.75287837535143</v>
      </c>
      <c r="AB46" s="4"/>
      <c r="AC46" s="18">
        <f>1-((((W46*O46*(1-N$2-'Modeling - Base Estimates'!$AA$51))/X46)*X46)/('Modeling - Base Estimates'!X46*'Modeling - Base Estimates'!P46))</f>
        <v>5.7931958780808146E-2</v>
      </c>
      <c r="AD46" s="18">
        <f t="shared" si="33"/>
        <v>-1.9068041219191853E-2</v>
      </c>
      <c r="AE46" s="18">
        <f>1-((((W46*P46*(1-'Modeling - Base Estimates'!$AE$51))/X46)*X46)/(SUMIFS('Modeling - Base Estimates'!X:X,'Modeling - Base Estimates'!A:A,A46)*'Modeling - Base Estimates'!Q46))</f>
        <v>0.25921024399042003</v>
      </c>
      <c r="AF46" s="18">
        <f t="shared" si="34"/>
        <v>0.18221024399042002</v>
      </c>
      <c r="AG46" s="18">
        <f>$N46*(1-$N$2)+$O46*(1-$N$2-'Modeling - Base Estimates'!$AA$51)+$P46*(1-'Modeling - Base Estimates'!$AE$51)+$Q46*(1-$Q$2)+$R46*(1-$R$2)+$S46*(1-$S$2)+$T46*(1-$T$2)+$U46*(1-$U$2)+$V46*(1-$V$2)</f>
        <v>0.93571310873307412</v>
      </c>
      <c r="AH46" s="18" t="e">
        <f>$O46*(1-$N$2-#REF!)+$P46*(1-#REF!)+$Q46*(1-$Q$2)+$R46*(1-$R$2)+$S46*(1-$S$2)+$T46*(1-$T$2)+$U46*(1-$U$2)+$V46*(1-$V$2)</f>
        <v>#REF!</v>
      </c>
      <c r="AJ46" s="7">
        <f>(SUMIFS('Modeling - Base Estimates'!$X:$X,'Modeling - Base Estimates'!$A:$A,$A46)*SUMIFS('Modeling - Base Estimates'!O:O,'Modeling - Base Estimates'!$A:$A,$A46)*($N$2))</f>
        <v>2408863.9850571281</v>
      </c>
      <c r="AK46" s="7">
        <f>(SUMIFS('Modeling - Base Estimates'!$X:$X,'Modeling - Base Estimates'!$A:$A,$A46)*SUMIFS('Modeling - Base Estimates'!P:P,'Modeling - Base Estimates'!$A:$A,$A46)*($N$2))</f>
        <v>569123.43155702157</v>
      </c>
      <c r="AL46" s="7">
        <f>(SUMIFS('Modeling - Base Estimates'!$X:$X,'Modeling - Base Estimates'!$A:$A,$A46)*SUMIFS('Modeling - Base Estimates'!Q:Q,'Modeling - Base Estimates'!$A:$A,$A46)*($N$2))</f>
        <v>429284.84896551236</v>
      </c>
      <c r="AM46" s="7">
        <f>(SUMIFS('Modeling - Base Estimates'!$X:$X,'Modeling - Base Estimates'!$A:$A,$A46)*SUMIFS('Modeling - Base Estimates'!R:R,'Modeling - Base Estimates'!$A:$A,$A46)*($N$2))</f>
        <v>1611151.7805542899</v>
      </c>
      <c r="AN46" s="7">
        <f>(SUMIFS('Modeling - Base Estimates'!X:X,'Modeling - Base Estimates'!A:A,$A46)*$R46*($R$2))+(SUMIFS('Modeling - Base Estimates'!X:X,'Modeling - Base Estimates'!A:A,$A46)*$S46*($S$2))+(SUMIFS('Modeling - Base Estimates'!X:X,'Modeling - Base Estimates'!A:A,$A46)*$T46*($T$2))+(SUMIFS('Modeling - Base Estimates'!X:X,'Modeling - Base Estimates'!A:A,$A46)*$U46*($U$2))+(SUMIFS('Modeling - Base Estimates'!X:X,'Modeling - Base Estimates'!A:A,$A46)*$V46*($V$2))</f>
        <v>669633.69789915998</v>
      </c>
      <c r="AO46" s="7">
        <f>SUM(AJ46:AN46)-(SUMIFS('Modeling - Base Estimates'!X:X,'Modeling - Base Estimates'!A:A,A46)-SUMIFS('Modeling - Base Estimates'!Z:Z,'Modeling - Base Estimates'!A:A,A46))</f>
        <v>0</v>
      </c>
      <c r="AQ46" s="7">
        <f t="shared" si="13"/>
        <v>2440494.3095146986</v>
      </c>
      <c r="AR46" s="7">
        <f>(W46*$O46*($N$2+'Modeling - Base Estimates'!$AA$51))</f>
        <v>1653226.1311538192</v>
      </c>
      <c r="AS46" s="7">
        <f>(W46*P46*('Modeling - Base Estimates'!$AE$51))</f>
        <v>390350.10986524844</v>
      </c>
      <c r="AT46" s="7">
        <f t="shared" si="14"/>
        <v>1632307.5012116006</v>
      </c>
      <c r="AU46" s="7">
        <f t="shared" si="15"/>
        <v>678426.52774080471</v>
      </c>
      <c r="AV46" s="5">
        <f t="shared" si="16"/>
        <v>0</v>
      </c>
      <c r="AX46" s="7">
        <f>SUMIFS('Modeling - Base Estimates'!X:X,'Modeling - Base Estimates'!A:A,A46)</f>
        <v>104325151.72200997</v>
      </c>
      <c r="AY46" s="5">
        <f t="shared" si="17"/>
        <v>2408863.9850571281</v>
      </c>
      <c r="AZ46" s="5">
        <f t="shared" si="18"/>
        <v>569123.43155702157</v>
      </c>
      <c r="BA46" s="5">
        <f t="shared" si="19"/>
        <v>429284.84896551236</v>
      </c>
      <c r="BB46" s="5">
        <f t="shared" si="20"/>
        <v>1611151.7805542899</v>
      </c>
      <c r="BC46" s="5">
        <f t="shared" si="21"/>
        <v>669633.69789915998</v>
      </c>
      <c r="BD46" s="5">
        <f t="shared" si="22"/>
        <v>98637093.977976859</v>
      </c>
      <c r="BF46" s="5">
        <f t="shared" si="23"/>
        <v>105695024.99776249</v>
      </c>
      <c r="BG46" s="5">
        <f t="shared" si="24"/>
        <v>2440494.3095146986</v>
      </c>
      <c r="BH46" s="5">
        <f t="shared" si="25"/>
        <v>378697.35717795644</v>
      </c>
      <c r="BI46" s="5">
        <f t="shared" si="26"/>
        <v>1653226.1311538192</v>
      </c>
      <c r="BJ46" s="5">
        <f t="shared" si="27"/>
        <v>390350.10986524844</v>
      </c>
      <c r="BK46" s="5">
        <f t="shared" si="28"/>
        <v>1632307.5012116006</v>
      </c>
      <c r="BL46" s="5">
        <f t="shared" si="29"/>
        <v>678426.52774080471</v>
      </c>
      <c r="BM46" s="5">
        <f t="shared" si="30"/>
        <v>98521523.061098367</v>
      </c>
      <c r="BO46" s="5">
        <f t="shared" si="31"/>
        <v>-115570.91687849164</v>
      </c>
      <c r="BP46" s="12">
        <f t="shared" si="32"/>
        <v>-1.1716780393418288E-3</v>
      </c>
    </row>
    <row r="47" spans="1:68" x14ac:dyDescent="0.25">
      <c r="A47" s="1">
        <v>88</v>
      </c>
      <c r="B47" s="1">
        <v>210088</v>
      </c>
      <c r="C47" s="4">
        <v>9274920.8999999985</v>
      </c>
      <c r="D47" s="4">
        <v>2080940.4</v>
      </c>
      <c r="E47" s="4">
        <f>IF(('Modeling - Base Estimates'!F47/SUM('Modeling - Base Estimates'!F47:G47)+$E$63)&gt;1,SUM('Modeling - Base Estimates'!F47:G47),(('Modeling - Base Estimates'!F47/SUM('Modeling - Base Estimates'!F47:G47)+$E$63))*SUM('Modeling - Base Estimates'!F47:G47))</f>
        <v>223638.4131648381</v>
      </c>
      <c r="F47" s="4">
        <f>SUM('Modeling - Base Estimates'!F47:G47)-E47</f>
        <v>319231.5868351619</v>
      </c>
      <c r="G47" s="4">
        <v>51700</v>
      </c>
      <c r="H47" s="4">
        <v>2142456.5</v>
      </c>
      <c r="I47" s="4">
        <v>0</v>
      </c>
      <c r="J47" s="4">
        <v>1656427.4000000001</v>
      </c>
      <c r="K47" s="4">
        <v>27057.1</v>
      </c>
      <c r="L47" s="4">
        <v>945000</v>
      </c>
      <c r="M47" s="4">
        <f t="shared" si="0"/>
        <v>1828469.4999999981</v>
      </c>
      <c r="N47" s="12">
        <f t="shared" si="1"/>
        <v>0.22436206437081316</v>
      </c>
      <c r="O47" s="12">
        <f t="shared" si="2"/>
        <v>2.4112163928518046E-2</v>
      </c>
      <c r="P47" s="12">
        <f t="shared" si="3"/>
        <v>3.4418793462180575E-2</v>
      </c>
      <c r="Q47" s="12">
        <f t="shared" si="10"/>
        <v>0.23656875607424321</v>
      </c>
      <c r="R47" s="12">
        <f t="shared" si="11"/>
        <v>0</v>
      </c>
      <c r="S47" s="12">
        <f t="shared" si="11"/>
        <v>0.17859207834322344</v>
      </c>
      <c r="T47" s="12">
        <f t="shared" si="11"/>
        <v>2.9172324262086162E-3</v>
      </c>
      <c r="U47" s="12">
        <f t="shared" si="11"/>
        <v>0.10188766138156501</v>
      </c>
      <c r="V47" s="12">
        <f t="shared" si="12"/>
        <v>0.19714125001324792</v>
      </c>
      <c r="W47" s="4">
        <f>SUMIFS('Modeling - Base Estimates'!AK:AK,'Modeling - Base Estimates'!A:A,A47)</f>
        <v>5058564.3783659283</v>
      </c>
      <c r="X47" s="4">
        <f>(W47*N47*(1-N$2))+(W47*O47*(1-'Modeling - Base Estimates'!$AA$51-N$2))+(W47*P47*(1-'Modeling - Base Estimates'!$AE$51))+(W47*Q47*(1-Q$2))+(W47*R47*(1-R$2))+(W47*S47*(1-S$2))+(W47*T47*(1-T$2))+(W47*U47*(1-U$2))+(W47*V47*(1-V$2))</f>
        <v>4802280.5197422216</v>
      </c>
      <c r="Y47" s="5">
        <f>X47*N47*SUMIFS('Modeling - Base Estimates'!AN:AN,'Modeling - Base Estimates'!A:A,A47)</f>
        <v>3604.8818421414512</v>
      </c>
      <c r="Z47" s="4">
        <f t="shared" si="5"/>
        <v>4798675.6379000805</v>
      </c>
      <c r="AA47" s="4">
        <f>(((W47*N47*(1-N$2))/X47)*X47)-Y47-(((SUMIFS('Modeling - Base Estimates'!X:X,'Modeling - Base Estimates'!A:A,A47)*N47*(1-N$2))/SUMIFS('Modeling - Base Estimates'!Z:Z,'Modeling - Base Estimates'!A:A,A47))*SUMIFS('Modeling - Base Estimates'!Z:Z,'Modeling - Base Estimates'!A:A,A47))</f>
        <v>2.0137606669450179</v>
      </c>
      <c r="AB47" s="4"/>
      <c r="AC47" s="18">
        <f>1-((((W47*O47*(1-N$2-'Modeling - Base Estimates'!$AA$51))/X47)*X47)/('Modeling - Base Estimates'!X47*'Modeling - Base Estimates'!P47))</f>
        <v>-2.4450166411817964E-2</v>
      </c>
      <c r="AD47" s="18">
        <f t="shared" si="33"/>
        <v>-0.10145016641181796</v>
      </c>
      <c r="AE47" s="18">
        <f>1-((((W47*P47*(1-'Modeling - Base Estimates'!$AE$51))/X47)*X47)/(SUMIFS('Modeling - Base Estimates'!X:X,'Modeling - Base Estimates'!A:A,A47)*'Modeling - Base Estimates'!Q47))</f>
        <v>0.20001124668262238</v>
      </c>
      <c r="AF47" s="18">
        <f t="shared" si="34"/>
        <v>0.12301124668262238</v>
      </c>
      <c r="AG47" s="18">
        <f>$N47*(1-$N$2)+$O47*(1-$N$2-'Modeling - Base Estimates'!$AA$51)+$P47*(1-'Modeling - Base Estimates'!$AE$51)+$Q47*(1-$Q$2)+$R47*(1-$R$2)+$S47*(1-$S$2)+$T47*(1-$T$2)+$U47*(1-$U$2)+$V47*(1-$V$2)</f>
        <v>0.94933664188998734</v>
      </c>
      <c r="AH47" s="18" t="e">
        <f>$O47*(1-$N$2-#REF!)+$P47*(1-#REF!)+$Q47*(1-$Q$2)+$R47*(1-$R$2)+$S47*(1-$S$2)+$T47*(1-$T$2)+$U47*(1-$U$2)+$V47*(1-$V$2)</f>
        <v>#REF!</v>
      </c>
      <c r="AJ47" s="7">
        <f>(SUMIFS('Modeling - Base Estimates'!$X:$X,'Modeling - Base Estimates'!$A:$A,$A47)*SUMIFS('Modeling - Base Estimates'!O:O,'Modeling - Base Estimates'!$A:$A,$A47)*($N$2))</f>
        <v>87090.245611354054</v>
      </c>
      <c r="AK47" s="7">
        <f>(SUMIFS('Modeling - Base Estimates'!$X:$X,'Modeling - Base Estimates'!$A:$A,$A47)*SUMIFS('Modeling - Base Estimates'!P:P,'Modeling - Base Estimates'!$A:$A,$A47)*($N$2))</f>
        <v>7408.7164558328304</v>
      </c>
      <c r="AL47" s="7">
        <f>(SUMIFS('Modeling - Base Estimates'!$X:$X,'Modeling - Base Estimates'!$A:$A,$A47)*SUMIFS('Modeling - Base Estimates'!Q:Q,'Modeling - Base Estimates'!$A:$A,$A47)*($N$2))</f>
        <v>15311.146945846418</v>
      </c>
      <c r="AM47" s="7">
        <f>(SUMIFS('Modeling - Base Estimates'!$X:$X,'Modeling - Base Estimates'!$A:$A,$A47)*SUMIFS('Modeling - Base Estimates'!R:R,'Modeling - Base Estimates'!$A:$A,$A47)*($N$2))</f>
        <v>91828.496623329018</v>
      </c>
      <c r="AN47" s="7">
        <f>(SUMIFS('Modeling - Base Estimates'!X:X,'Modeling - Base Estimates'!A:A,$A47)*$R47*($R$2))+(SUMIFS('Modeling - Base Estimates'!X:X,'Modeling - Base Estimates'!A:A,$A47)*$S47*($S$2))+(SUMIFS('Modeling - Base Estimates'!X:X,'Modeling - Base Estimates'!A:A,$A47)*$T47*($T$2))+(SUMIFS('Modeling - Base Estimates'!X:X,'Modeling - Base Estimates'!A:A,$A47)*$U47*($U$2))+(SUMIFS('Modeling - Base Estimates'!X:X,'Modeling - Base Estimates'!A:A,$A47)*$V47*($V$2))</f>
        <v>38176.662874721871</v>
      </c>
      <c r="AO47" s="7">
        <f>SUM(AJ47:AN47)-(SUMIFS('Modeling - Base Estimates'!X:X,'Modeling - Base Estimates'!A:A,A47)-SUMIFS('Modeling - Base Estimates'!Z:Z,'Modeling - Base Estimates'!A:A,A47))</f>
        <v>2.9103830456733704E-10</v>
      </c>
      <c r="AQ47" s="7">
        <f t="shared" si="13"/>
        <v>87391.1458945786</v>
      </c>
      <c r="AR47" s="7">
        <f>(W47*$O47*($N$2+'Modeling - Base Estimates'!$AA$51))</f>
        <v>23403.312675992449</v>
      </c>
      <c r="AS47" s="7">
        <f>(W47*P47*('Modeling - Base Estimates'!$AE$51))</f>
        <v>15035.067527278543</v>
      </c>
      <c r="AT47" s="7">
        <f t="shared" si="14"/>
        <v>92145.767753385895</v>
      </c>
      <c r="AU47" s="7">
        <f t="shared" si="15"/>
        <v>38308.564772470956</v>
      </c>
      <c r="AV47" s="5">
        <f t="shared" si="16"/>
        <v>-2.9103830456733704E-10</v>
      </c>
      <c r="AX47" s="7">
        <f>SUMIFS('Modeling - Base Estimates'!X:X,'Modeling - Base Estimates'!A:A,A47)</f>
        <v>5041147.0137281418</v>
      </c>
      <c r="AY47" s="5">
        <f t="shared" si="17"/>
        <v>87090.245611354054</v>
      </c>
      <c r="AZ47" s="5">
        <f t="shared" si="18"/>
        <v>7408.7164558328304</v>
      </c>
      <c r="BA47" s="5">
        <f t="shared" si="19"/>
        <v>15311.146945846418</v>
      </c>
      <c r="BB47" s="5">
        <f t="shared" si="20"/>
        <v>91828.496623329018</v>
      </c>
      <c r="BC47" s="5">
        <f t="shared" si="21"/>
        <v>38176.662874721871</v>
      </c>
      <c r="BD47" s="5">
        <f t="shared" si="22"/>
        <v>4801331.7452170579</v>
      </c>
      <c r="BF47" s="5">
        <f t="shared" si="23"/>
        <v>5058564.3783659283</v>
      </c>
      <c r="BG47" s="5">
        <f t="shared" si="24"/>
        <v>87391.1458945786</v>
      </c>
      <c r="BH47" s="5">
        <f t="shared" si="25"/>
        <v>3604.8818421414512</v>
      </c>
      <c r="BI47" s="5">
        <f t="shared" si="26"/>
        <v>23403.312675992449</v>
      </c>
      <c r="BJ47" s="5">
        <f t="shared" si="27"/>
        <v>15035.067527278543</v>
      </c>
      <c r="BK47" s="5">
        <f t="shared" si="28"/>
        <v>92145.767753385895</v>
      </c>
      <c r="BL47" s="5">
        <f t="shared" si="29"/>
        <v>38308.564772470956</v>
      </c>
      <c r="BM47" s="5">
        <f t="shared" si="30"/>
        <v>4798675.6379000805</v>
      </c>
      <c r="BO47" s="5">
        <f t="shared" si="31"/>
        <v>-2656.1073169773445</v>
      </c>
      <c r="BP47" s="12">
        <f t="shared" si="32"/>
        <v>-5.5320220678841423E-4</v>
      </c>
    </row>
    <row r="48" spans="1:68" x14ac:dyDescent="0.25">
      <c r="A48" s="1">
        <v>333</v>
      </c>
      <c r="B48" s="1">
        <v>210333</v>
      </c>
      <c r="C48" s="4">
        <v>24873230.300000001</v>
      </c>
      <c r="D48" s="4">
        <v>3272952.8</v>
      </c>
      <c r="E48" s="4">
        <f>IF(('Modeling - Base Estimates'!F48/SUM('Modeling - Base Estimates'!F48:G48)+$E$63)&gt;1,SUM('Modeling - Base Estimates'!F48:G48),(('Modeling - Base Estimates'!F48/SUM('Modeling - Base Estimates'!F48:G48)+$E$63))*SUM('Modeling - Base Estimates'!F48:G48))</f>
        <v>701425.13403566962</v>
      </c>
      <c r="F48" s="4">
        <f>SUM('Modeling - Base Estimates'!F48:G48)-E48</f>
        <v>653052.56596433034</v>
      </c>
      <c r="G48" s="4">
        <v>-49828.4</v>
      </c>
      <c r="H48" s="4">
        <v>6163363</v>
      </c>
      <c r="I48" s="4">
        <v>0</v>
      </c>
      <c r="J48" s="4">
        <v>4408470.5999999996</v>
      </c>
      <c r="K48" s="4">
        <v>71935.399999999994</v>
      </c>
      <c r="L48" s="4">
        <v>4423000</v>
      </c>
      <c r="M48" s="4">
        <f t="shared" si="0"/>
        <v>5228859.1999999993</v>
      </c>
      <c r="N48" s="12">
        <f t="shared" si="1"/>
        <v>0.13158535343115443</v>
      </c>
      <c r="O48" s="12">
        <f t="shared" si="2"/>
        <v>2.8200001591094887E-2</v>
      </c>
      <c r="P48" s="12">
        <f t="shared" si="3"/>
        <v>2.6255237381223071E-2</v>
      </c>
      <c r="Q48" s="12">
        <f t="shared" si="10"/>
        <v>0.24578772142836627</v>
      </c>
      <c r="R48" s="12">
        <f t="shared" si="11"/>
        <v>0</v>
      </c>
      <c r="S48" s="12">
        <f t="shared" si="11"/>
        <v>0.17723755808267491</v>
      </c>
      <c r="T48" s="12">
        <f t="shared" si="11"/>
        <v>2.8920811302905031E-3</v>
      </c>
      <c r="U48" s="12">
        <f t="shared" si="11"/>
        <v>0.17782169612283932</v>
      </c>
      <c r="V48" s="12">
        <f t="shared" si="12"/>
        <v>0.21022035083235646</v>
      </c>
      <c r="W48" s="4">
        <f>SUMIFS('Modeling - Base Estimates'!AK:AK,'Modeling - Base Estimates'!A:A,A48)</f>
        <v>13258993.388533849</v>
      </c>
      <c r="X48" s="4">
        <f>(W48*N48*(1-N$2))+(W48*O48*(1-'Modeling - Base Estimates'!$AA$51-N$2))+(W48*P48*(1-'Modeling - Base Estimates'!$AE$51))+(W48*Q48*(1-Q$2))+(W48*R48*(1-R$2))+(W48*S48*(1-S$2))+(W48*T48*(1-T$2))+(W48*U48*(1-U$2))+(W48*V48*(1-V$2))</f>
        <v>12668400.8272455</v>
      </c>
      <c r="Y48" s="5">
        <f>X48*N48*SUMIFS('Modeling - Base Estimates'!AN:AN,'Modeling - Base Estimates'!A:A,A48)</f>
        <v>5760.8710859452194</v>
      </c>
      <c r="Z48" s="4">
        <f t="shared" si="5"/>
        <v>12662639.956159554</v>
      </c>
      <c r="AA48" s="4">
        <f>(((W48*N48*(1-N$2))/X48)*X48)-Y48-(((SUMIFS('Modeling - Base Estimates'!X:X,'Modeling - Base Estimates'!A:A,A48)*N48*(1-N$2))/SUMIFS('Modeling - Base Estimates'!Z:Z,'Modeling - Base Estimates'!A:A,A48))*SUMIFS('Modeling - Base Estimates'!Z:Z,'Modeling - Base Estimates'!A:A,A48))</f>
        <v>2.9748701825737953</v>
      </c>
      <c r="AB48" s="4"/>
      <c r="AC48" s="18">
        <f>1-((((W48*O48*(1-N$2-'Modeling - Base Estimates'!$AA$51))/X48)*X48)/('Modeling - Base Estimates'!X48*'Modeling - Base Estimates'!P48))</f>
        <v>2.7763340125536495E-2</v>
      </c>
      <c r="AD48" s="18">
        <f t="shared" si="33"/>
        <v>-4.9236659874463504E-2</v>
      </c>
      <c r="AE48" s="18">
        <f>1-((((W48*P48*(1-'Modeling - Base Estimates'!$AE$51))/X48)*X48)/(SUMIFS('Modeling - Base Estimates'!X:X,'Modeling - Base Estimates'!A:A,A48)*'Modeling - Base Estimates'!Q48))</f>
        <v>0.22168396545037306</v>
      </c>
      <c r="AF48" s="18">
        <f t="shared" si="34"/>
        <v>0.14468396545037304</v>
      </c>
      <c r="AG48" s="18">
        <f>$N48*(1-$N$2)+$O48*(1-$N$2-'Modeling - Base Estimates'!$AA$51)+$P48*(1-'Modeling - Base Estimates'!$AE$51)+$Q48*(1-$Q$2)+$R48*(1-$R$2)+$S48*(1-$S$2)+$T48*(1-$T$2)+$U48*(1-$U$2)+$V48*(1-$V$2)</f>
        <v>0.95545720976080395</v>
      </c>
      <c r="AH48" s="18" t="e">
        <f>$O48*(1-$N$2-#REF!)+$P48*(1-#REF!)+$Q48*(1-$Q$2)+$R48*(1-$R$2)+$S48*(1-$S$2)+$T48*(1-$T$2)+$U48*(1-$U$2)+$V48*(1-$V$2)</f>
        <v>#REF!</v>
      </c>
      <c r="AJ48" s="7">
        <f>(SUMIFS('Modeling - Base Estimates'!$X:$X,'Modeling - Base Estimates'!$A:$A,$A48)*SUMIFS('Modeling - Base Estimates'!O:O,'Modeling - Base Estimates'!$A:$A,$A48)*($N$2))</f>
        <v>133860.2376132964</v>
      </c>
      <c r="AK48" s="7">
        <f>(SUMIFS('Modeling - Base Estimates'!$X:$X,'Modeling - Base Estimates'!$A:$A,$A48)*SUMIFS('Modeling - Base Estimates'!P:P,'Modeling - Base Estimates'!$A:$A,$A48)*($N$2))</f>
        <v>23930.845130049634</v>
      </c>
      <c r="AL48" s="7">
        <f>(SUMIFS('Modeling - Base Estimates'!$X:$X,'Modeling - Base Estimates'!$A:$A,$A48)*SUMIFS('Modeling - Base Estimates'!Q:Q,'Modeling - Base Estimates'!$A:$A,$A48)*($N$2))</f>
        <v>31465.831156852881</v>
      </c>
      <c r="AM48" s="7">
        <f>(SUMIFS('Modeling - Base Estimates'!$X:$X,'Modeling - Base Estimates'!$A:$A,$A48)*SUMIFS('Modeling - Base Estimates'!R:R,'Modeling - Base Estimates'!$A:$A,$A48)*($N$2))</f>
        <v>250036.96790650598</v>
      </c>
      <c r="AN48" s="7">
        <f>(SUMIFS('Modeling - Base Estimates'!X:X,'Modeling - Base Estimates'!A:A,$A48)*$R48*($R$2))+(SUMIFS('Modeling - Base Estimates'!X:X,'Modeling - Base Estimates'!A:A,$A48)*$S48*($S$2))+(SUMIFS('Modeling - Base Estimates'!X:X,'Modeling - Base Estimates'!A:A,$A48)*$T48*($T$2))+(SUMIFS('Modeling - Base Estimates'!X:X,'Modeling - Base Estimates'!A:A,$A48)*$U48*($U$2))+(SUMIFS('Modeling - Base Estimates'!X:X,'Modeling - Base Estimates'!A:A,$A48)*$V48*($V$2))</f>
        <v>103142.45953870963</v>
      </c>
      <c r="AO48" s="7">
        <f>SUM(AJ48:AN48)-(SUMIFS('Modeling - Base Estimates'!X:X,'Modeling - Base Estimates'!A:A,A48)-SUMIFS('Modeling - Base Estimates'!Z:Z,'Modeling - Base Estimates'!A:A,A48))</f>
        <v>-1.862645149230957E-9</v>
      </c>
      <c r="AQ48" s="7">
        <f t="shared" si="13"/>
        <v>134341.0785002106</v>
      </c>
      <c r="AR48" s="7">
        <f>(W48*$O48*($N$2+'Modeling - Base Estimates'!$AA$51))</f>
        <v>71742.012091769531</v>
      </c>
      <c r="AS48" s="7">
        <f>(W48*P48*('Modeling - Base Estimates'!$AE$51))</f>
        <v>30061.383399947634</v>
      </c>
      <c r="AT48" s="7">
        <f t="shared" si="14"/>
        <v>250935.12855191613</v>
      </c>
      <c r="AU48" s="7">
        <f t="shared" si="15"/>
        <v>103512.95874450353</v>
      </c>
      <c r="AV48" s="5">
        <f t="shared" si="16"/>
        <v>-1.862645149230957E-9</v>
      </c>
      <c r="AX48" s="7">
        <f>SUMIFS('Modeling - Base Estimates'!X:X,'Modeling - Base Estimates'!A:A,A48)</f>
        <v>13211536.079036944</v>
      </c>
      <c r="AY48" s="5">
        <f t="shared" si="17"/>
        <v>133860.2376132964</v>
      </c>
      <c r="AZ48" s="5">
        <f t="shared" si="18"/>
        <v>23930.845130049634</v>
      </c>
      <c r="BA48" s="5">
        <f t="shared" si="19"/>
        <v>31465.831156852881</v>
      </c>
      <c r="BB48" s="5">
        <f t="shared" si="20"/>
        <v>250036.96790650598</v>
      </c>
      <c r="BC48" s="5">
        <f t="shared" si="21"/>
        <v>103142.45953870963</v>
      </c>
      <c r="BD48" s="5">
        <f t="shared" si="22"/>
        <v>12669099.737691529</v>
      </c>
      <c r="BF48" s="5">
        <f t="shared" si="23"/>
        <v>13258993.388533849</v>
      </c>
      <c r="BG48" s="5">
        <f t="shared" si="24"/>
        <v>134341.0785002106</v>
      </c>
      <c r="BH48" s="5">
        <f t="shared" si="25"/>
        <v>5760.8710859452194</v>
      </c>
      <c r="BI48" s="5">
        <f t="shared" si="26"/>
        <v>71742.012091769531</v>
      </c>
      <c r="BJ48" s="5">
        <f t="shared" si="27"/>
        <v>30061.383399947634</v>
      </c>
      <c r="BK48" s="5">
        <f t="shared" si="28"/>
        <v>250935.12855191613</v>
      </c>
      <c r="BL48" s="5">
        <f t="shared" si="29"/>
        <v>103512.95874450353</v>
      </c>
      <c r="BM48" s="5">
        <f t="shared" si="30"/>
        <v>12662639.956159556</v>
      </c>
      <c r="BO48" s="5">
        <f t="shared" si="31"/>
        <v>-6459.7815319728106</v>
      </c>
      <c r="BP48" s="12">
        <f t="shared" si="32"/>
        <v>-5.0988481152725257E-4</v>
      </c>
    </row>
    <row r="49" spans="1:70" x14ac:dyDescent="0.25">
      <c r="A49" s="1">
        <v>8992</v>
      </c>
      <c r="B49" s="1">
        <v>218992</v>
      </c>
      <c r="C49" s="4">
        <v>285922097.10000002</v>
      </c>
      <c r="D49" s="4">
        <v>62444487.100000001</v>
      </c>
      <c r="E49" s="4">
        <f>IF(('Modeling - Base Estimates'!F49/SUM('Modeling - Base Estimates'!F49:G49)+$E$63)&gt;1,SUM('Modeling - Base Estimates'!F49:G49),(('Modeling - Base Estimates'!F49/SUM('Modeling - Base Estimates'!F49:G49)+$E$63))*SUM('Modeling - Base Estimates'!F49:G49))</f>
        <v>15075002.863221167</v>
      </c>
      <c r="F49" s="4">
        <f>SUM('Modeling - Base Estimates'!F49:G49)-E49</f>
        <v>17425663.53677883</v>
      </c>
      <c r="G49" s="4">
        <v>27585714.599999998</v>
      </c>
      <c r="H49" s="4">
        <v>62453304.199999996</v>
      </c>
      <c r="I49" s="4">
        <v>30350576.300000001</v>
      </c>
      <c r="J49" s="4">
        <v>4638282.5999999996</v>
      </c>
      <c r="K49" s="4">
        <v>463298.2</v>
      </c>
      <c r="L49" s="4">
        <v>12584000</v>
      </c>
      <c r="M49" s="4">
        <f t="shared" si="0"/>
        <v>52901767.700000048</v>
      </c>
      <c r="N49" s="12">
        <f t="shared" si="1"/>
        <v>0.21839685611343396</v>
      </c>
      <c r="O49" s="12">
        <f t="shared" si="2"/>
        <v>5.2724161637457315E-2</v>
      </c>
      <c r="P49" s="12">
        <f t="shared" si="3"/>
        <v>6.0945494292049346E-2</v>
      </c>
      <c r="Q49" s="12">
        <f t="shared" si="10"/>
        <v>0.31490752101090402</v>
      </c>
      <c r="R49" s="12">
        <f t="shared" si="11"/>
        <v>0.10614981006307118</v>
      </c>
      <c r="S49" s="12">
        <f t="shared" si="11"/>
        <v>1.6222190054718928E-2</v>
      </c>
      <c r="T49" s="12">
        <f t="shared" si="11"/>
        <v>1.62036514385932E-3</v>
      </c>
      <c r="U49" s="12">
        <f t="shared" si="11"/>
        <v>4.4011988327012024E-2</v>
      </c>
      <c r="V49" s="12">
        <f t="shared" si="12"/>
        <v>0.18502161335749395</v>
      </c>
      <c r="W49" s="4">
        <f>SUMIFS('Modeling - Base Estimates'!AK:AK,'Modeling - Base Estimates'!A:A,A49)</f>
        <v>158134609.52560094</v>
      </c>
      <c r="X49" s="4">
        <f>(W49*N49*(1-N$2))+(W49*O49*(1-'Modeling - Base Estimates'!$AA$51-N$2))+(W49*P49*(1-'Modeling - Base Estimates'!$AE$51))+(W49*Q49*(1-Q$2))+(W49*R49*(1-R$2))+(W49*S49*(1-S$2))+(W49*T49*(1-T$2))+(W49*U49*(1-U$2))+(W49*V49*(1-V$2))</f>
        <v>148189631.24014005</v>
      </c>
      <c r="Y49" s="5">
        <f>X49*N49*SUMIFS('Modeling - Base Estimates'!AN:AN,'Modeling - Base Estimates'!A:A,A49)</f>
        <v>240668.54471419868</v>
      </c>
      <c r="Z49" s="4">
        <f t="shared" si="5"/>
        <v>147948962.69542584</v>
      </c>
      <c r="AA49" s="4">
        <f>(((W49*N49*(1-N$2))/X49)*X49)-Y49-(((SUMIFS('Modeling - Base Estimates'!X:X,'Modeling - Base Estimates'!A:A,A49)*N49*(1-N$2))/SUMIFS('Modeling - Base Estimates'!Z:Z,'Modeling - Base Estimates'!A:A,A49))*SUMIFS('Modeling - Base Estimates'!Z:Z,'Modeling - Base Estimates'!A:A,A49))</f>
        <v>264.49923845380545</v>
      </c>
      <c r="AB49" s="4"/>
      <c r="AC49" s="18">
        <f>1-((((W49*O49*(1-N$2-'Modeling - Base Estimates'!$AA$51))/X49)*X49)/('Modeling - Base Estimates'!X49*'Modeling - Base Estimates'!P49))</f>
        <v>7.332119935464787E-4</v>
      </c>
      <c r="AD49" s="18">
        <f t="shared" si="33"/>
        <v>-7.626678800645352E-2</v>
      </c>
      <c r="AE49" s="18">
        <f>1-((((W49*P49*(1-'Modeling - Base Estimates'!$AE$51))/X49)*X49)/(SUMIFS('Modeling - Base Estimates'!X:X,'Modeling - Base Estimates'!A:A,A49)*'Modeling - Base Estimates'!Q49))</f>
        <v>0.20647752109345785</v>
      </c>
      <c r="AF49" s="18">
        <f t="shared" si="34"/>
        <v>0.12947752109345784</v>
      </c>
      <c r="AG49" s="18">
        <f>$N49*(1-$N$2)+$O49*(1-$N$2-'Modeling - Base Estimates'!$AA$51)+$P49*(1-'Modeling - Base Estimates'!$AE$51)+$Q49*(1-$Q$2)+$R49*(1-$R$2)+$S49*(1-$S$2)+$T49*(1-$T$2)+$U49*(1-$U$2)+$V49*(1-$V$2)</f>
        <v>0.93711067858392583</v>
      </c>
      <c r="AH49" s="18" t="e">
        <f>$O49*(1-$N$2-#REF!)+$P49*(1-#REF!)+$Q49*(1-$Q$2)+$R49*(1-$R$2)+$S49*(1-$S$2)+$T49*(1-$T$2)+$U49*(1-$U$2)+$V49*(1-$V$2)</f>
        <v>#REF!</v>
      </c>
      <c r="AJ49" s="7">
        <f>(SUMIFS('Modeling - Base Estimates'!$X:$X,'Modeling - Base Estimates'!$A:$A,$A49)*SUMIFS('Modeling - Base Estimates'!O:O,'Modeling - Base Estimates'!$A:$A,$A49)*($N$2))</f>
        <v>2639180.3139847396</v>
      </c>
      <c r="AK49" s="7">
        <f>(SUMIFS('Modeling - Base Estimates'!$X:$X,'Modeling - Base Estimates'!$A:$A,$A49)*SUMIFS('Modeling - Base Estimates'!P:P,'Modeling - Base Estimates'!$A:$A,$A49)*($N$2))</f>
        <v>519189.0235658529</v>
      </c>
      <c r="AL49" s="7">
        <f>(SUMIFS('Modeling - Base Estimates'!$X:$X,'Modeling - Base Estimates'!$A:$A,$A49)*SUMIFS('Modeling - Base Estimates'!Q:Q,'Modeling - Base Estimates'!$A:$A,$A49)*($N$2))</f>
        <v>854432.93952118582</v>
      </c>
      <c r="AM49" s="7">
        <f>(SUMIFS('Modeling - Base Estimates'!$X:$X,'Modeling - Base Estimates'!$A:$A,$A49)*SUMIFS('Modeling - Base Estimates'!R:R,'Modeling - Base Estimates'!$A:$A,$A49)*($N$2))</f>
        <v>3805447.317181373</v>
      </c>
      <c r="AN49" s="7">
        <f>(SUMIFS('Modeling - Base Estimates'!X:X,'Modeling - Base Estimates'!A:A,$A49)*$R49*($R$2))+(SUMIFS('Modeling - Base Estimates'!X:X,'Modeling - Base Estimates'!A:A,$A49)*$S49*($S$2))+(SUMIFS('Modeling - Base Estimates'!X:X,'Modeling - Base Estimates'!A:A,$A49)*$T49*($T$2))+(SUMIFS('Modeling - Base Estimates'!X:X,'Modeling - Base Estimates'!A:A,$A49)*$U49*($U$2))+(SUMIFS('Modeling - Base Estimates'!X:X,'Modeling - Base Estimates'!A:A,$A49)*$V49*($V$2))</f>
        <v>1011577.0114887555</v>
      </c>
      <c r="AO49" s="7">
        <f>SUM(AJ49:AN49)-(SUMIFS('Modeling - Base Estimates'!X:X,'Modeling - Base Estimates'!A:A,A49)-SUMIFS('Modeling - Base Estimates'!Z:Z,'Modeling - Base Estimates'!A:A,A49))</f>
        <v>1.862645149230957E-8</v>
      </c>
      <c r="AQ49" s="7">
        <f t="shared" si="13"/>
        <v>2659279.8203599881</v>
      </c>
      <c r="AR49" s="7">
        <f>(W49*$O49*($N$2+'Modeling - Base Estimates'!$AA$51))</f>
        <v>1599743.9605474002</v>
      </c>
      <c r="AS49" s="7">
        <f>(W49*P49*('Modeling - Base Estimates'!$AE$51))</f>
        <v>832244.61457829014</v>
      </c>
      <c r="AT49" s="7">
        <f t="shared" si="14"/>
        <v>3834428.8961235397</v>
      </c>
      <c r="AU49" s="7">
        <f t="shared" si="15"/>
        <v>1019280.9938516639</v>
      </c>
      <c r="AV49" s="5">
        <f t="shared" si="16"/>
        <v>0</v>
      </c>
      <c r="AX49" s="7">
        <f>SUMIFS('Modeling - Base Estimates'!X:X,'Modeling - Base Estimates'!A:A,A49)</f>
        <v>156939388.3352724</v>
      </c>
      <c r="AY49" s="5">
        <f t="shared" si="17"/>
        <v>2639180.3139847396</v>
      </c>
      <c r="AZ49" s="5">
        <f t="shared" si="18"/>
        <v>519189.0235658529</v>
      </c>
      <c r="BA49" s="5">
        <f t="shared" si="19"/>
        <v>854432.93952118582</v>
      </c>
      <c r="BB49" s="5">
        <f t="shared" si="20"/>
        <v>3805447.317181373</v>
      </c>
      <c r="BC49" s="5">
        <f t="shared" si="21"/>
        <v>1011577.0114887555</v>
      </c>
      <c r="BD49" s="5">
        <f t="shared" si="22"/>
        <v>148109561.72953048</v>
      </c>
      <c r="BF49" s="5">
        <f t="shared" si="23"/>
        <v>158134609.52560094</v>
      </c>
      <c r="BG49" s="5">
        <f t="shared" si="24"/>
        <v>2659279.8203599881</v>
      </c>
      <c r="BH49" s="5">
        <f t="shared" si="25"/>
        <v>240668.54471419868</v>
      </c>
      <c r="BI49" s="5">
        <f t="shared" si="26"/>
        <v>1599743.9605474002</v>
      </c>
      <c r="BJ49" s="5">
        <f t="shared" si="27"/>
        <v>832244.61457829014</v>
      </c>
      <c r="BK49" s="5">
        <f t="shared" si="28"/>
        <v>3834428.8961235397</v>
      </c>
      <c r="BL49" s="5">
        <f t="shared" si="29"/>
        <v>1019280.9938516639</v>
      </c>
      <c r="BM49" s="5">
        <f t="shared" si="30"/>
        <v>147948962.69542587</v>
      </c>
      <c r="BO49" s="5">
        <f t="shared" si="31"/>
        <v>-160599.03410461545</v>
      </c>
      <c r="BP49" s="12">
        <f t="shared" si="32"/>
        <v>-1.0843259019150469E-3</v>
      </c>
    </row>
    <row r="50" spans="1:70" x14ac:dyDescent="0.25">
      <c r="W50" s="4"/>
      <c r="X50" s="4"/>
      <c r="Y50" s="7"/>
      <c r="Z50" s="4"/>
      <c r="AA50" s="4"/>
      <c r="AB50" s="4"/>
      <c r="AC50" s="18"/>
      <c r="AD50" s="18"/>
      <c r="AE50" s="18"/>
      <c r="AF50" s="18"/>
      <c r="AG50" s="18"/>
      <c r="AH50" s="18"/>
    </row>
    <row r="51" spans="1:70" x14ac:dyDescent="0.25">
      <c r="A51" s="3" t="s">
        <v>50</v>
      </c>
      <c r="C51" s="5">
        <f t="shared" ref="C51:M51" si="35">SUM(C5:C49)</f>
        <v>20859879502.200001</v>
      </c>
      <c r="D51" s="5">
        <f t="shared" si="35"/>
        <v>6547498664.4000034</v>
      </c>
      <c r="E51" s="5">
        <f t="shared" si="35"/>
        <v>1288405551.7849998</v>
      </c>
      <c r="F51" s="5">
        <f t="shared" si="35"/>
        <v>1054149996.915</v>
      </c>
      <c r="G51" s="5">
        <f t="shared" si="35"/>
        <v>809549649.19999993</v>
      </c>
      <c r="H51" s="5">
        <f t="shared" si="35"/>
        <v>3440281653.6999998</v>
      </c>
      <c r="I51" s="5">
        <f t="shared" si="35"/>
        <v>1327048884.1999996</v>
      </c>
      <c r="J51" s="5">
        <f t="shared" si="35"/>
        <v>1507094294.9000001</v>
      </c>
      <c r="K51" s="5">
        <f t="shared" si="35"/>
        <v>80239814.299999982</v>
      </c>
      <c r="L51" s="5">
        <f t="shared" si="35"/>
        <v>821793065.19999981</v>
      </c>
      <c r="M51" s="5">
        <f t="shared" si="35"/>
        <v>3983817927.6000004</v>
      </c>
      <c r="N51" s="12">
        <f>D51/$C51</f>
        <v>0.31387998495913971</v>
      </c>
      <c r="O51" s="12">
        <f>E51/$C51</f>
        <v>6.1764764827578096E-2</v>
      </c>
      <c r="P51" s="12">
        <f>F51/$C51</f>
        <v>5.0534807586200263E-2</v>
      </c>
      <c r="Q51" s="12">
        <f t="shared" ref="Q51" si="36">(G51+H51)/$C51</f>
        <v>0.20373230355677693</v>
      </c>
      <c r="R51" s="12">
        <f t="shared" ref="R51" si="37">I51/$C51</f>
        <v>6.3617284273384297E-2</v>
      </c>
      <c r="S51" s="12">
        <f t="shared" ref="S51" si="38">J51/$C51</f>
        <v>7.2248465996222727E-2</v>
      </c>
      <c r="T51" s="12">
        <f t="shared" ref="T51" si="39">K51/$C51</f>
        <v>3.8466096744009205E-3</v>
      </c>
      <c r="U51" s="12">
        <f t="shared" ref="U51" si="40">L51/$C51</f>
        <v>3.9395868279743847E-2</v>
      </c>
      <c r="V51" s="12">
        <f t="shared" ref="V51" si="41">(M51)/$C51</f>
        <v>0.19097991084655327</v>
      </c>
      <c r="W51" s="4">
        <f>SUM(W5:W49)</f>
        <v>11647330065.614653</v>
      </c>
      <c r="X51" s="4">
        <f t="shared" ref="X51:AA51" si="42">SUM(X5:X49)</f>
        <v>10915365546.612576</v>
      </c>
      <c r="Y51" s="4">
        <f t="shared" si="42"/>
        <v>34696140.70533219</v>
      </c>
      <c r="Z51" s="4">
        <f t="shared" si="42"/>
        <v>10880669405.907238</v>
      </c>
      <c r="AA51" s="4">
        <f t="shared" si="42"/>
        <v>45509.565909799305</v>
      </c>
      <c r="AB51" s="4"/>
      <c r="AC51" s="18">
        <f>1-((((W51*O51*(1-N$2-'Modeling - Base Estimates'!$AA$51))/X51)*X51)/('Modeling - Base Estimates'!X51*'Modeling - Base Estimates'!P51))</f>
        <v>3.2563480799994493E-2</v>
      </c>
      <c r="AD51" s="18">
        <f t="shared" ref="AD51" si="43">AC51-$N$2</f>
        <v>-4.4436519200005506E-2</v>
      </c>
      <c r="AE51" s="18">
        <f>1-((((W51*P51*(1-'Modeling - Base Estimates'!$AE$51))/X51)*X51)/('Modeling - Base Estimates'!X51*'Modeling - Base Estimates'!Q51))</f>
        <v>0.2248995609210187</v>
      </c>
      <c r="AF51" s="18">
        <f t="shared" ref="AF51" si="44">AE51-$N$2</f>
        <v>0.14789956092101869</v>
      </c>
      <c r="AG51" s="18">
        <f>$N51*(1-$N$2)+$O51*(1-$N$2-'Modeling - Base Estimates'!$AA$51)+$P51*(1-'Modeling - Base Estimates'!$AE$51)+$Q51*(1-$Q$2)+$R51*(1-$R$2)+$S51*(1-$S$2)+$T51*(1-$T$2)+$U51*(1-$U$2)+$V51*(1-$V$2)</f>
        <v>0.9371560916617192</v>
      </c>
      <c r="AH51" s="18" t="e">
        <f>$O51*(1-$N$2-#REF!)+$P51*(1-#REF!)+$Q51*(1-$Q$2)+$R51*(1-$R$2)+$S51*(1-$S$2)+$T51*(1-$T$2)+$U51*(1-$U$2)+$V51*(1-$V$2)</f>
        <v>#REF!</v>
      </c>
      <c r="AJ51" s="7">
        <f>('Modeling - Base Estimates'!$X51*'Modeling - Base Estimates'!O51)*($N$2)</f>
        <v>278648744.7068252</v>
      </c>
      <c r="AK51" s="7">
        <f>('Modeling - Base Estimates'!$X51*'Modeling - Base Estimates'!P51)*($N$2)</f>
        <v>46271655.713391773</v>
      </c>
      <c r="AL51" s="7">
        <f>('Modeling - Base Estimates'!$X51*'Modeling - Base Estimates'!Q51)*($N$2)</f>
        <v>53422929.426486149</v>
      </c>
      <c r="AM51" s="7">
        <f>('Modeling - Base Estimates'!$X51*'Modeling - Base Estimates'!R51)*($N$2)</f>
        <v>180864513.07086664</v>
      </c>
      <c r="AN51" s="7">
        <f>('Modeling - Base Estimates'!X51*$R51*($R$2))+('Modeling - Base Estimates'!X51*$S51*($S$2))+('Modeling - Base Estimates'!X51*$T51*($T$2))+('Modeling - Base Estimates'!X51*$U51*($U$2))+('Modeling - Base Estimates'!X51*$V51*($V$2))</f>
        <v>78086629.361523464</v>
      </c>
      <c r="AO51" s="7">
        <f>SUM(AO5:AO49)</f>
        <v>3.5407720133662224E-7</v>
      </c>
      <c r="AQ51" s="7">
        <f t="shared" ref="AQ51" si="45">(W51*$N51*($N$2))</f>
        <v>281501511.50731325</v>
      </c>
      <c r="AR51" s="7">
        <f>(W51*$O51*($N$2+'Modeling - Base Estimates'!$AA$51))</f>
        <v>138032400.54089758</v>
      </c>
      <c r="AS51" s="7">
        <f>(W51*P51*('Modeling - Base Estimates'!$AE$51))</f>
        <v>50827583.03990756</v>
      </c>
      <c r="AT51" s="7">
        <f t="shared" ref="AT51" si="46">(W51*$Q51*($Q$2))</f>
        <v>182716178.610641</v>
      </c>
      <c r="AU51" s="7">
        <f t="shared" ref="AU51" si="47">(W51*$R51*($R$2))+(W51*$S51*($S$2))+(W51*$T51*($T$2))+(W51*$U51*($U$2))+(W51*$V51*($V$2))</f>
        <v>78886069.330431074</v>
      </c>
      <c r="AV51" s="7">
        <f t="shared" ref="AV51" si="48">SUM(AV5:AV49)</f>
        <v>4.7095818445086479E-7</v>
      </c>
      <c r="AX51" s="5">
        <f>SUM(AX5:AX49)</f>
        <v>11529294761.478643</v>
      </c>
      <c r="AY51" s="5">
        <f>AJ51</f>
        <v>278648744.7068252</v>
      </c>
      <c r="AZ51" s="5">
        <f t="shared" ref="AZ51:BC51" si="49">AK51</f>
        <v>46271655.713391773</v>
      </c>
      <c r="BA51" s="5">
        <f t="shared" si="49"/>
        <v>53422929.426486149</v>
      </c>
      <c r="BB51" s="5">
        <f t="shared" si="49"/>
        <v>180864513.07086664</v>
      </c>
      <c r="BC51" s="5">
        <f t="shared" si="49"/>
        <v>78086629.361523464</v>
      </c>
      <c r="BD51" s="5">
        <f t="shared" ref="BD51:BF51" si="50">SUM(BD5:BD49)</f>
        <v>10892258817.33247</v>
      </c>
      <c r="BF51" s="5">
        <f t="shared" si="50"/>
        <v>11647330065.614653</v>
      </c>
      <c r="BG51" s="5">
        <f t="shared" si="24"/>
        <v>281501511.50731325</v>
      </c>
      <c r="BH51" s="5">
        <f>Y51</f>
        <v>34696140.70533219</v>
      </c>
      <c r="BI51" s="5">
        <f>AR51</f>
        <v>138032400.54089758</v>
      </c>
      <c r="BJ51" s="5">
        <f t="shared" ref="BJ51:BL51" si="51">AS51</f>
        <v>50827583.03990756</v>
      </c>
      <c r="BK51" s="5">
        <f t="shared" si="51"/>
        <v>182716178.610641</v>
      </c>
      <c r="BL51" s="5">
        <f t="shared" si="51"/>
        <v>78886069.330431074</v>
      </c>
      <c r="BM51" s="5">
        <f t="shared" si="30"/>
        <v>10880670181.880131</v>
      </c>
      <c r="BO51" s="16">
        <f>SUM(BO5:BO49)</f>
        <v>-11589411.425229719</v>
      </c>
      <c r="BP51" s="12">
        <f>BO51/BD51</f>
        <v>-1.0640044108011731E-3</v>
      </c>
    </row>
    <row r="52" spans="1:70" ht="17.25" customHeight="1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12"/>
      <c r="O52" s="12"/>
      <c r="P52" s="12"/>
      <c r="Q52" s="12"/>
      <c r="R52" s="12"/>
      <c r="S52" s="12"/>
      <c r="T52" s="12"/>
      <c r="U52" s="12"/>
      <c r="V52" s="12"/>
      <c r="W52" s="5"/>
      <c r="X52" s="5"/>
      <c r="Y52" s="5"/>
      <c r="Z52" s="5"/>
      <c r="AA52" s="4"/>
      <c r="AB52" s="4"/>
      <c r="AC52" s="18"/>
      <c r="AD52" s="18"/>
      <c r="AE52" s="18"/>
      <c r="AF52" s="18"/>
      <c r="AG52" s="18"/>
      <c r="AH52" s="18"/>
      <c r="AJ52" s="4"/>
      <c r="AK52" s="4"/>
      <c r="AL52" s="4"/>
      <c r="AM52" s="4"/>
      <c r="AN52" s="4"/>
      <c r="AO52" s="5"/>
      <c r="AQ52" s="4"/>
      <c r="AR52" s="4"/>
      <c r="AS52" s="4"/>
      <c r="AT52" s="4"/>
      <c r="AU52" s="4"/>
      <c r="AV52" s="5"/>
    </row>
    <row r="53" spans="1:70" x14ac:dyDescent="0.25">
      <c r="C53" s="5"/>
      <c r="D53" s="31" t="s">
        <v>47</v>
      </c>
      <c r="E53" s="25">
        <f>SUM('Modeling - Base Estimates'!F51:G51)</f>
        <v>2342555548.6999998</v>
      </c>
      <c r="F53" s="5"/>
      <c r="G53" s="5"/>
      <c r="H53" s="5"/>
      <c r="I53" s="5"/>
      <c r="J53" s="5"/>
      <c r="K53" s="5"/>
      <c r="L53" s="5"/>
      <c r="M53" s="5"/>
      <c r="N53" s="12"/>
      <c r="O53" s="12"/>
      <c r="P53" s="12"/>
      <c r="Q53" s="12"/>
      <c r="R53" s="12"/>
      <c r="S53" s="12"/>
      <c r="T53" s="12"/>
      <c r="U53" s="12"/>
      <c r="V53" s="12"/>
      <c r="W53" s="4"/>
      <c r="X53" s="5"/>
      <c r="Y53" s="5"/>
      <c r="Z53" s="4"/>
      <c r="AA53" s="4"/>
      <c r="AB53" s="4"/>
      <c r="AC53" s="18"/>
      <c r="AD53" s="18"/>
      <c r="AE53" s="18"/>
      <c r="AF53" s="18"/>
      <c r="AG53" s="18"/>
      <c r="AH53" s="18"/>
      <c r="AJ53" s="4"/>
      <c r="AK53" s="4"/>
      <c r="AL53" s="4"/>
      <c r="AM53" s="4"/>
      <c r="AN53" s="4"/>
      <c r="AX53" s="1" t="s">
        <v>89</v>
      </c>
      <c r="AY53" s="5">
        <f>$AX$51*N51</f>
        <v>3618814866.3224049</v>
      </c>
      <c r="AZ53" s="5">
        <f t="shared" ref="AZ53:BB53" si="52">$AX$51*O51</f>
        <v>712104179.57055652</v>
      </c>
      <c r="BA53" s="5">
        <f t="shared" si="52"/>
        <v>582630692.37590992</v>
      </c>
      <c r="BB53" s="5">
        <f t="shared" si="52"/>
        <v>2348889780.1411252</v>
      </c>
      <c r="BC53" s="5">
        <f>AX51-SUM(AY53:BB53)</f>
        <v>4266855243.0686474</v>
      </c>
      <c r="BF53" s="1" t="s">
        <v>89</v>
      </c>
      <c r="BG53" s="5">
        <f>$BF$51*N51</f>
        <v>3655863785.8092628</v>
      </c>
      <c r="BI53" s="5">
        <f>$BF$51*O51</f>
        <v>719394602.37186873</v>
      </c>
      <c r="BJ53" s="5">
        <f t="shared" ref="BJ53:BK53" si="53">$BF$51*P51</f>
        <v>588595583.7588017</v>
      </c>
      <c r="BK53" s="5">
        <f t="shared" si="53"/>
        <v>2372937384.5537791</v>
      </c>
      <c r="BL53" s="5">
        <f>BF51-SUM(BG53:BK53)</f>
        <v>4310538709.1209412</v>
      </c>
    </row>
    <row r="54" spans="1:70" x14ac:dyDescent="0.25">
      <c r="D54" s="1" t="s">
        <v>48</v>
      </c>
      <c r="E54" s="6">
        <f>'Modeling - Base Estimates'!F51/E53</f>
        <v>0.46413409162061975</v>
      </c>
      <c r="W54" s="4"/>
      <c r="X54" s="4"/>
      <c r="Y54" s="7"/>
      <c r="Z54" s="4"/>
      <c r="AA54" s="22"/>
      <c r="AB54" s="22"/>
      <c r="AF54" s="26"/>
      <c r="AX54" s="1" t="s">
        <v>87</v>
      </c>
      <c r="AY54" s="5">
        <f>AY51</f>
        <v>278648744.7068252</v>
      </c>
      <c r="AZ54" s="5">
        <f t="shared" ref="AZ54:BB54" si="54">AZ51</f>
        <v>46271655.713391773</v>
      </c>
      <c r="BA54" s="5">
        <f t="shared" si="54"/>
        <v>53422929.426486149</v>
      </c>
      <c r="BB54" s="5">
        <f t="shared" si="54"/>
        <v>180864513.07086664</v>
      </c>
      <c r="BC54" s="5">
        <f>BC51</f>
        <v>78086629.361523464</v>
      </c>
      <c r="BF54" s="1" t="s">
        <v>87</v>
      </c>
      <c r="BG54" s="5">
        <f>BG51+BH51</f>
        <v>316197652.21264541</v>
      </c>
      <c r="BI54" s="5">
        <f>BI51</f>
        <v>138032400.54089758</v>
      </c>
      <c r="BJ54" s="5">
        <f t="shared" ref="BJ54:BK54" si="55">BJ51</f>
        <v>50827583.03990756</v>
      </c>
      <c r="BK54" s="5">
        <f t="shared" si="55"/>
        <v>182716178.610641</v>
      </c>
      <c r="BL54" s="5">
        <f>BL51</f>
        <v>78886069.330431074</v>
      </c>
    </row>
    <row r="55" spans="1:70" x14ac:dyDescent="0.25">
      <c r="D55" s="1" t="s">
        <v>44</v>
      </c>
      <c r="E55" s="6">
        <f>E54+E63</f>
        <v>0.55000000000000004</v>
      </c>
      <c r="F55" s="1" t="s">
        <v>26</v>
      </c>
      <c r="AA55" s="20"/>
      <c r="AB55" s="20"/>
      <c r="AC55" s="5"/>
      <c r="AD55" s="5"/>
      <c r="AJ55" s="5"/>
      <c r="AK55" s="5"/>
      <c r="AL55" s="5"/>
      <c r="AM55" s="5"/>
      <c r="AN55" s="5"/>
      <c r="AX55" s="1" t="s">
        <v>38</v>
      </c>
      <c r="AY55" s="5">
        <f>AY53-AY54</f>
        <v>3340166121.6155796</v>
      </c>
      <c r="AZ55" s="5">
        <f t="shared" ref="AZ55:BB55" si="56">AZ53-AZ54</f>
        <v>665832523.85716474</v>
      </c>
      <c r="BA55" s="5">
        <f t="shared" si="56"/>
        <v>529207762.94942379</v>
      </c>
      <c r="BB55" s="5">
        <f t="shared" si="56"/>
        <v>2168025267.0702586</v>
      </c>
      <c r="BC55" s="5">
        <f>BC53-BC54</f>
        <v>4188768613.7071238</v>
      </c>
      <c r="BF55" s="1" t="s">
        <v>38</v>
      </c>
      <c r="BG55" s="5">
        <f>BG53-BG54</f>
        <v>3339666133.5966172</v>
      </c>
      <c r="BI55" s="5">
        <f t="shared" ref="BI55:BK55" si="57">BI53-BI54</f>
        <v>581362201.83097112</v>
      </c>
      <c r="BJ55" s="5">
        <f t="shared" si="57"/>
        <v>537768000.71889412</v>
      </c>
      <c r="BK55" s="5">
        <f t="shared" si="57"/>
        <v>2190221205.9431381</v>
      </c>
      <c r="BL55" s="5">
        <f>BL53-BL54</f>
        <v>4231652639.7905102</v>
      </c>
    </row>
    <row r="56" spans="1:70" x14ac:dyDescent="0.25">
      <c r="D56" s="3" t="s">
        <v>49</v>
      </c>
      <c r="E56" s="29">
        <f>E53*E55</f>
        <v>1288405551.7850001</v>
      </c>
      <c r="W56" s="20"/>
      <c r="X56" s="4"/>
      <c r="Y56" s="4"/>
      <c r="Z56" s="4"/>
      <c r="AA56" s="44"/>
      <c r="AB56" s="20"/>
      <c r="AC56" s="5"/>
      <c r="AD56" s="5"/>
      <c r="AE56" s="5"/>
      <c r="BQ56" s="12"/>
      <c r="BR56" s="12"/>
    </row>
    <row r="57" spans="1:70" x14ac:dyDescent="0.25">
      <c r="D57" s="1" t="s">
        <v>26</v>
      </c>
      <c r="E57" s="21">
        <f>E56</f>
        <v>1288405551.7850001</v>
      </c>
      <c r="W57" s="20"/>
      <c r="X57" s="4"/>
      <c r="Y57" s="4"/>
      <c r="Z57" s="4"/>
      <c r="AA57" s="3"/>
      <c r="AC57" s="21"/>
      <c r="AY57" s="6"/>
      <c r="AZ57" s="6"/>
      <c r="BA57" s="6"/>
      <c r="BB57" s="6"/>
      <c r="BF57" s="1" t="s">
        <v>39</v>
      </c>
      <c r="BG57" s="6">
        <f>1-BG55/AY53</f>
        <v>7.7138163469929188E-2</v>
      </c>
      <c r="BI57" s="12">
        <f>1-BI55/AZ53</f>
        <v>0.18359950901907496</v>
      </c>
      <c r="BJ57" s="6">
        <f t="shared" ref="BJ57" si="58">1-BJ55/BA53</f>
        <v>7.7000220283744758E-2</v>
      </c>
      <c r="BK57" s="6">
        <f>1-BK55/BB53</f>
        <v>6.7550455342546556E-2</v>
      </c>
    </row>
    <row r="58" spans="1:70" x14ac:dyDescent="0.25">
      <c r="D58" s="1" t="s">
        <v>27</v>
      </c>
      <c r="E58" s="21">
        <f>E53-E57</f>
        <v>1054149996.9149997</v>
      </c>
      <c r="X58" s="5"/>
      <c r="Y58" s="5"/>
      <c r="AC58" s="12"/>
      <c r="AD58" s="12"/>
      <c r="BQ58" s="12"/>
    </row>
    <row r="59" spans="1:70" x14ac:dyDescent="0.25">
      <c r="X59" s="4"/>
      <c r="Y59" s="5"/>
      <c r="Z59" s="21"/>
      <c r="BF59" s="5"/>
      <c r="BK59" s="1" t="s">
        <v>90</v>
      </c>
      <c r="BL59" s="5">
        <f>BL55-BC55</f>
        <v>42884026.083386421</v>
      </c>
    </row>
    <row r="60" spans="1:70" x14ac:dyDescent="0.25">
      <c r="X60" s="5"/>
      <c r="Y60" s="5"/>
      <c r="Z60" s="21"/>
      <c r="AD60" s="6"/>
      <c r="BK60" s="47"/>
      <c r="BL60" s="47"/>
    </row>
    <row r="61" spans="1:70" x14ac:dyDescent="0.25">
      <c r="D61" s="30" t="s">
        <v>46</v>
      </c>
      <c r="X61" s="5"/>
      <c r="Y61" s="5"/>
      <c r="BK61" s="12">
        <f>BK55/BB55-1</f>
        <v>1.0237859867230137E-2</v>
      </c>
      <c r="BL61" s="12">
        <f>BL55/BC55-1</f>
        <v>1.0237859867230359E-2</v>
      </c>
    </row>
    <row r="62" spans="1:70" x14ac:dyDescent="0.25">
      <c r="X62" s="5"/>
      <c r="Y62" s="5"/>
      <c r="Z62" s="21"/>
      <c r="AA62" s="21"/>
    </row>
    <row r="63" spans="1:70" x14ac:dyDescent="0.25">
      <c r="E63" s="9">
        <v>8.5865908379380296E-2</v>
      </c>
      <c r="F63" s="9"/>
      <c r="G63" s="12"/>
      <c r="X63" s="5"/>
      <c r="Y63" s="5"/>
      <c r="Z63" s="21"/>
      <c r="AA63" s="21"/>
    </row>
    <row r="64" spans="1:70" x14ac:dyDescent="0.25">
      <c r="W64" s="20"/>
      <c r="X64" s="5"/>
      <c r="Y64" s="5"/>
      <c r="Z64" s="4"/>
      <c r="AD64" s="21"/>
      <c r="AE64" s="21"/>
    </row>
    <row r="65" spans="5:26" x14ac:dyDescent="0.25">
      <c r="X65" s="5"/>
      <c r="Y65" s="5"/>
      <c r="Z65" s="21"/>
    </row>
    <row r="66" spans="5:26" x14ac:dyDescent="0.25">
      <c r="E66" s="5"/>
      <c r="X66" s="5"/>
      <c r="Y66" s="5"/>
      <c r="Z66" s="21"/>
    </row>
    <row r="67" spans="5:26" x14ac:dyDescent="0.25">
      <c r="X67" s="5"/>
      <c r="Y67" s="5"/>
    </row>
    <row r="68" spans="5:26" x14ac:dyDescent="0.25">
      <c r="E68" s="33"/>
      <c r="F68" s="34"/>
      <c r="G68" s="4"/>
      <c r="H68" s="4"/>
    </row>
    <row r="69" spans="5:26" x14ac:dyDescent="0.25">
      <c r="G69" s="4"/>
      <c r="H69" s="5"/>
      <c r="X69" s="5"/>
      <c r="Y69" s="5"/>
    </row>
    <row r="70" spans="5:26" x14ac:dyDescent="0.25">
      <c r="G70" s="5"/>
      <c r="H70" s="5"/>
    </row>
    <row r="75" spans="5:26" ht="15.75" x14ac:dyDescent="0.25">
      <c r="H75" s="35"/>
    </row>
    <row r="77" spans="5:26" x14ac:dyDescent="0.25">
      <c r="H77" s="21">
        <f>(('Modeling - Base Estimates'!F5/SUM('Modeling - Base Estimates'!F5:G5)+E63))*G70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F0AD0-FB87-42C7-AC1F-069A4E23BB11}">
  <sheetPr>
    <tabColor theme="5" tint="0.79998168889431442"/>
  </sheetPr>
  <dimension ref="A1:XER75"/>
  <sheetViews>
    <sheetView topLeftCell="A2" zoomScaleNormal="100" workbookViewId="0">
      <pane xSplit="2" ySplit="3" topLeftCell="BA46" activePane="bottomRight" state="frozen"/>
      <selection activeCell="AP57" sqref="AP57"/>
      <selection pane="topRight" activeCell="AP57" sqref="AP57"/>
      <selection pane="bottomLeft" activeCell="AP57" sqref="AP57"/>
      <selection pane="bottomRight" activeCell="BG77" sqref="BG77"/>
    </sheetView>
  </sheetViews>
  <sheetFormatPr defaultRowHeight="15" x14ac:dyDescent="0.25"/>
  <cols>
    <col min="1" max="1" width="8" style="1" bestFit="1" customWidth="1"/>
    <col min="2" max="2" width="7.5703125" style="1" bestFit="1" customWidth="1"/>
    <col min="3" max="3" width="16.140625" style="1" bestFit="1" customWidth="1"/>
    <col min="4" max="4" width="18.5703125" style="1" customWidth="1"/>
    <col min="5" max="5" width="17.42578125" style="1" customWidth="1"/>
    <col min="6" max="6" width="15" style="1" bestFit="1" customWidth="1"/>
    <col min="7" max="7" width="16.85546875" style="1" bestFit="1" customWidth="1"/>
    <col min="8" max="8" width="18.140625" style="1" customWidth="1"/>
    <col min="9" max="10" width="14.28515625" style="1" bestFit="1" customWidth="1"/>
    <col min="11" max="11" width="20.42578125" style="1" customWidth="1"/>
    <col min="12" max="12" width="12.28515625" style="1" customWidth="1"/>
    <col min="13" max="13" width="14.28515625" style="1" bestFit="1" customWidth="1"/>
    <col min="14" max="22" width="13.28515625" style="1" customWidth="1"/>
    <col min="23" max="23" width="19.42578125" style="1" bestFit="1" customWidth="1"/>
    <col min="24" max="24" width="17.28515625" style="1" bestFit="1" customWidth="1"/>
    <col min="25" max="27" width="19" style="1" customWidth="1"/>
    <col min="28" max="28" width="5.28515625" style="1" customWidth="1"/>
    <col min="29" max="29" width="19" style="1" customWidth="1"/>
    <col min="30" max="30" width="22.42578125" style="1" customWidth="1"/>
    <col min="31" max="32" width="19" style="1" customWidth="1"/>
    <col min="33" max="34" width="19" style="1" hidden="1" customWidth="1"/>
    <col min="35" max="35" width="4.7109375" style="1" customWidth="1"/>
    <col min="36" max="36" width="13.28515625" style="1" customWidth="1"/>
    <col min="37" max="37" width="15.28515625" style="1" bestFit="1" customWidth="1"/>
    <col min="38" max="38" width="14.28515625" style="1" bestFit="1" customWidth="1"/>
    <col min="39" max="39" width="14.28515625" style="1" customWidth="1"/>
    <col min="40" max="40" width="15.5703125" style="1" customWidth="1"/>
    <col min="41" max="41" width="14.42578125" style="1" customWidth="1"/>
    <col min="42" max="42" width="9.140625" style="1"/>
    <col min="43" max="43" width="15.140625" style="1" customWidth="1"/>
    <col min="44" max="46" width="12.5703125" style="1" bestFit="1" customWidth="1"/>
    <col min="47" max="47" width="12.5703125" style="1" customWidth="1"/>
    <col min="48" max="48" width="17" style="1" customWidth="1"/>
    <col min="49" max="49" width="9.140625" style="1"/>
    <col min="50" max="50" width="15.28515625" style="1" bestFit="1" customWidth="1"/>
    <col min="51" max="51" width="14.140625" style="1" customWidth="1"/>
    <col min="52" max="55" width="19.5703125" style="1" customWidth="1"/>
    <col min="56" max="56" width="15.28515625" style="1" bestFit="1" customWidth="1"/>
    <col min="57" max="57" width="4.42578125" style="1" customWidth="1"/>
    <col min="58" max="58" width="15.28515625" style="1" bestFit="1" customWidth="1"/>
    <col min="59" max="59" width="14.5703125" style="1" bestFit="1" customWidth="1"/>
    <col min="60" max="60" width="11.5703125" style="1" bestFit="1" customWidth="1"/>
    <col min="61" max="61" width="19.42578125" style="1" bestFit="1" customWidth="1"/>
    <col min="62" max="62" width="22" style="1" bestFit="1" customWidth="1"/>
    <col min="63" max="63" width="15" style="1" customWidth="1"/>
    <col min="64" max="64" width="15.42578125" style="1" customWidth="1"/>
    <col min="65" max="65" width="15.28515625" style="1" bestFit="1" customWidth="1"/>
    <col min="66" max="66" width="4.28515625" style="1" customWidth="1"/>
    <col min="67" max="67" width="13.5703125" style="1" customWidth="1"/>
    <col min="68" max="16384" width="9.140625" style="1"/>
  </cols>
  <sheetData>
    <row r="1" spans="1:16372" x14ac:dyDescent="0.25">
      <c r="N1" s="1">
        <v>7.6999999999999999E-2</v>
      </c>
      <c r="O1" s="1">
        <v>0.11219999999999999</v>
      </c>
      <c r="P1" s="1">
        <v>7.6999999999999999E-2</v>
      </c>
      <c r="Q1" s="1">
        <v>7.6999999999999999E-2</v>
      </c>
      <c r="R1" s="1">
        <v>2.2499999999999999E-2</v>
      </c>
      <c r="S1" s="1">
        <v>0.02</v>
      </c>
      <c r="T1" s="1">
        <v>0.02</v>
      </c>
      <c r="U1" s="1">
        <v>0</v>
      </c>
      <c r="V1" s="1">
        <v>0.02</v>
      </c>
    </row>
    <row r="2" spans="1:16372" x14ac:dyDescent="0.25">
      <c r="A2" s="1" t="s">
        <v>30</v>
      </c>
      <c r="N2" s="9">
        <v>7.6999999999999999E-2</v>
      </c>
      <c r="O2" s="11"/>
      <c r="P2" s="9">
        <v>7.6999999999999999E-2</v>
      </c>
      <c r="Q2" s="9">
        <v>7.6999999999999999E-2</v>
      </c>
      <c r="R2" s="9">
        <v>2.2499999999999999E-2</v>
      </c>
      <c r="S2" s="10">
        <v>0.02</v>
      </c>
      <c r="T2" s="10">
        <v>0.02</v>
      </c>
      <c r="U2" s="10">
        <v>0</v>
      </c>
      <c r="V2" s="10">
        <v>0.02</v>
      </c>
      <c r="AD2" s="1" t="s">
        <v>25</v>
      </c>
      <c r="AF2" s="1" t="s">
        <v>28</v>
      </c>
    </row>
    <row r="3" spans="1:16372" x14ac:dyDescent="0.25">
      <c r="C3" s="2" t="s">
        <v>0</v>
      </c>
      <c r="D3" s="2"/>
      <c r="E3" s="2"/>
      <c r="F3" s="2"/>
      <c r="G3" s="2"/>
      <c r="H3" s="2"/>
      <c r="I3" s="2"/>
      <c r="J3" s="2"/>
      <c r="K3" s="2"/>
      <c r="L3" s="2"/>
      <c r="M3" s="2"/>
      <c r="N3" s="2" t="s">
        <v>15</v>
      </c>
      <c r="O3" s="2"/>
      <c r="P3" s="2"/>
      <c r="Q3" s="2"/>
      <c r="R3" s="2"/>
      <c r="S3" s="2"/>
      <c r="T3" s="2"/>
      <c r="U3" s="2"/>
      <c r="V3" s="2"/>
      <c r="W3" s="5"/>
      <c r="AC3" s="2" t="s">
        <v>26</v>
      </c>
      <c r="AD3" s="2"/>
      <c r="AE3" s="2" t="s">
        <v>27</v>
      </c>
      <c r="AF3" s="2"/>
      <c r="AG3"/>
      <c r="AH3" s="2"/>
      <c r="AJ3" s="1" t="s">
        <v>32</v>
      </c>
      <c r="AQ3" s="1" t="s">
        <v>37</v>
      </c>
    </row>
    <row r="4" spans="1:16372" ht="33.75" customHeight="1" x14ac:dyDescent="0.25">
      <c r="A4" s="1" t="s">
        <v>1</v>
      </c>
      <c r="B4" s="1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26</v>
      </c>
      <c r="P4" s="3" t="s">
        <v>29</v>
      </c>
      <c r="Q4" s="3" t="s">
        <v>16</v>
      </c>
      <c r="R4" s="3" t="s">
        <v>17</v>
      </c>
      <c r="S4" s="3" t="s">
        <v>10</v>
      </c>
      <c r="T4" s="3" t="s">
        <v>18</v>
      </c>
      <c r="U4" s="3" t="s">
        <v>12</v>
      </c>
      <c r="V4" s="3" t="s">
        <v>19</v>
      </c>
      <c r="W4" s="38" t="s">
        <v>62</v>
      </c>
      <c r="X4" s="8" t="s">
        <v>81</v>
      </c>
      <c r="Y4" s="1" t="s">
        <v>21</v>
      </c>
      <c r="Z4" s="8" t="s">
        <v>115</v>
      </c>
      <c r="AA4" s="1" t="s">
        <v>22</v>
      </c>
      <c r="AC4" s="8" t="s">
        <v>23</v>
      </c>
      <c r="AD4" s="1" t="s">
        <v>24</v>
      </c>
      <c r="AE4" s="8" t="s">
        <v>23</v>
      </c>
      <c r="AF4" s="1" t="s">
        <v>24</v>
      </c>
      <c r="AG4" s="17" t="s">
        <v>40</v>
      </c>
      <c r="AH4" s="17" t="s">
        <v>41</v>
      </c>
      <c r="AJ4" s="24" t="s">
        <v>33</v>
      </c>
      <c r="AK4" s="24" t="s">
        <v>26</v>
      </c>
      <c r="AL4" s="24" t="s">
        <v>34</v>
      </c>
      <c r="AM4" s="24" t="s">
        <v>16</v>
      </c>
      <c r="AN4" s="24" t="s">
        <v>35</v>
      </c>
      <c r="AO4" s="24" t="s">
        <v>36</v>
      </c>
      <c r="AQ4" s="24" t="s">
        <v>33</v>
      </c>
      <c r="AR4" s="24" t="s">
        <v>26</v>
      </c>
      <c r="AS4" s="24" t="s">
        <v>34</v>
      </c>
      <c r="AT4" s="24" t="s">
        <v>16</v>
      </c>
      <c r="AU4" s="24" t="s">
        <v>35</v>
      </c>
      <c r="AV4" s="24" t="s">
        <v>36</v>
      </c>
      <c r="AX4" s="32" t="s">
        <v>63</v>
      </c>
      <c r="AY4" s="8" t="s">
        <v>65</v>
      </c>
      <c r="AZ4" s="8" t="s">
        <v>67</v>
      </c>
      <c r="BA4" s="8" t="s">
        <v>69</v>
      </c>
      <c r="BB4" s="8" t="s">
        <v>71</v>
      </c>
      <c r="BC4" s="8" t="s">
        <v>73</v>
      </c>
      <c r="BD4" s="8" t="s">
        <v>75</v>
      </c>
      <c r="BF4" s="32" t="s">
        <v>64</v>
      </c>
      <c r="BG4" s="8" t="s">
        <v>66</v>
      </c>
      <c r="BH4" s="8" t="s">
        <v>79</v>
      </c>
      <c r="BI4" s="8" t="s">
        <v>68</v>
      </c>
      <c r="BJ4" s="8" t="s">
        <v>70</v>
      </c>
      <c r="BK4" s="8" t="s">
        <v>72</v>
      </c>
      <c r="BL4" s="8" t="s">
        <v>74</v>
      </c>
      <c r="BM4" s="8" t="s">
        <v>76</v>
      </c>
      <c r="BO4" s="8" t="s">
        <v>91</v>
      </c>
    </row>
    <row r="5" spans="1:16372" s="13" customFormat="1" x14ac:dyDescent="0.25">
      <c r="A5" s="13">
        <v>1</v>
      </c>
      <c r="B5" s="13">
        <v>210001</v>
      </c>
      <c r="C5" s="14">
        <v>540426100</v>
      </c>
      <c r="D5" s="14">
        <f>SUM('Modeling - Base Estimates'!E5:G5)-SUM('Scenario 3 - increase MA &amp; QP %'!E5:F5)</f>
        <v>181167625</v>
      </c>
      <c r="E5" s="4">
        <f>((SUM('Modeling - Base Estimates'!F5:G5)/SUM('Modeling - Base Estimates'!E5:G5)+$E$61))*SUM('Modeling - Base Estimates'!E5:G5)*('Modeling - Base Estimates'!F5/SUM('Modeling - Base Estimates'!F5:G5)+$E$73)</f>
        <v>29614813.681351285</v>
      </c>
      <c r="F5" s="4">
        <f>((SUM('Modeling - Base Estimates'!F5:G5)/SUM('Modeling - Base Estimates'!E5:G5)+$E$61))*SUM('Modeling - Base Estimates'!E5:G5)*('Modeling - Base Estimates'!G5/SUM('Modeling - Base Estimates'!F5:G5)-$E$73)</f>
        <v>67003061.318648718</v>
      </c>
      <c r="G5" s="14">
        <v>15216900</v>
      </c>
      <c r="H5" s="14">
        <v>83029700</v>
      </c>
      <c r="I5" s="14">
        <v>28769300</v>
      </c>
      <c r="J5" s="14">
        <v>39563100</v>
      </c>
      <c r="K5" s="14">
        <v>0</v>
      </c>
      <c r="L5" s="14">
        <v>24180500</v>
      </c>
      <c r="M5" s="14">
        <f t="shared" ref="M5:M49" si="0">C5-SUM(D5:L5)</f>
        <v>71881100</v>
      </c>
      <c r="N5" s="15">
        <f t="shared" ref="N5:N49" si="1">D5/$C5</f>
        <v>0.33523107969803828</v>
      </c>
      <c r="O5" s="15">
        <f t="shared" ref="O5:P49" si="2">E5/$C5</f>
        <v>5.4799007082284301E-2</v>
      </c>
      <c r="P5" s="15">
        <f t="shared" si="2"/>
        <v>0.12398191227005638</v>
      </c>
      <c r="Q5" s="15">
        <f>(G5+H5)/$C5</f>
        <v>0.18179469866462777</v>
      </c>
      <c r="R5" s="15">
        <f>I5/$C5</f>
        <v>5.3234475536988311E-2</v>
      </c>
      <c r="S5" s="15">
        <f t="shared" ref="S5:U20" si="3">J5/$C5</f>
        <v>7.3207234069561034E-2</v>
      </c>
      <c r="T5" s="15">
        <f t="shared" si="3"/>
        <v>0</v>
      </c>
      <c r="U5" s="15">
        <f t="shared" si="3"/>
        <v>4.4743397848475489E-2</v>
      </c>
      <c r="V5" s="15">
        <f>(M5)/$C5</f>
        <v>0.13300819482996842</v>
      </c>
      <c r="W5" s="16">
        <f>SUMIFS('Modeling - Base Estimates'!AK:AK,'Modeling - Base Estimates'!A:A,A5)</f>
        <v>314227282.01218486</v>
      </c>
      <c r="X5" s="16">
        <f>(W5*N5*(1-N$2))+(W5*O5*(1-'Modeling - Base Estimates'!$AA$51-N$2))+(W5*P5*(1-'Modeling - Base Estimates'!$AE$51))+(W5*Q5*(1-Q$2))+(W5*R5*(1-R$2))+(W5*S5*(1-S$2))+(W5*T5*(1-T$2))+(W5*U5*(1-U$2))+(W5*V5*(1-V$2))</f>
        <v>293377091.08596116</v>
      </c>
      <c r="Y5" s="5">
        <f>X5*N5*SUMIFS('Modeling - Base Estimates'!AN:AN,'Modeling - Base Estimates'!A:A,A5)</f>
        <v>761889.15505640791</v>
      </c>
      <c r="Z5" s="16">
        <f t="shared" ref="Z5:Z49" si="4">X5-Y5</f>
        <v>292615201.93090475</v>
      </c>
      <c r="AA5" s="14">
        <f>(((W5*N5*(1-N$2))/X5)*X5)-Y5-(((SUMIFS('Modeling - Base Estimates'!X:X,'Modeling - Base Estimates'!A:A,A5)*N5*(1-N$2))/SUMIFS('Modeling - Base Estimates'!Z:Z,'Modeling - Base Estimates'!A:A,A5))*SUMIFS('Modeling - Base Estimates'!Z:Z,'Modeling - Base Estimates'!A:A,A5))</f>
        <v>2192.6322378367186</v>
      </c>
      <c r="AB5" s="14"/>
      <c r="AC5" s="15">
        <f>1-((((W5*O5*(1-N$2-'Modeling - Base Estimates'!$AA$51))/X5)*X5)/('Modeling - Base Estimates'!X5*'Modeling - Base Estimates'!P5))</f>
        <v>-0.41191360035448366</v>
      </c>
      <c r="AD5" s="15">
        <f>AC5-$N$2</f>
        <v>-0.48891360035448367</v>
      </c>
      <c r="AE5" s="15">
        <f>1-((((W5*P5*(1-'Modeling - Base Estimates'!$AE$51))/X5)*X5)/(SUMIFS('Modeling - Base Estimates'!X:X,'Modeling - Base Estimates'!A:A,A5)*'Modeling - Base Estimates'!Q5))</f>
        <v>6.0050347490738454E-2</v>
      </c>
      <c r="AF5" s="15">
        <f>AE5-$N$2</f>
        <v>-1.6949652509261545E-2</v>
      </c>
      <c r="AG5" s="15">
        <f>$N5*(1-$N$2)+$O5*(1-$N$2-'Modeling - Base Estimates'!$AA$51)+$P5*(1-'Modeling - Base Estimates'!$AE$51)+$Q5*(1-$Q$2)+$R5*(1-$R$2)+$S5*(1-$S$2)+$T5*(1-$T$2)+$U5*(1-$U$2)+$V5*(1-$V$2)</f>
        <v>0.93364614685043446</v>
      </c>
      <c r="AH5" s="15">
        <f>$S5*(1-$R$2-'Modeling - Base Estimates'!$AA$51)+$T5*(1-'Modeling - Base Estimates'!$AE$51)+$U5*(1-$U$2)+$V5*(1-$V$2)+$W5*(1-$W$2)+$X5*(1-$X$2)+$Y5*(1-$Y$2)+$Z5*(1-$Z$2)</f>
        <v>900981464.4223491</v>
      </c>
      <c r="AI5" s="16"/>
      <c r="AJ5" s="14">
        <f>(SUMIFS('Modeling - Base Estimates'!$X:$X,'Modeling - Base Estimates'!$A:$A,$A5)*SUMIFS('Modeling - Base Estimates'!O:O,'Modeling - Base Estimates'!$A:$A,$A5)*($N$2))</f>
        <v>8664293.4083499908</v>
      </c>
      <c r="AK5" s="14">
        <f>(SUMIFS('Modeling - Base Estimates'!$X:$X,'Modeling - Base Estimates'!$A:$A,$A5)*SUMIFS('Modeling - Base Estimates'!P:P,'Modeling - Base Estimates'!$A:$A,$A5)*($N$2))</f>
        <v>758889.94555817463</v>
      </c>
      <c r="AL5" s="14">
        <f>(SUMIFS('Modeling - Base Estimates'!$X:$X,'Modeling - Base Estimates'!$A:$A,$A5)*SUMIFS('Modeling - Base Estimates'!Q:Q,'Modeling - Base Estimates'!$A:$A,$A5)*($N$2))</f>
        <v>2915857.5956055732</v>
      </c>
      <c r="AM5" s="14">
        <f>(SUMIFS('Modeling - Base Estimates'!$X:$X,'Modeling - Base Estimates'!$A:$A,$A5)*SUMIFS('Modeling - Base Estimates'!R:R,'Modeling - Base Estimates'!$A:$A,$A5)*($N$2))</f>
        <v>4364046.4334909357</v>
      </c>
      <c r="AN5" s="14">
        <f>(SUMIFS('Modeling - Base Estimates'!X:X,'Modeling - Base Estimates'!A:A,$A5)*$R5*($R$2))+(SUMIFS('Modeling - Base Estimates'!X:X,'Modeling - Base Estimates'!A:A,$A5)*$S5*($S$2))+(SUMIFS('Modeling - Base Estimates'!X:X,'Modeling - Base Estimates'!A:A,$A5)*$T5*($T$2))+(SUMIFS('Modeling - Base Estimates'!X:X,'Modeling - Base Estimates'!A:A,$A5)*$U5*($U$2))+(SUMIFS('Modeling - Base Estimates'!X:X,'Modeling - Base Estimates'!A:A,$A5)*$V5*($V$2))</f>
        <v>1659201.6488133059</v>
      </c>
      <c r="AO5" s="16">
        <f>SUM(AJ5:AN5)-(SUMIFS('Modeling - Base Estimates'!X:X,'Modeling - Base Estimates'!A:A,A5)-SUMIFS('Modeling - Base Estimates'!Z:Z,'Modeling - Base Estimates'!A:A,A5))</f>
        <v>0</v>
      </c>
      <c r="AQ5" s="14">
        <f t="shared" ref="AQ5:AQ49" si="5">(W5*$N5*($N$2))</f>
        <v>8111083.828503401</v>
      </c>
      <c r="AR5" s="14">
        <f>(W5*$O5*($N$2+'Modeling - Base Estimates'!$AA$51))</f>
        <v>3303927.009499413</v>
      </c>
      <c r="AS5" s="14">
        <f>(W5*P5*('Modeling - Base Estimates'!$AE$51))</f>
        <v>3364222.2495273929</v>
      </c>
      <c r="AT5" s="14">
        <f t="shared" ref="AT5:AT49" si="6">(W5*$Q5*($Q$2))</f>
        <v>4398613.7615119824</v>
      </c>
      <c r="AU5" s="14">
        <f t="shared" ref="AU5:AU49" si="7">(W5*$R5*($R$2))+(W5*$S5*($S$2))+(W5*$T5*($T$2))+(W5*$U5*($U$2))+(W5*$V5*($V$2))</f>
        <v>1672344.0771814915</v>
      </c>
      <c r="AV5" s="16">
        <f>SUM(AQ5:AU5)-(W5-X5)</f>
        <v>0</v>
      </c>
      <c r="AX5" s="7">
        <f>SUMIFS('Modeling - Base Estimates'!X:X,'Modeling - Base Estimates'!A:A,A5)</f>
        <v>311757868.2106095</v>
      </c>
      <c r="AY5" s="5">
        <f>AJ5</f>
        <v>8664293.4083499908</v>
      </c>
      <c r="AZ5" s="5">
        <f>AK5</f>
        <v>758889.94555817463</v>
      </c>
      <c r="BA5" s="5">
        <f>AL5</f>
        <v>2915857.5956055732</v>
      </c>
      <c r="BB5" s="5">
        <f>AM5</f>
        <v>4364046.4334909357</v>
      </c>
      <c r="BC5" s="5">
        <f>AN5</f>
        <v>1659201.6488133059</v>
      </c>
      <c r="BD5" s="5">
        <f>AX5-SUM(AY5:BC5)</f>
        <v>293395579.17879152</v>
      </c>
      <c r="BE5" s="1"/>
      <c r="BF5" s="5">
        <f>W5</f>
        <v>314227282.01218486</v>
      </c>
      <c r="BG5" s="5">
        <f>AQ5</f>
        <v>8111083.828503401</v>
      </c>
      <c r="BH5" s="5">
        <f>Y5</f>
        <v>761889.15505640791</v>
      </c>
      <c r="BI5" s="5">
        <f>AR5</f>
        <v>3303927.009499413</v>
      </c>
      <c r="BJ5" s="5">
        <f t="shared" ref="BJ5:BL20" si="8">AS5</f>
        <v>3364222.2495273929</v>
      </c>
      <c r="BK5" s="5">
        <f t="shared" si="8"/>
        <v>4398613.7615119824</v>
      </c>
      <c r="BL5" s="5">
        <f t="shared" si="8"/>
        <v>1672344.0771814915</v>
      </c>
      <c r="BM5" s="5">
        <f>BF5-SUM(BG5:BL5)</f>
        <v>292615201.93090475</v>
      </c>
      <c r="BN5" s="1"/>
      <c r="BO5" s="5">
        <f>BM5-BD5</f>
        <v>-780377.24788677692</v>
      </c>
      <c r="BP5" s="1">
        <f>BO5/BD5</f>
        <v>-2.6598125645622799E-3</v>
      </c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  <c r="XEJ5" s="1"/>
      <c r="XEK5" s="1"/>
      <c r="XEL5" s="1"/>
      <c r="XEM5" s="1"/>
      <c r="XEN5" s="1"/>
      <c r="XEO5" s="1"/>
      <c r="XEP5" s="1"/>
      <c r="XEQ5" s="1"/>
      <c r="XER5" s="1"/>
    </row>
    <row r="6" spans="1:16372" x14ac:dyDescent="0.25">
      <c r="A6" s="1">
        <v>2</v>
      </c>
      <c r="B6" s="1">
        <v>210002</v>
      </c>
      <c r="C6" s="4">
        <v>1998942647.6000001</v>
      </c>
      <c r="D6" s="4">
        <f>SUM('Modeling - Base Estimates'!E6:G6)-SUM('Scenario 3 - increase MA &amp; QP %'!E6:F6)</f>
        <v>520995049.79000014</v>
      </c>
      <c r="E6" s="4">
        <f>((SUM('Modeling - Base Estimates'!F6:G6)/SUM('Modeling - Base Estimates'!E6:G6)+$E$61))*SUM('Modeling - Base Estimates'!E6:G6)*('Modeling - Base Estimates'!F6/SUM('Modeling - Base Estimates'!F6:G6)+$E$73)</f>
        <v>138568479.81839627</v>
      </c>
      <c r="F6" s="4">
        <f>((SUM('Modeling - Base Estimates'!F6:G6)/SUM('Modeling - Base Estimates'!E6:G6)+$E$61))*SUM('Modeling - Base Estimates'!E6:G6)*('Modeling - Base Estimates'!G6/SUM('Modeling - Base Estimates'!F6:G6)-$E$73)</f>
        <v>130231082.59160374</v>
      </c>
      <c r="G6" s="4">
        <v>89178014.5</v>
      </c>
      <c r="H6" s="4">
        <v>411314296.19999999</v>
      </c>
      <c r="I6" s="4">
        <v>196198153</v>
      </c>
      <c r="J6" s="4">
        <v>109210700.3</v>
      </c>
      <c r="K6" s="4">
        <v>6086659.5</v>
      </c>
      <c r="L6" s="4">
        <v>43032337.200000003</v>
      </c>
      <c r="M6" s="4">
        <f t="shared" si="0"/>
        <v>354127874.70000005</v>
      </c>
      <c r="N6" s="12">
        <f t="shared" si="1"/>
        <v>0.26063531658375733</v>
      </c>
      <c r="O6" s="12">
        <f t="shared" si="2"/>
        <v>6.9320888212959189E-2</v>
      </c>
      <c r="P6" s="12">
        <f t="shared" si="2"/>
        <v>6.5149984542059627E-2</v>
      </c>
      <c r="Q6" s="12">
        <f t="shared" ref="Q6:Q49" si="9">(G6+H6)/$C6</f>
        <v>0.25037852451690318</v>
      </c>
      <c r="R6" s="12">
        <f t="shared" ref="R6:U49" si="10">I6/$C6</f>
        <v>9.8150966580037857E-2</v>
      </c>
      <c r="S6" s="12">
        <f t="shared" si="3"/>
        <v>5.4634233969204742E-2</v>
      </c>
      <c r="T6" s="12">
        <f t="shared" si="3"/>
        <v>3.0449395370636843E-3</v>
      </c>
      <c r="U6" s="12">
        <f t="shared" si="3"/>
        <v>2.1527549703172385E-2</v>
      </c>
      <c r="V6" s="12">
        <f t="shared" ref="V6:V49" si="11">(M6)/$C6</f>
        <v>0.17715759635484202</v>
      </c>
      <c r="W6" s="4">
        <f>SUMIFS('Modeling - Base Estimates'!AK:AK,'Modeling - Base Estimates'!A:A,A6)</f>
        <v>1119457962.8635352</v>
      </c>
      <c r="X6" s="4">
        <f>(W6*N6*(1-N$2))+(W6*O6*(1-'Modeling - Base Estimates'!$AA$51-N$2))+(W6*P6*(1-'Modeling - Base Estimates'!$AE$51))+(W6*Q6*(1-Q$2))+(W6*R6*(1-R$2))+(W6*S6*(1-S$2))+(W6*T6*(1-T$2))+(W6*U6*(1-U$2))+(W6*V6*(1-V$2))</f>
        <v>1046491730.3915453</v>
      </c>
      <c r="Y6" s="5">
        <f>X6*N6*SUMIFS('Modeling - Base Estimates'!AN:AN,'Modeling - Base Estimates'!A:A,A6)</f>
        <v>2400173.5183861358</v>
      </c>
      <c r="Z6" s="4">
        <f t="shared" si="4"/>
        <v>1044091556.8731592</v>
      </c>
      <c r="AA6" s="4">
        <f>(((W6*N6*(1-N$2))/X6)*X6)-Y6-(((SUMIFS('Modeling - Base Estimates'!X:X,'Modeling - Base Estimates'!A:A,A6)*N6*(1-N$2))/SUMIFS('Modeling - Base Estimates'!Z:Z,'Modeling - Base Estimates'!A:A,A6))*SUMIFS('Modeling - Base Estimates'!Z:Z,'Modeling - Base Estimates'!A:A,A6))</f>
        <v>6341.4448494315147</v>
      </c>
      <c r="AB6" s="4"/>
      <c r="AC6" s="18">
        <f>1-((((W6*O6*(1-N$2-'Modeling - Base Estimates'!$AA$51))/X6)*X6)/('Modeling - Base Estimates'!X6*'Modeling - Base Estimates'!P6))</f>
        <v>-0.18587721353138043</v>
      </c>
      <c r="AD6" s="18">
        <f>AC6-$N$2</f>
        <v>-0.26287721353138044</v>
      </c>
      <c r="AE6" s="18">
        <f>1-((((W6*P6*(1-'Modeling - Base Estimates'!$AE$51))/X6)*X6)/(SUMIFS('Modeling - Base Estimates'!X:X,'Modeling - Base Estimates'!A:A,A6)*'Modeling - Base Estimates'!Q6))</f>
        <v>0.10424320267723153</v>
      </c>
      <c r="AF6" s="18">
        <f>AE6-$N$2</f>
        <v>2.7243202677231529E-2</v>
      </c>
      <c r="AG6" s="18">
        <f>$N6*(1-$N$2)+$O6*(1-$N$2-'Modeling - Base Estimates'!$AA$51)+$P6*(1-'Modeling - Base Estimates'!$AE$51)+$Q6*(1-$Q$2)+$R6*(1-$R$2)+$S6*(1-$S$2)+$T6*(1-$T$2)+$U6*(1-$U$2)+$V6*(1-$V$2)</f>
        <v>0.93482003354074605</v>
      </c>
      <c r="AH6" s="18" t="e">
        <f>$O6*(1-$N$2-#REF!)+$P6*(1-#REF!)+$Q6*(1-$Q$2)+$R6*(1-$R$2)+$S6*(1-$S$2)+$T6*(1-$T$2)+$U6*(1-$U$2)+$V6*(1-$V$2)</f>
        <v>#REF!</v>
      </c>
      <c r="AJ6" s="7">
        <f>(SUMIFS('Modeling - Base Estimates'!$X:$X,'Modeling - Base Estimates'!$A:$A,$A6)*SUMIFS('Modeling - Base Estimates'!O:O,'Modeling - Base Estimates'!$A:$A,$A6)*($N$2))</f>
        <v>23953207.810603052</v>
      </c>
      <c r="AK6" s="7">
        <f>(SUMIFS('Modeling - Base Estimates'!$X:$X,'Modeling - Base Estimates'!$A:$A,$A6)*SUMIFS('Modeling - Base Estimates'!P:P,'Modeling - Base Estimates'!$A:$A,$A6)*($N$2))</f>
        <v>4071950.8436950906</v>
      </c>
      <c r="AL6" s="7">
        <f>(SUMIFS('Modeling - Base Estimates'!$X:$X,'Modeling - Base Estimates'!$A:$A,$A6)*SUMIFS('Modeling - Base Estimates'!Q:Q,'Modeling - Base Estimates'!$A:$A,$A6)*($N$2))</f>
        <v>5727969.2365609016</v>
      </c>
      <c r="AM6" s="7">
        <f>(SUMIFS('Modeling - Base Estimates'!$X:$X,'Modeling - Base Estimates'!$A:$A,$A6)*SUMIFS('Modeling - Base Estimates'!R:R,'Modeling - Base Estimates'!$A:$A,$A6)*($N$2))</f>
        <v>21389334.278176602</v>
      </c>
      <c r="AN6" s="7">
        <f>(SUMIFS('Modeling - Base Estimates'!X:X,'Modeling - Base Estimates'!A:A,$A6)*$R6*($R$2))+(SUMIFS('Modeling - Base Estimates'!X:X,'Modeling - Base Estimates'!A:A,$A6)*$S6*($S$2))+(SUMIFS('Modeling - Base Estimates'!X:X,'Modeling - Base Estimates'!A:A,$A6)*$T6*($T$2))+(SUMIFS('Modeling - Base Estimates'!X:X,'Modeling - Base Estimates'!A:A,$A6)*$U6*($U$2))+(SUMIFS('Modeling - Base Estimates'!X:X,'Modeling - Base Estimates'!A:A,$A6)*$V6*($V$2))</f>
        <v>7660929.416650922</v>
      </c>
      <c r="AO6" s="7">
        <f>SUM(AJ6:AN6)-(SUMIFS('Modeling - Base Estimates'!X:X,'Modeling - Base Estimates'!A:A,A6)-SUMIFS('Modeling - Base Estimates'!Z:Z,'Modeling - Base Estimates'!A:A,A6))</f>
        <v>1.1920928955078125E-7</v>
      </c>
      <c r="AQ6" s="7">
        <f t="shared" si="5"/>
        <v>22466311.602592204</v>
      </c>
      <c r="AR6" s="7">
        <f>(W6*$O6*($N$2+'Modeling - Base Estimates'!$AA$51))</f>
        <v>14889694.066953415</v>
      </c>
      <c r="AS6" s="7">
        <f>(W6*P6*('Modeling - Base Estimates'!$AE$51))</f>
        <v>6298027.696757379</v>
      </c>
      <c r="AT6" s="7">
        <f t="shared" si="6"/>
        <v>21582193.941036198</v>
      </c>
      <c r="AU6" s="7">
        <f t="shared" si="7"/>
        <v>7730005.1646508928</v>
      </c>
      <c r="AV6" s="5">
        <f t="shared" ref="AV6:AV49" si="12">SUM(AQ6:AU6)-(W6-X6)</f>
        <v>2.0861625671386719E-7</v>
      </c>
      <c r="AX6" s="7">
        <f>SUMIFS('Modeling - Base Estimates'!X:X,'Modeling - Base Estimates'!A:A,A6)</f>
        <v>1109454425.4153407</v>
      </c>
      <c r="AY6" s="5">
        <f t="shared" ref="AY6:BC49" si="13">AJ6</f>
        <v>23953207.810603052</v>
      </c>
      <c r="AZ6" s="5">
        <f t="shared" si="13"/>
        <v>4071950.8436950906</v>
      </c>
      <c r="BA6" s="5">
        <f t="shared" si="13"/>
        <v>5727969.2365609016</v>
      </c>
      <c r="BB6" s="5">
        <f t="shared" si="13"/>
        <v>21389334.278176602</v>
      </c>
      <c r="BC6" s="5">
        <f t="shared" si="13"/>
        <v>7660929.416650922</v>
      </c>
      <c r="BD6" s="5">
        <f t="shared" ref="BD6:BD49" si="14">AX6-SUM(AY6:BC6)</f>
        <v>1046651033.8296541</v>
      </c>
      <c r="BF6" s="5">
        <f t="shared" ref="BF6:BF49" si="15">W6</f>
        <v>1119457962.8635352</v>
      </c>
      <c r="BG6" s="5">
        <f t="shared" ref="BG6:BG51" si="16">AQ6</f>
        <v>22466311.602592204</v>
      </c>
      <c r="BH6" s="5">
        <f t="shared" ref="BH6:BH49" si="17">Y6</f>
        <v>2400173.5183861358</v>
      </c>
      <c r="BI6" s="5">
        <f t="shared" ref="BI6:BL49" si="18">AR6</f>
        <v>14889694.066953415</v>
      </c>
      <c r="BJ6" s="5">
        <f t="shared" si="8"/>
        <v>6298027.696757379</v>
      </c>
      <c r="BK6" s="5">
        <f t="shared" si="8"/>
        <v>21582193.941036198</v>
      </c>
      <c r="BL6" s="5">
        <f t="shared" si="8"/>
        <v>7730005.1646508928</v>
      </c>
      <c r="BM6" s="5">
        <f t="shared" ref="BM6:BM51" si="19">BF6-SUM(BG6:BL6)</f>
        <v>1044091556.8731589</v>
      </c>
      <c r="BO6" s="5">
        <f t="shared" ref="BO6:BO49" si="20">BM6-BD6</f>
        <v>-2559476.9564951658</v>
      </c>
      <c r="BP6" s="1">
        <f t="shared" ref="BP6:BP49" si="21">BO6/BD6</f>
        <v>-2.4453966735504405E-3</v>
      </c>
    </row>
    <row r="7" spans="1:16372" x14ac:dyDescent="0.25">
      <c r="A7" s="1">
        <v>3</v>
      </c>
      <c r="B7" s="1">
        <v>210003</v>
      </c>
      <c r="C7" s="4">
        <v>484325106.80000001</v>
      </c>
      <c r="D7" s="4">
        <f>SUM('Modeling - Base Estimates'!E7:G7)-SUM('Scenario 3 - increase MA &amp; QP %'!E7:F7)</f>
        <v>104212695.33500002</v>
      </c>
      <c r="E7" s="4">
        <f>((SUM('Modeling - Base Estimates'!F7:G7)/SUM('Modeling - Base Estimates'!E7:G7)+$E$61))*SUM('Modeling - Base Estimates'!E7:G7)*('Modeling - Base Estimates'!F7/SUM('Modeling - Base Estimates'!F7:G7)+$E$73)</f>
        <v>53651585.328440197</v>
      </c>
      <c r="F7" s="4">
        <f>((SUM('Modeling - Base Estimates'!F7:G7)/SUM('Modeling - Base Estimates'!E7:G7)+$E$61))*SUM('Modeling - Base Estimates'!E7:G7)*('Modeling - Base Estimates'!G7/SUM('Modeling - Base Estimates'!F7:G7)-$E$73)</f>
        <v>24962706.636559792</v>
      </c>
      <c r="G7" s="4">
        <v>27626914.899999999</v>
      </c>
      <c r="H7" s="4">
        <v>117325710.39999999</v>
      </c>
      <c r="I7" s="4">
        <v>30292846.5</v>
      </c>
      <c r="J7" s="4">
        <v>21023955.199999999</v>
      </c>
      <c r="K7" s="4">
        <v>1018742.4</v>
      </c>
      <c r="L7" s="4">
        <v>30929000</v>
      </c>
      <c r="M7" s="4">
        <f t="shared" si="0"/>
        <v>73280950.100000024</v>
      </c>
      <c r="N7" s="12">
        <f t="shared" si="1"/>
        <v>0.21517095412118334</v>
      </c>
      <c r="O7" s="12">
        <f t="shared" si="2"/>
        <v>0.11077597377291322</v>
      </c>
      <c r="P7" s="12">
        <f t="shared" si="2"/>
        <v>5.1541219495086048E-2</v>
      </c>
      <c r="Q7" s="12">
        <f t="shared" si="9"/>
        <v>0.29928786111816735</v>
      </c>
      <c r="R7" s="12">
        <f t="shared" si="10"/>
        <v>6.2546512816873859E-2</v>
      </c>
      <c r="S7" s="12">
        <f t="shared" si="3"/>
        <v>4.340876594011004E-2</v>
      </c>
      <c r="T7" s="12">
        <f t="shared" si="3"/>
        <v>2.1034267802694882E-3</v>
      </c>
      <c r="U7" s="12">
        <f t="shared" si="3"/>
        <v>6.3859997274045927E-2</v>
      </c>
      <c r="V7" s="12">
        <f t="shared" si="11"/>
        <v>0.15130528868135074</v>
      </c>
      <c r="W7" s="4">
        <f>SUMIFS('Modeling - Base Estimates'!AK:AK,'Modeling - Base Estimates'!A:A,A7)</f>
        <v>265060938.83484814</v>
      </c>
      <c r="X7" s="4">
        <f>(W7*N7*(1-N$2))+(W7*O7*(1-'Modeling - Base Estimates'!$AA$51-N$2))+(W7*P7*(1-'Modeling - Base Estimates'!$AE$51))+(W7*Q7*(1-Q$2))+(W7*R7*(1-R$2))+(W7*S7*(1-S$2))+(W7*T7*(1-T$2))+(W7*U7*(1-U$2))+(W7*V7*(1-V$2))</f>
        <v>246331021.51990759</v>
      </c>
      <c r="Y7" s="5">
        <f>X7*N7*SUMIFS('Modeling - Base Estimates'!AN:AN,'Modeling - Base Estimates'!A:A,A7)</f>
        <v>736035.90165642905</v>
      </c>
      <c r="Z7" s="4">
        <f t="shared" si="4"/>
        <v>245594985.61825117</v>
      </c>
      <c r="AA7" s="4">
        <f>(((W7*N7*(1-N$2))/X7)*X7)-Y7-(((SUMIFS('Modeling - Base Estimates'!X:X,'Modeling - Base Estimates'!A:A,A7)*N7*(1-N$2))/SUMIFS('Modeling - Base Estimates'!Z:Z,'Modeling - Base Estimates'!A:A,A7))*SUMIFS('Modeling - Base Estimates'!Z:Z,'Modeling - Base Estimates'!A:A,A7))</f>
        <v>2415.0879590809345</v>
      </c>
      <c r="AB7" s="4"/>
      <c r="AC7" s="18">
        <f>1-((((W7*O7*(1-N$2-'Modeling - Base Estimates'!$AA$51))/X7)*X7)/('Modeling - Base Estimates'!X7*'Modeling - Base Estimates'!P7))</f>
        <v>-8.670386020335985E-2</v>
      </c>
      <c r="AD7" s="18">
        <f t="shared" ref="AD7:AD49" si="22">AC7-$N$2</f>
        <v>-0.16370386020335986</v>
      </c>
      <c r="AE7" s="18">
        <f>1-((((W7*P7*(1-'Modeling - Base Estimates'!$AE$51))/X7)*X7)/(SUMIFS('Modeling - Base Estimates'!X:X,'Modeling - Base Estimates'!A:A,A7)*'Modeling - Base Estimates'!Q7))</f>
        <v>0.20256097238708703</v>
      </c>
      <c r="AF7" s="18">
        <f t="shared" ref="AF7:AF49" si="23">AE7-$N$2</f>
        <v>0.12556097238708702</v>
      </c>
      <c r="AG7" s="18">
        <f>$N7*(1-$N$2)+$O7*(1-$N$2-'Modeling - Base Estimates'!$AA$51)+$P7*(1-'Modeling - Base Estimates'!$AE$51)+$Q7*(1-$Q$2)+$R7*(1-$R$2)+$S7*(1-$S$2)+$T7*(1-$T$2)+$U7*(1-$U$2)+$V7*(1-$V$2)</f>
        <v>0.9293373161761469</v>
      </c>
      <c r="AH7" s="18" t="e">
        <f>$O7*(1-$N$2-#REF!)+$P7*(1-#REF!)+$Q7*(1-$Q$2)+$R7*(1-$R$2)+$S7*(1-$S$2)+$T7*(1-$T$2)+$U7*(1-$U$2)+$V7*(1-$V$2)</f>
        <v>#REF!</v>
      </c>
      <c r="AJ7" s="7">
        <f>(SUMIFS('Modeling - Base Estimates'!$X:$X,'Modeling - Base Estimates'!$A:$A,$A7)*SUMIFS('Modeling - Base Estimates'!O:O,'Modeling - Base Estimates'!$A:$A,$A7)*($N$2))</f>
        <v>4709785.742409708</v>
      </c>
      <c r="AK7" s="7">
        <f>(SUMIFS('Modeling - Base Estimates'!$X:$X,'Modeling - Base Estimates'!$A:$A,$A7)*SUMIFS('Modeling - Base Estimates'!P:P,'Modeling - Base Estimates'!$A:$A,$A7)*($N$2))</f>
        <v>1681320.2384314812</v>
      </c>
      <c r="AL7" s="7">
        <f>(SUMIFS('Modeling - Base Estimates'!$X:$X,'Modeling - Base Estimates'!$A:$A,$A7)*SUMIFS('Modeling - Base Estimates'!Q:Q,'Modeling - Base Estimates'!$A:$A,$A7)*($N$2))</f>
        <v>1205234.6737173926</v>
      </c>
      <c r="AM7" s="7">
        <f>(SUMIFS('Modeling - Base Estimates'!$X:$X,'Modeling - Base Estimates'!$A:$A,$A7)*SUMIFS('Modeling - Base Estimates'!R:R,'Modeling - Base Estimates'!$A:$A,$A7)*($N$2))</f>
        <v>6022685.9109403845</v>
      </c>
      <c r="AN7" s="7">
        <f>(SUMIFS('Modeling - Base Estimates'!X:X,'Modeling - Base Estimates'!A:A,$A7)*$R7*($R$2))+(SUMIFS('Modeling - Base Estimates'!X:X,'Modeling - Base Estimates'!A:A,$A7)*$S7*($S$2))+(SUMIFS('Modeling - Base Estimates'!X:X,'Modeling - Base Estimates'!A:A,$A7)*$T7*($T$2))+(SUMIFS('Modeling - Base Estimates'!X:X,'Modeling - Base Estimates'!A:A,$A7)*$U7*($U$2))+(SUMIFS('Modeling - Base Estimates'!X:X,'Modeling - Base Estimates'!A:A,$A7)*$V7*($V$2))</f>
        <v>1396522.9605446386</v>
      </c>
      <c r="AO7" s="7">
        <f>SUM(AJ7:AN7)-(SUMIFS('Modeling - Base Estimates'!X:X,'Modeling - Base Estimates'!A:A,A7)-SUMIFS('Modeling - Base Estimates'!Z:Z,'Modeling - Base Estimates'!A:A,A7))</f>
        <v>0</v>
      </c>
      <c r="AQ7" s="7">
        <f t="shared" si="5"/>
        <v>4391572.9634200186</v>
      </c>
      <c r="AR7" s="7">
        <f>(W7*$O7*($N$2+'Modeling - Base Estimates'!$AA$51))</f>
        <v>5633848.6301315445</v>
      </c>
      <c r="AS7" s="7">
        <f>(W7*P7*('Modeling - Base Estimates'!$AE$51))</f>
        <v>1179730.7000791351</v>
      </c>
      <c r="AT7" s="7">
        <f t="shared" si="6"/>
        <v>6108373.1516388403</v>
      </c>
      <c r="AU7" s="7">
        <f t="shared" si="7"/>
        <v>1416391.8696710027</v>
      </c>
      <c r="AV7" s="5">
        <f t="shared" si="12"/>
        <v>0</v>
      </c>
      <c r="AX7" s="7">
        <f>SUMIFS('Modeling - Base Estimates'!X:X,'Modeling - Base Estimates'!A:A,A7)</f>
        <v>261342708.15347484</v>
      </c>
      <c r="AY7" s="5">
        <f t="shared" si="13"/>
        <v>4709785.742409708</v>
      </c>
      <c r="AZ7" s="5">
        <f t="shared" si="13"/>
        <v>1681320.2384314812</v>
      </c>
      <c r="BA7" s="5">
        <f t="shared" si="13"/>
        <v>1205234.6737173926</v>
      </c>
      <c r="BB7" s="5">
        <f t="shared" si="13"/>
        <v>6022685.9109403845</v>
      </c>
      <c r="BC7" s="5">
        <f t="shared" si="13"/>
        <v>1396522.9605446386</v>
      </c>
      <c r="BD7" s="5">
        <f t="shared" si="14"/>
        <v>246327158.62743124</v>
      </c>
      <c r="BF7" s="5">
        <f t="shared" si="15"/>
        <v>265060938.83484814</v>
      </c>
      <c r="BG7" s="5">
        <f t="shared" si="16"/>
        <v>4391572.9634200186</v>
      </c>
      <c r="BH7" s="5">
        <f t="shared" si="17"/>
        <v>736035.90165642905</v>
      </c>
      <c r="BI7" s="5">
        <f t="shared" si="18"/>
        <v>5633848.6301315445</v>
      </c>
      <c r="BJ7" s="5">
        <f t="shared" si="8"/>
        <v>1179730.7000791351</v>
      </c>
      <c r="BK7" s="5">
        <f t="shared" si="8"/>
        <v>6108373.1516388403</v>
      </c>
      <c r="BL7" s="5">
        <f t="shared" si="8"/>
        <v>1416391.8696710027</v>
      </c>
      <c r="BM7" s="5">
        <f t="shared" si="19"/>
        <v>245594985.61825117</v>
      </c>
      <c r="BO7" s="5">
        <f t="shared" si="20"/>
        <v>-732173.00918006897</v>
      </c>
      <c r="BP7" s="1">
        <f t="shared" si="21"/>
        <v>-2.9723600648009644E-3</v>
      </c>
    </row>
    <row r="8" spans="1:16372" x14ac:dyDescent="0.25">
      <c r="A8" s="1">
        <v>4</v>
      </c>
      <c r="B8" s="1">
        <v>210004</v>
      </c>
      <c r="C8" s="4">
        <v>638008057</v>
      </c>
      <c r="D8" s="4">
        <f>SUM('Modeling - Base Estimates'!E8:G8)-SUM('Scenario 3 - increase MA &amp; QP %'!E8:F8)</f>
        <v>103986658.16500001</v>
      </c>
      <c r="E8" s="4">
        <f>((SUM('Modeling - Base Estimates'!F8:G8)/SUM('Modeling - Base Estimates'!E8:G8)+$E$61))*SUM('Modeling - Base Estimates'!E8:G8)*('Modeling - Base Estimates'!F8/SUM('Modeling - Base Estimates'!F8:G8)+$E$73)</f>
        <v>110327766.23063211</v>
      </c>
      <c r="F8" s="4">
        <f>((SUM('Modeling - Base Estimates'!F8:G8)/SUM('Modeling - Base Estimates'!E8:G8)+$E$61))*SUM('Modeling - Base Estimates'!E8:G8)*('Modeling - Base Estimates'!G8/SUM('Modeling - Base Estimates'!F8:G8)-$E$73)</f>
        <v>11818128.304367894</v>
      </c>
      <c r="G8" s="4">
        <v>38011102.5</v>
      </c>
      <c r="H8" s="4">
        <v>131463830.69999999</v>
      </c>
      <c r="I8" s="4">
        <v>38795590.100000001</v>
      </c>
      <c r="J8" s="4">
        <v>21621495.800000001</v>
      </c>
      <c r="K8" s="4">
        <v>4480781.6000000006</v>
      </c>
      <c r="L8" s="4">
        <v>38345457.699999996</v>
      </c>
      <c r="M8" s="4">
        <f t="shared" si="0"/>
        <v>139157245.89999998</v>
      </c>
      <c r="N8" s="12">
        <f t="shared" si="1"/>
        <v>0.16298643414310363</v>
      </c>
      <c r="O8" s="12">
        <f t="shared" si="2"/>
        <v>0.17292534948446914</v>
      </c>
      <c r="P8" s="12">
        <f t="shared" si="2"/>
        <v>1.8523478151574336E-2</v>
      </c>
      <c r="Q8" s="12">
        <f t="shared" si="9"/>
        <v>0.26563133700363284</v>
      </c>
      <c r="R8" s="12">
        <f t="shared" si="10"/>
        <v>6.0807367045523066E-2</v>
      </c>
      <c r="S8" s="12">
        <f t="shared" si="3"/>
        <v>3.3889063880583568E-2</v>
      </c>
      <c r="T8" s="12">
        <f t="shared" si="3"/>
        <v>7.0230799608851967E-3</v>
      </c>
      <c r="U8" s="12">
        <f t="shared" si="3"/>
        <v>6.0101839278183279E-2</v>
      </c>
      <c r="V8" s="12">
        <f t="shared" si="11"/>
        <v>0.2181120510520449</v>
      </c>
      <c r="W8" s="4">
        <f>SUMIFS('Modeling - Base Estimates'!AK:AK,'Modeling - Base Estimates'!A:A,A8)</f>
        <v>360144957.90650022</v>
      </c>
      <c r="X8" s="4">
        <f>(W8*N8*(1-N$2))+(W8*O8*(1-'Modeling - Base Estimates'!$AA$51-N$2))+(W8*P8*(1-'Modeling - Base Estimates'!$AE$51))+(W8*Q8*(1-Q$2))+(W8*R8*(1-R$2))+(W8*S8*(1-S$2))+(W8*T8*(1-T$2))+(W8*U8*(1-U$2))+(W8*V8*(1-V$2))</f>
        <v>333374842.95036012</v>
      </c>
      <c r="Y8" s="5">
        <f>X8*N8*SUMIFS('Modeling - Base Estimates'!AN:AN,'Modeling - Base Estimates'!A:A,A8)</f>
        <v>1137916.7057006687</v>
      </c>
      <c r="Z8" s="4">
        <f t="shared" si="4"/>
        <v>332236926.24465942</v>
      </c>
      <c r="AA8" s="4">
        <f>(((W8*N8*(1-N$2))/X8)*X8)-Y8-(((SUMIFS('Modeling - Base Estimates'!X:X,'Modeling - Base Estimates'!A:A,A8)*N8*(1-N$2))/SUMIFS('Modeling - Base Estimates'!Z:Z,'Modeling - Base Estimates'!A:A,A8))*SUMIFS('Modeling - Base Estimates'!Z:Z,'Modeling - Base Estimates'!A:A,A8))</f>
        <v>4533.5962601825595</v>
      </c>
      <c r="AB8" s="4"/>
      <c r="AC8" s="18">
        <f>1-((((W8*O8*(1-N$2-'Modeling - Base Estimates'!$AA$51))/X8)*X8)/('Modeling - Base Estimates'!X8*'Modeling - Base Estimates'!P8))</f>
        <v>-2.3005730177993566E-2</v>
      </c>
      <c r="AD8" s="18">
        <f t="shared" si="22"/>
        <v>-0.10000573017799357</v>
      </c>
      <c r="AE8" s="18">
        <f>1-((((W8*P8*(1-'Modeling - Base Estimates'!$AE$51))/X8)*X8)/(SUMIFS('Modeling - Base Estimates'!X:X,'Modeling - Base Estimates'!A:A,A8)*'Modeling - Base Estimates'!Q8))</f>
        <v>0.49421641127058114</v>
      </c>
      <c r="AF8" s="18">
        <f t="shared" si="23"/>
        <v>0.41721641127058112</v>
      </c>
      <c r="AG8" s="18">
        <f>$N8*(1-$N$2)+$O8*(1-$N$2-'Modeling - Base Estimates'!$AA$51)+$P8*(1-'Modeling - Base Estimates'!$AE$51)+$Q8*(1-$Q$2)+$R8*(1-$R$2)+$S8*(1-$S$2)+$T8*(1-$T$2)+$U8*(1-$U$2)+$V8*(1-$V$2)</f>
        <v>0.92566849995137201</v>
      </c>
      <c r="AH8" s="18" t="e">
        <f>$O8*(1-$N$2-#REF!)+$P8*(1-#REF!)+$Q8*(1-$Q$2)+$R8*(1-$R$2)+$S8*(1-$S$2)+$T8*(1-$T$2)+$U8*(1-$U$2)+$V8*(1-$V$2)</f>
        <v>#REF!</v>
      </c>
      <c r="AJ8" s="7">
        <f>(SUMIFS('Modeling - Base Estimates'!$X:$X,'Modeling - Base Estimates'!$A:$A,$A8)*SUMIFS('Modeling - Base Estimates'!O:O,'Modeling - Base Estimates'!$A:$A,$A8)*($N$2))</f>
        <v>4905577.9983093422</v>
      </c>
      <c r="AK8" s="7">
        <f>(SUMIFS('Modeling - Base Estimates'!$X:$X,'Modeling - Base Estimates'!$A:$A,$A8)*SUMIFS('Modeling - Base Estimates'!P:P,'Modeling - Base Estimates'!$A:$A,$A8)*($N$2))</f>
        <v>3788159.6767625152</v>
      </c>
      <c r="AL8" s="7">
        <f>(SUMIFS('Modeling - Base Estimates'!$X:$X,'Modeling - Base Estimates'!$A:$A,$A8)*SUMIFS('Modeling - Base Estimates'!Q:Q,'Modeling - Base Estimates'!$A:$A,$A8)*($N$2))</f>
        <v>927905.66286697658</v>
      </c>
      <c r="AM8" s="7">
        <f>(SUMIFS('Modeling - Base Estimates'!$X:$X,'Modeling - Base Estimates'!$A:$A,$A8)*SUMIFS('Modeling - Base Estimates'!R:R,'Modeling - Base Estimates'!$A:$A,$A8)*($N$2))</f>
        <v>7210935.9864463629</v>
      </c>
      <c r="AN8" s="7">
        <f>(SUMIFS('Modeling - Base Estimates'!X:X,'Modeling - Base Estimates'!A:A,$A8)*$R8*($R$2))+(SUMIFS('Modeling - Base Estimates'!X:X,'Modeling - Base Estimates'!A:A,$A8)*$S8*($S$2))+(SUMIFS('Modeling - Base Estimates'!X:X,'Modeling - Base Estimates'!A:A,$A8)*$T8*($T$2))+(SUMIFS('Modeling - Base Estimates'!X:X,'Modeling - Base Estimates'!A:A,$A8)*$U8*($U$2))+(SUMIFS('Modeling - Base Estimates'!X:X,'Modeling - Base Estimates'!A:A,$A8)*$V8*($V$2))</f>
        <v>2308731.1560566095</v>
      </c>
      <c r="AO8" s="7">
        <f>SUM(AJ8:AN8)-(SUMIFS('Modeling - Base Estimates'!X:X,'Modeling - Base Estimates'!A:A,A8)-SUMIFS('Modeling - Base Estimates'!Z:Z,'Modeling - Base Estimates'!A:A,A8))</f>
        <v>0</v>
      </c>
      <c r="AQ8" s="7">
        <f t="shared" si="5"/>
        <v>4519803.1697124941</v>
      </c>
      <c r="AR8" s="7">
        <f>(W8*$O8*($N$2+'Modeling - Base Estimates'!$AA$51))</f>
        <v>11949503.670047486</v>
      </c>
      <c r="AS8" s="7">
        <f>(W8*P8*('Modeling - Base Estimates'!$AE$51))</f>
        <v>576079.3868792915</v>
      </c>
      <c r="AT8" s="7">
        <f t="shared" si="6"/>
        <v>7366265.5746541955</v>
      </c>
      <c r="AU8" s="7">
        <f t="shared" si="7"/>
        <v>2358463.1548466296</v>
      </c>
      <c r="AV8" s="5">
        <f t="shared" si="12"/>
        <v>0</v>
      </c>
      <c r="AX8" s="7">
        <f>SUMIFS('Modeling - Base Estimates'!X:X,'Modeling - Base Estimates'!A:A,A8)</f>
        <v>352550720.71266001</v>
      </c>
      <c r="AY8" s="5">
        <f t="shared" si="13"/>
        <v>4905577.9983093422</v>
      </c>
      <c r="AZ8" s="5">
        <f t="shared" si="13"/>
        <v>3788159.6767625152</v>
      </c>
      <c r="BA8" s="5">
        <f t="shared" si="13"/>
        <v>927905.66286697658</v>
      </c>
      <c r="BB8" s="5">
        <f t="shared" si="13"/>
        <v>7210935.9864463629</v>
      </c>
      <c r="BC8" s="5">
        <f t="shared" si="13"/>
        <v>2308731.1560566095</v>
      </c>
      <c r="BD8" s="5">
        <f t="shared" si="14"/>
        <v>333409410.23221821</v>
      </c>
      <c r="BF8" s="5">
        <f t="shared" si="15"/>
        <v>360144957.90650022</v>
      </c>
      <c r="BG8" s="5">
        <f t="shared" si="16"/>
        <v>4519803.1697124941</v>
      </c>
      <c r="BH8" s="5">
        <f t="shared" si="17"/>
        <v>1137916.7057006687</v>
      </c>
      <c r="BI8" s="5">
        <f t="shared" si="18"/>
        <v>11949503.670047486</v>
      </c>
      <c r="BJ8" s="5">
        <f t="shared" si="8"/>
        <v>576079.3868792915</v>
      </c>
      <c r="BK8" s="5">
        <f t="shared" si="8"/>
        <v>7366265.5746541955</v>
      </c>
      <c r="BL8" s="5">
        <f t="shared" si="8"/>
        <v>2358463.1548466296</v>
      </c>
      <c r="BM8" s="5">
        <f t="shared" si="19"/>
        <v>332236926.24465942</v>
      </c>
      <c r="BO8" s="5">
        <f t="shared" si="20"/>
        <v>-1172483.9875587821</v>
      </c>
      <c r="BP8" s="1">
        <f t="shared" si="21"/>
        <v>-3.5166493553440859E-3</v>
      </c>
    </row>
    <row r="9" spans="1:16372" x14ac:dyDescent="0.25">
      <c r="A9" s="1">
        <v>5</v>
      </c>
      <c r="B9" s="1">
        <v>210005</v>
      </c>
      <c r="C9" s="4">
        <v>464628200</v>
      </c>
      <c r="D9" s="4">
        <f>SUM('Modeling - Base Estimates'!E9:G9)-SUM('Scenario 3 - increase MA &amp; QP %'!E9:F9)</f>
        <v>151812410</v>
      </c>
      <c r="E9" s="4">
        <f>((SUM('Modeling - Base Estimates'!F9:G9)/SUM('Modeling - Base Estimates'!E9:G9)+$E$61))*SUM('Modeling - Base Estimates'!E9:G9)*('Modeling - Base Estimates'!F9/SUM('Modeling - Base Estimates'!F9:G9)+$E$73)</f>
        <v>27077228.982582722</v>
      </c>
      <c r="F9" s="4">
        <f>((SUM('Modeling - Base Estimates'!F9:G9)/SUM('Modeling - Base Estimates'!E9:G9)+$E$61))*SUM('Modeling - Base Estimates'!E9:G9)*('Modeling - Base Estimates'!G9/SUM('Modeling - Base Estimates'!F9:G9)-$E$73)</f>
        <v>32446161.017417278</v>
      </c>
      <c r="G9" s="4">
        <v>7748400</v>
      </c>
      <c r="H9" s="4">
        <v>62118500</v>
      </c>
      <c r="I9" s="4">
        <v>37567300</v>
      </c>
      <c r="J9" s="4">
        <v>37785400</v>
      </c>
      <c r="K9" s="4">
        <v>3671900</v>
      </c>
      <c r="L9" s="4">
        <v>30488500</v>
      </c>
      <c r="M9" s="4">
        <f t="shared" si="0"/>
        <v>73912400</v>
      </c>
      <c r="N9" s="12">
        <f t="shared" si="1"/>
        <v>0.32673955218387518</v>
      </c>
      <c r="O9" s="12">
        <f t="shared" si="2"/>
        <v>5.8277196654406088E-2</v>
      </c>
      <c r="P9" s="12">
        <f t="shared" si="2"/>
        <v>6.9832526345618456E-2</v>
      </c>
      <c r="Q9" s="12">
        <f t="shared" si="9"/>
        <v>0.15037163047787458</v>
      </c>
      <c r="R9" s="12">
        <f t="shared" si="10"/>
        <v>8.0854541330035501E-2</v>
      </c>
      <c r="S9" s="12">
        <f t="shared" si="3"/>
        <v>8.1323948912270072E-2</v>
      </c>
      <c r="T9" s="12">
        <f t="shared" si="3"/>
        <v>7.9028780431321215E-3</v>
      </c>
      <c r="U9" s="12">
        <f t="shared" si="3"/>
        <v>6.561913375038364E-2</v>
      </c>
      <c r="V9" s="12">
        <f t="shared" si="11"/>
        <v>0.15907859230240437</v>
      </c>
      <c r="W9" s="4">
        <f>SUMIFS('Modeling - Base Estimates'!AK:AK,'Modeling - Base Estimates'!A:A,A9)</f>
        <v>257208789.33883423</v>
      </c>
      <c r="X9" s="4">
        <f>(W9*N9*(1-N$2))+(W9*O9*(1-'Modeling - Base Estimates'!$AA$51-N$2))+(W9*P9*(1-'Modeling - Base Estimates'!$AE$51))+(W9*Q9*(1-Q$2))+(W9*R9*(1-R$2))+(W9*S9*(1-S$2))+(W9*T9*(1-T$2))+(W9*U9*(1-U$2))+(W9*V9*(1-V$2))</f>
        <v>241587204.47391275</v>
      </c>
      <c r="Y9" s="5">
        <f>X9*N9*SUMIFS('Modeling - Base Estimates'!AN:AN,'Modeling - Base Estimates'!A:A,A9)</f>
        <v>612934.92858077097</v>
      </c>
      <c r="Z9" s="4">
        <f t="shared" si="4"/>
        <v>240974269.54533198</v>
      </c>
      <c r="AA9" s="4">
        <f>(((W9*N9*(1-N$2))/X9)*X9)-Y9-(((SUMIFS('Modeling - Base Estimates'!X:X,'Modeling - Base Estimates'!A:A,A9)*N9*(1-N$2))/SUMIFS('Modeling - Base Estimates'!Z:Z,'Modeling - Base Estimates'!A:A,A9))*SUMIFS('Modeling - Base Estimates'!Z:Z,'Modeling - Base Estimates'!A:A,A9))</f>
        <v>1576.7437693178654</v>
      </c>
      <c r="AB9" s="4"/>
      <c r="AC9" s="18">
        <f>1-((((W9*O9*(1-N$2-'Modeling - Base Estimates'!$AA$51))/X9)*X9)/('Modeling - Base Estimates'!X9*'Modeling - Base Estimates'!P9))</f>
        <v>-0.26946291141552958</v>
      </c>
      <c r="AD9" s="18">
        <f t="shared" si="22"/>
        <v>-0.3464629114155296</v>
      </c>
      <c r="AE9" s="18">
        <f>1-((((W9*P9*(1-'Modeling - Base Estimates'!$AE$51))/X9)*X9)/(SUMIFS('Modeling - Base Estimates'!X:X,'Modeling - Base Estimates'!A:A,A9)*'Modeling - Base Estimates'!Q9))</f>
        <v>5.3855095321778901E-2</v>
      </c>
      <c r="AF9" s="18">
        <f t="shared" si="23"/>
        <v>-2.3144904678221098E-2</v>
      </c>
      <c r="AG9" s="18">
        <f>$N9*(1-$N$2)+$O9*(1-$N$2-'Modeling - Base Estimates'!$AA$51)+$P9*(1-'Modeling - Base Estimates'!$AE$51)+$Q9*(1-$Q$2)+$R9*(1-$R$2)+$S9*(1-$S$2)+$T9*(1-$T$2)+$U9*(1-$U$2)+$V9*(1-$V$2)</f>
        <v>0.939264964836243</v>
      </c>
      <c r="AH9" s="18" t="e">
        <f>$O9*(1-$N$2-#REF!)+$P9*(1-#REF!)+$Q9*(1-$Q$2)+$R9*(1-$R$2)+$S9*(1-$S$2)+$T9*(1-$T$2)+$U9*(1-$U$2)+$V9*(1-$V$2)</f>
        <v>#REF!</v>
      </c>
      <c r="AJ9" s="7">
        <f>(SUMIFS('Modeling - Base Estimates'!$X:$X,'Modeling - Base Estimates'!$A:$A,$A9)*SUMIFS('Modeling - Base Estimates'!O:O,'Modeling - Base Estimates'!$A:$A,$A9)*($N$2))</f>
        <v>6866685.1238261079</v>
      </c>
      <c r="AK9" s="7">
        <f>(SUMIFS('Modeling - Base Estimates'!$X:$X,'Modeling - Base Estimates'!$A:$A,$A9)*SUMIFS('Modeling - Base Estimates'!P:P,'Modeling - Base Estimates'!$A:$A,$A9)*($N$2))</f>
        <v>734741.85911831295</v>
      </c>
      <c r="AL9" s="7">
        <f>(SUMIFS('Modeling - Base Estimates'!$X:$X,'Modeling - Base Estimates'!$A:$A,$A9)*SUMIFS('Modeling - Base Estimates'!Q:Q,'Modeling - Base Estimates'!$A:$A,$A9)*($N$2))</f>
        <v>1335532.8862499685</v>
      </c>
      <c r="AM9" s="7">
        <f>(SUMIFS('Modeling - Base Estimates'!$X:$X,'Modeling - Base Estimates'!$A:$A,$A9)*SUMIFS('Modeling - Base Estimates'!R:R,'Modeling - Base Estimates'!$A:$A,$A9)*($N$2))</f>
        <v>2954528.6765660029</v>
      </c>
      <c r="AN9" s="7">
        <f>(SUMIFS('Modeling - Base Estimates'!X:X,'Modeling - Base Estimates'!A:A,$A9)*$R9*($R$2))+(SUMIFS('Modeling - Base Estimates'!X:X,'Modeling - Base Estimates'!A:A,$A9)*$S9*($S$2))+(SUMIFS('Modeling - Base Estimates'!X:X,'Modeling - Base Estimates'!A:A,$A9)*$T9*($T$2))+(SUMIFS('Modeling - Base Estimates'!X:X,'Modeling - Base Estimates'!A:A,$A9)*$U9*($U$2))+(SUMIFS('Modeling - Base Estimates'!X:X,'Modeling - Base Estimates'!A:A,$A9)*$V9*($V$2))</f>
        <v>1731421.898078707</v>
      </c>
      <c r="AO9" s="7">
        <f>SUM(AJ9:AN9)-(SUMIFS('Modeling - Base Estimates'!X:X,'Modeling - Base Estimates'!A:A,A9)-SUMIFS('Modeling - Base Estimates'!Z:Z,'Modeling - Base Estimates'!A:A,A9))</f>
        <v>2.6077032089233398E-8</v>
      </c>
      <c r="AQ9" s="7">
        <f t="shared" si="5"/>
        <v>6471101.917767209</v>
      </c>
      <c r="AR9" s="7">
        <f>(W9*$O9*($N$2+'Modeling - Base Estimates'!$AA$51))</f>
        <v>2876062.5272137751</v>
      </c>
      <c r="AS9" s="7">
        <f>(W9*P9*('Modeling - Base Estimates'!$AE$51))</f>
        <v>1551050.7869767456</v>
      </c>
      <c r="AT9" s="7">
        <f t="shared" si="6"/>
        <v>2978121.6870112917</v>
      </c>
      <c r="AU9" s="7">
        <f t="shared" si="7"/>
        <v>1745247.9459524578</v>
      </c>
      <c r="AV9" s="5">
        <f t="shared" si="12"/>
        <v>0</v>
      </c>
      <c r="AX9" s="7">
        <f>SUMIFS('Modeling - Base Estimates'!X:X,'Modeling - Base Estimates'!A:A,A9)</f>
        <v>255171152.77080637</v>
      </c>
      <c r="AY9" s="5">
        <f t="shared" si="13"/>
        <v>6866685.1238261079</v>
      </c>
      <c r="AZ9" s="5">
        <f t="shared" si="13"/>
        <v>734741.85911831295</v>
      </c>
      <c r="BA9" s="5">
        <f t="shared" si="13"/>
        <v>1335532.8862499685</v>
      </c>
      <c r="BB9" s="5">
        <f t="shared" si="13"/>
        <v>2954528.6765660029</v>
      </c>
      <c r="BC9" s="5">
        <f t="shared" si="13"/>
        <v>1731421.898078707</v>
      </c>
      <c r="BD9" s="5">
        <f t="shared" si="14"/>
        <v>241548242.32696727</v>
      </c>
      <c r="BF9" s="5">
        <f t="shared" si="15"/>
        <v>257208789.33883423</v>
      </c>
      <c r="BG9" s="5">
        <f t="shared" si="16"/>
        <v>6471101.917767209</v>
      </c>
      <c r="BH9" s="5">
        <f t="shared" si="17"/>
        <v>612934.92858077097</v>
      </c>
      <c r="BI9" s="5">
        <f t="shared" si="18"/>
        <v>2876062.5272137751</v>
      </c>
      <c r="BJ9" s="5">
        <f t="shared" si="8"/>
        <v>1551050.7869767456</v>
      </c>
      <c r="BK9" s="5">
        <f t="shared" si="8"/>
        <v>2978121.6870112917</v>
      </c>
      <c r="BL9" s="5">
        <f t="shared" si="8"/>
        <v>1745247.9459524578</v>
      </c>
      <c r="BM9" s="5">
        <f t="shared" si="19"/>
        <v>240974269.54533198</v>
      </c>
      <c r="BO9" s="5">
        <f t="shared" si="20"/>
        <v>-573972.78163528442</v>
      </c>
      <c r="BP9" s="1">
        <f t="shared" si="21"/>
        <v>-2.3762242113868786E-3</v>
      </c>
    </row>
    <row r="10" spans="1:16372" x14ac:dyDescent="0.25">
      <c r="A10" s="1">
        <v>6</v>
      </c>
      <c r="B10" s="1">
        <v>210006</v>
      </c>
      <c r="C10" s="4">
        <v>38346876.100000001</v>
      </c>
      <c r="D10" s="4">
        <f>SUM('Modeling - Base Estimates'!E10:G10)-SUM('Scenario 3 - increase MA &amp; QP %'!E10:F10)</f>
        <v>8147968.3200000003</v>
      </c>
      <c r="E10" s="4">
        <f>((SUM('Modeling - Base Estimates'!F10:G10)/SUM('Modeling - Base Estimates'!E10:G10)+$E$61))*SUM('Modeling - Base Estimates'!E10:G10)*('Modeling - Base Estimates'!F10/SUM('Modeling - Base Estimates'!F10:G10)+$E$73)</f>
        <v>2497195.7092269538</v>
      </c>
      <c r="F10" s="4">
        <f>((SUM('Modeling - Base Estimates'!F10:G10)/SUM('Modeling - Base Estimates'!E10:G10)+$E$61))*SUM('Modeling - Base Estimates'!E10:G10)*('Modeling - Base Estimates'!G10/SUM('Modeling - Base Estimates'!F10:G10)-$E$73)</f>
        <v>2450437.5707730455</v>
      </c>
      <c r="G10" s="4">
        <v>517795.89999999997</v>
      </c>
      <c r="H10" s="4">
        <v>9066069.6000000015</v>
      </c>
      <c r="I10" s="4">
        <v>0</v>
      </c>
      <c r="J10" s="4">
        <v>5731495.5</v>
      </c>
      <c r="K10" s="4">
        <v>151462.6</v>
      </c>
      <c r="L10" s="4">
        <v>2527000</v>
      </c>
      <c r="M10" s="4">
        <f t="shared" si="0"/>
        <v>7257450.8999999985</v>
      </c>
      <c r="N10" s="12">
        <f t="shared" si="1"/>
        <v>0.21248062811562374</v>
      </c>
      <c r="O10" s="12">
        <f t="shared" si="2"/>
        <v>6.5121229242111681E-2</v>
      </c>
      <c r="P10" s="12">
        <f t="shared" si="2"/>
        <v>6.3901882499707602E-2</v>
      </c>
      <c r="Q10" s="12">
        <f t="shared" si="9"/>
        <v>0.24992558650690197</v>
      </c>
      <c r="R10" s="12">
        <f t="shared" si="10"/>
        <v>0</v>
      </c>
      <c r="S10" s="12">
        <f t="shared" si="3"/>
        <v>0.14946446967553637</v>
      </c>
      <c r="T10" s="12">
        <f t="shared" si="3"/>
        <v>3.9498028367426783E-3</v>
      </c>
      <c r="U10" s="12">
        <f t="shared" si="3"/>
        <v>6.5898457892897305E-2</v>
      </c>
      <c r="V10" s="12">
        <f t="shared" si="11"/>
        <v>0.18925794323047865</v>
      </c>
      <c r="W10" s="4">
        <f>SUMIFS('Modeling - Base Estimates'!AK:AK,'Modeling - Base Estimates'!A:A,A10)</f>
        <v>16593177.879711792</v>
      </c>
      <c r="X10" s="4">
        <f>(W10*N10*(1-N$2))+(W10*O10*(1-'Modeling - Base Estimates'!$AA$51-N$2))+(W10*P10*(1-'Modeling - Base Estimates'!$AE$51))+(W10*Q10*(1-Q$2))+(W10*R10*(1-R$2))+(W10*S10*(1-S$2))+(W10*T10*(1-T$2))+(W10*U10*(1-U$2))+(W10*V10*(1-V$2))</f>
        <v>15589756.693465943</v>
      </c>
      <c r="Y10" s="5">
        <f>X10*N10*SUMIFS('Modeling - Base Estimates'!AN:AN,'Modeling - Base Estimates'!A:A,A10)</f>
        <v>25781.705167060958</v>
      </c>
      <c r="Z10" s="4">
        <f t="shared" si="4"/>
        <v>15563974.988298882</v>
      </c>
      <c r="AA10" s="4">
        <f>(((W10*N10*(1-N$2))/X10)*X10)-Y10-(((SUMIFS('Modeling - Base Estimates'!X:X,'Modeling - Base Estimates'!A:A,A10)*N10*(1-N$2))/SUMIFS('Modeling - Base Estimates'!Z:Z,'Modeling - Base Estimates'!A:A,A10))*SUMIFS('Modeling - Base Estimates'!Z:Z,'Modeling - Base Estimates'!A:A,A10))</f>
        <v>61.752864459063858</v>
      </c>
      <c r="AB10" s="4"/>
      <c r="AC10" s="18">
        <f>1-((((W10*O10*(1-N$2-'Modeling - Base Estimates'!$AA$51))/X10)*X10)/('Modeling - Base Estimates'!X10*'Modeling - Base Estimates'!P10))</f>
        <v>-0.17081559743953201</v>
      </c>
      <c r="AD10" s="18">
        <f t="shared" si="22"/>
        <v>-0.24781559743953202</v>
      </c>
      <c r="AE10" s="18">
        <f>1-((((W10*P10*(1-'Modeling - Base Estimates'!$AE$51))/X10)*X10)/(SUMIFS('Modeling - Base Estimates'!X:X,'Modeling - Base Estimates'!A:A,A10)*'Modeling - Base Estimates'!Q10))</f>
        <v>0.11687772856514467</v>
      </c>
      <c r="AF10" s="18">
        <f t="shared" si="23"/>
        <v>3.9877728565144668E-2</v>
      </c>
      <c r="AG10" s="18">
        <f>$N10*(1-$N$2)+$O10*(1-$N$2-'Modeling - Base Estimates'!$AA$51)+$P10*(1-'Modeling - Base Estimates'!$AE$51)+$Q10*(1-$Q$2)+$R10*(1-$R$2)+$S10*(1-$S$2)+$T10*(1-$T$2)+$U10*(1-$U$2)+$V10*(1-$V$2)</f>
        <v>0.939528088379459</v>
      </c>
      <c r="AH10" s="18" t="e">
        <f>$O10*(1-$N$2-#REF!)+$P10*(1-#REF!)+$Q10*(1-$Q$2)+$R10*(1-$R$2)+$S10*(1-$S$2)+$T10*(1-$T$2)+$U10*(1-$U$2)+$V10*(1-$V$2)</f>
        <v>#REF!</v>
      </c>
      <c r="AJ10" s="7">
        <f>(SUMIFS('Modeling - Base Estimates'!$X:$X,'Modeling - Base Estimates'!$A:$A,$A10)*SUMIFS('Modeling - Base Estimates'!O:O,'Modeling - Base Estimates'!$A:$A,$A10)*($N$2))</f>
        <v>290968.44666653126</v>
      </c>
      <c r="AK10" s="7">
        <f>(SUMIFS('Modeling - Base Estimates'!$X:$X,'Modeling - Base Estimates'!$A:$A,$A10)*SUMIFS('Modeling - Base Estimates'!P:P,'Modeling - Base Estimates'!$A:$A,$A10)*($N$2))</f>
        <v>57429.36330534381</v>
      </c>
      <c r="AL10" s="7">
        <f>(SUMIFS('Modeling - Base Estimates'!$X:$X,'Modeling - Base Estimates'!$A:$A,$A10)*SUMIFS('Modeling - Base Estimates'!Q:Q,'Modeling - Base Estimates'!$A:$A,$A10)*($N$2))</f>
        <v>84467.7772935455</v>
      </c>
      <c r="AM10" s="7">
        <f>(SUMIFS('Modeling - Base Estimates'!$X:$X,'Modeling - Base Estimates'!$A:$A,$A10)*SUMIFS('Modeling - Base Estimates'!R:R,'Modeling - Base Estimates'!$A:$A,$A10)*($N$2))</f>
        <v>316787.7043487872</v>
      </c>
      <c r="AN10" s="7">
        <f>(SUMIFS('Modeling - Base Estimates'!X:X,'Modeling - Base Estimates'!A:A,$A10)*$R10*($R$2))+(SUMIFS('Modeling - Base Estimates'!X:X,'Modeling - Base Estimates'!A:A,$A10)*$S10*($S$2))+(SUMIFS('Modeling - Base Estimates'!X:X,'Modeling - Base Estimates'!A:A,$A10)*$T10*($T$2))+(SUMIFS('Modeling - Base Estimates'!X:X,'Modeling - Base Estimates'!A:A,$A10)*$U10*($U$2))+(SUMIFS('Modeling - Base Estimates'!X:X,'Modeling - Base Estimates'!A:A,$A10)*$V10*($V$2))</f>
        <v>112817.31513941943</v>
      </c>
      <c r="AO10" s="7">
        <f>SUM(AJ10:AN10)-(SUMIFS('Modeling - Base Estimates'!X:X,'Modeling - Base Estimates'!A:A,A10)-SUMIFS('Modeling - Base Estimates'!Z:Z,'Modeling - Base Estimates'!A:A,A10))</f>
        <v>-1.6298145055770874E-9</v>
      </c>
      <c r="AQ10" s="7">
        <f t="shared" si="5"/>
        <v>271481.1220902885</v>
      </c>
      <c r="AR10" s="7">
        <f>(W10*$O10*($N$2+'Modeling - Base Estimates'!$AA$51))</f>
        <v>207331.85083363976</v>
      </c>
      <c r="AS10" s="7">
        <f>(W10*P10*('Modeling - Base Estimates'!$AE$51))</f>
        <v>91564.194769604554</v>
      </c>
      <c r="AT10" s="7">
        <f t="shared" si="6"/>
        <v>319323.59794722474</v>
      </c>
      <c r="AU10" s="7">
        <f t="shared" si="7"/>
        <v>113720.42060509106</v>
      </c>
      <c r="AV10" s="5">
        <f t="shared" si="12"/>
        <v>0</v>
      </c>
      <c r="AX10" s="7">
        <f>SUMIFS('Modeling - Base Estimates'!X:X,'Modeling - Base Estimates'!A:A,A10)</f>
        <v>16461403.924284134</v>
      </c>
      <c r="AY10" s="5">
        <f t="shared" si="13"/>
        <v>290968.44666653126</v>
      </c>
      <c r="AZ10" s="5">
        <f t="shared" si="13"/>
        <v>57429.36330534381</v>
      </c>
      <c r="BA10" s="5">
        <f t="shared" si="13"/>
        <v>84467.7772935455</v>
      </c>
      <c r="BB10" s="5">
        <f t="shared" si="13"/>
        <v>316787.7043487872</v>
      </c>
      <c r="BC10" s="5">
        <f t="shared" si="13"/>
        <v>112817.31513941943</v>
      </c>
      <c r="BD10" s="5">
        <f t="shared" si="14"/>
        <v>15598933.317530507</v>
      </c>
      <c r="BF10" s="5">
        <f t="shared" si="15"/>
        <v>16593177.879711792</v>
      </c>
      <c r="BG10" s="5">
        <f t="shared" si="16"/>
        <v>271481.1220902885</v>
      </c>
      <c r="BH10" s="5">
        <f t="shared" si="17"/>
        <v>25781.705167060958</v>
      </c>
      <c r="BI10" s="5">
        <f t="shared" si="18"/>
        <v>207331.85083363976</v>
      </c>
      <c r="BJ10" s="5">
        <f t="shared" si="8"/>
        <v>91564.194769604554</v>
      </c>
      <c r="BK10" s="5">
        <f t="shared" si="8"/>
        <v>319323.59794722474</v>
      </c>
      <c r="BL10" s="5">
        <f t="shared" si="8"/>
        <v>113720.42060509106</v>
      </c>
      <c r="BM10" s="5">
        <f t="shared" si="19"/>
        <v>15563974.988298882</v>
      </c>
      <c r="BO10" s="5">
        <f t="shared" si="20"/>
        <v>-34958.329231625423</v>
      </c>
      <c r="BP10" s="1">
        <f t="shared" si="21"/>
        <v>-2.2410717784361765E-3</v>
      </c>
    </row>
    <row r="11" spans="1:16372" x14ac:dyDescent="0.25">
      <c r="A11" s="1">
        <v>8</v>
      </c>
      <c r="B11" s="1">
        <v>210008</v>
      </c>
      <c r="C11" s="7">
        <v>717488099.89999998</v>
      </c>
      <c r="D11" s="7">
        <f>SUM('Modeling - Base Estimates'!E11:G11)-SUM('Scenario 3 - increase MA &amp; QP %'!E11:F11)</f>
        <v>166661670</v>
      </c>
      <c r="E11" s="4">
        <f>((SUM('Modeling - Base Estimates'!F11:G11)/SUM('Modeling - Base Estimates'!E11:G11)+$E$61))*SUM('Modeling - Base Estimates'!E11:G11)*('Modeling - Base Estimates'!F11/SUM('Modeling - Base Estimates'!F11:G11)+$E$73)</f>
        <v>53959834.046144292</v>
      </c>
      <c r="F11" s="4">
        <f>((SUM('Modeling - Base Estimates'!F11:G11)/SUM('Modeling - Base Estimates'!E11:G11)+$E$61))*SUM('Modeling - Base Estimates'!E11:G11)*('Modeling - Base Estimates'!G11/SUM('Modeling - Base Estimates'!F11:G11)-$E$73)</f>
        <v>48251095.953855708</v>
      </c>
      <c r="G11" s="7">
        <v>13192500.200000001</v>
      </c>
      <c r="H11" s="7">
        <v>130626343.09999999</v>
      </c>
      <c r="I11" s="7">
        <v>43889363.799999997</v>
      </c>
      <c r="J11" s="7">
        <v>137689363.90000001</v>
      </c>
      <c r="K11" s="7">
        <v>-3066440</v>
      </c>
      <c r="L11" s="7">
        <v>33119277</v>
      </c>
      <c r="M11" s="7">
        <f t="shared" si="0"/>
        <v>93165091.899999976</v>
      </c>
      <c r="N11" s="12">
        <f t="shared" si="1"/>
        <v>0.2322849257335815</v>
      </c>
      <c r="O11" s="12">
        <f t="shared" si="2"/>
        <v>7.5206590957626968E-2</v>
      </c>
      <c r="P11" s="12">
        <f t="shared" si="2"/>
        <v>6.7250029597119051E-2</v>
      </c>
      <c r="Q11" s="12">
        <f t="shared" si="9"/>
        <v>0.20044770543238941</v>
      </c>
      <c r="R11" s="12">
        <f t="shared" si="10"/>
        <v>6.1170859567032658E-2</v>
      </c>
      <c r="S11" s="12">
        <f t="shared" si="3"/>
        <v>0.19190473531085808</v>
      </c>
      <c r="T11" s="12">
        <f t="shared" si="3"/>
        <v>-4.2738548561674899E-3</v>
      </c>
      <c r="U11" s="12">
        <f t="shared" si="3"/>
        <v>4.6160036667668783E-2</v>
      </c>
      <c r="V11" s="12">
        <f t="shared" si="11"/>
        <v>0.129848971589891</v>
      </c>
      <c r="W11" s="4">
        <f>SUMIFS('Modeling - Base Estimates'!AK:AK,'Modeling - Base Estimates'!A:A,A11)</f>
        <v>398012472.04715806</v>
      </c>
      <c r="X11" s="4">
        <f>(W11*N11*(1-N$2))+(W11*O11*(1-'Modeling - Base Estimates'!$AA$51-N$2))+(W11*P11*(1-'Modeling - Base Estimates'!$AE$51))+(W11*Q11*(1-Q$2))+(W11*R11*(1-R$2))+(W11*S11*(1-S$2))+(W11*T11*(1-T$2))+(W11*U11*(1-U$2))+(W11*V11*(1-V$2))</f>
        <v>373620764.36209631</v>
      </c>
      <c r="Y11" s="5">
        <f>X11*N11*SUMIFS('Modeling - Base Estimates'!AN:AN,'Modeling - Base Estimates'!A:A,A11)</f>
        <v>803439.48365902493</v>
      </c>
      <c r="Z11" s="4">
        <f t="shared" si="4"/>
        <v>372817324.87843728</v>
      </c>
      <c r="AA11" s="4">
        <f>(((W11*N11*(1-N$2))/X11)*X11)-Y11-(((SUMIFS('Modeling - Base Estimates'!X:X,'Modeling - Base Estimates'!A:A,A11)*N11*(1-N$2))/SUMIFS('Modeling - Base Estimates'!Z:Z,'Modeling - Base Estimates'!A:A,A11))*SUMIFS('Modeling - Base Estimates'!Z:Z,'Modeling - Base Estimates'!A:A,A11))</f>
        <v>2160.7117697894573</v>
      </c>
      <c r="AB11" s="4"/>
      <c r="AC11" s="18">
        <f>1-((((W11*O11*(1-N$2-'Modeling - Base Estimates'!$AA$51))/X11)*X11)/('Modeling - Base Estimates'!X11*'Modeling - Base Estimates'!P11))</f>
        <v>-0.15890478295542376</v>
      </c>
      <c r="AD11" s="18">
        <f t="shared" si="22"/>
        <v>-0.23590478295542378</v>
      </c>
      <c r="AE11" s="18">
        <f>1-((((W11*P11*(1-'Modeling - Base Estimates'!$AE$51))/X11)*X11)/(SUMIFS('Modeling - Base Estimates'!X:X,'Modeling - Base Estimates'!A:A,A11)*'Modeling - Base Estimates'!Q11))</f>
        <v>0.12360559097804957</v>
      </c>
      <c r="AF11" s="18">
        <f t="shared" si="23"/>
        <v>4.6605590978049574E-2</v>
      </c>
      <c r="AG11" s="18">
        <f>$N11*(1-$N$2)+$O11*(1-$N$2-'Modeling - Base Estimates'!$AA$51)+$P11*(1-'Modeling - Base Estimates'!$AE$51)+$Q11*(1-$Q$2)+$R11*(1-$R$2)+$S11*(1-$S$2)+$T11*(1-$T$2)+$U11*(1-$U$2)+$V11*(1-$V$2)</f>
        <v>0.93871622273642807</v>
      </c>
      <c r="AH11" s="18" t="e">
        <f>$O11*(1-$N$2-#REF!)+$P11*(1-#REF!)+$Q11*(1-$Q$2)+$R11*(1-$R$2)+$S11*(1-$S$2)+$T11*(1-$T$2)+$U11*(1-$U$2)+$V11*(1-$V$2)</f>
        <v>#REF!</v>
      </c>
      <c r="AJ11" s="7">
        <f>(SUMIFS('Modeling - Base Estimates'!$X:$X,'Modeling - Base Estimates'!$A:$A,$A11)*SUMIFS('Modeling - Base Estimates'!O:O,'Modeling - Base Estimates'!$A:$A,$A11)*($N$2))</f>
        <v>7620434.1654740004</v>
      </c>
      <c r="AK11" s="7">
        <f>(SUMIFS('Modeling - Base Estimates'!$X:$X,'Modeling - Base Estimates'!$A:$A,$A11)*SUMIFS('Modeling - Base Estimates'!P:P,'Modeling - Base Estimates'!$A:$A,$A11)*($N$2))</f>
        <v>1607219.4194314892</v>
      </c>
      <c r="AL11" s="7">
        <f>(SUMIFS('Modeling - Base Estimates'!$X:$X,'Modeling - Base Estimates'!$A:$A,$A11)*SUMIFS('Modeling - Base Estimates'!Q:Q,'Modeling - Base Estimates'!$A:$A,$A11)*($N$2))</f>
        <v>2148613.2278969362</v>
      </c>
      <c r="AM11" s="7">
        <f>(SUMIFS('Modeling - Base Estimates'!$X:$X,'Modeling - Base Estimates'!$A:$A,$A11)*SUMIFS('Modeling - Base Estimates'!R:R,'Modeling - Base Estimates'!$A:$A,$A11)*($N$2))</f>
        <v>6085118.1343484698</v>
      </c>
      <c r="AN11" s="7">
        <f>(SUMIFS('Modeling - Base Estimates'!X:X,'Modeling - Base Estimates'!A:A,$A11)*$R11*($R$2))+(SUMIFS('Modeling - Base Estimates'!X:X,'Modeling - Base Estimates'!A:A,$A11)*$S11*($S$2))+(SUMIFS('Modeling - Base Estimates'!X:X,'Modeling - Base Estimates'!A:A,$A11)*$T11*($T$2))+(SUMIFS('Modeling - Base Estimates'!X:X,'Modeling - Base Estimates'!A:A,$A11)*$U11*($U$2))+(SUMIFS('Modeling - Base Estimates'!X:X,'Modeling - Base Estimates'!A:A,$A11)*$V11*($V$2))</f>
        <v>3045990.9472664027</v>
      </c>
      <c r="AO11" s="7">
        <f>SUM(AJ11:AN11)-(SUMIFS('Modeling - Base Estimates'!X:X,'Modeling - Base Estimates'!A:A,A11)-SUMIFS('Modeling - Base Estimates'!Z:Z,'Modeling - Base Estimates'!A:A,A11))</f>
        <v>0</v>
      </c>
      <c r="AQ11" s="7">
        <f t="shared" si="5"/>
        <v>7118826.908309523</v>
      </c>
      <c r="AR11" s="7">
        <f>(W11*$O11*($N$2+'Modeling - Base Estimates'!$AA$51))</f>
        <v>5743365.4353366122</v>
      </c>
      <c r="AS11" s="7">
        <f>(W11*P11*('Modeling - Base Estimates'!$AE$51))</f>
        <v>2311381.433252594</v>
      </c>
      <c r="AT11" s="7">
        <f t="shared" si="6"/>
        <v>6143112.8801600914</v>
      </c>
      <c r="AU11" s="7">
        <f t="shared" si="7"/>
        <v>3075021.0280028936</v>
      </c>
      <c r="AV11" s="5">
        <f t="shared" si="12"/>
        <v>-3.7252902984619141E-8</v>
      </c>
      <c r="AX11" s="7">
        <f>SUMIFS('Modeling - Base Estimates'!X:X,'Modeling - Base Estimates'!A:A,A11)</f>
        <v>394254990.68607509</v>
      </c>
      <c r="AY11" s="5">
        <f t="shared" si="13"/>
        <v>7620434.1654740004</v>
      </c>
      <c r="AZ11" s="5">
        <f t="shared" si="13"/>
        <v>1607219.4194314892</v>
      </c>
      <c r="BA11" s="5">
        <f t="shared" si="13"/>
        <v>2148613.2278969362</v>
      </c>
      <c r="BB11" s="5">
        <f t="shared" si="13"/>
        <v>6085118.1343484698</v>
      </c>
      <c r="BC11" s="5">
        <f t="shared" si="13"/>
        <v>3045990.9472664027</v>
      </c>
      <c r="BD11" s="5">
        <f t="shared" si="14"/>
        <v>373747614.79165781</v>
      </c>
      <c r="BF11" s="5">
        <f t="shared" si="15"/>
        <v>398012472.04715806</v>
      </c>
      <c r="BG11" s="5">
        <f t="shared" si="16"/>
        <v>7118826.908309523</v>
      </c>
      <c r="BH11" s="5">
        <f t="shared" si="17"/>
        <v>803439.48365902493</v>
      </c>
      <c r="BI11" s="5">
        <f t="shared" si="18"/>
        <v>5743365.4353366122</v>
      </c>
      <c r="BJ11" s="5">
        <f t="shared" si="8"/>
        <v>2311381.433252594</v>
      </c>
      <c r="BK11" s="5">
        <f t="shared" si="8"/>
        <v>6143112.8801600914</v>
      </c>
      <c r="BL11" s="5">
        <f t="shared" si="8"/>
        <v>3075021.0280028936</v>
      </c>
      <c r="BM11" s="5">
        <f t="shared" si="19"/>
        <v>372817324.87843734</v>
      </c>
      <c r="BO11" s="5">
        <f t="shared" si="20"/>
        <v>-930289.91322046518</v>
      </c>
      <c r="BP11" s="1">
        <f t="shared" si="21"/>
        <v>-2.4890858868465201E-3</v>
      </c>
    </row>
    <row r="12" spans="1:16372" x14ac:dyDescent="0.25">
      <c r="A12" s="1">
        <v>9</v>
      </c>
      <c r="B12" s="1">
        <v>210009</v>
      </c>
      <c r="C12" s="4">
        <v>3311615589.4000001</v>
      </c>
      <c r="D12" s="4">
        <f>SUM('Modeling - Base Estimates'!E12:G12)-SUM('Scenario 3 - increase MA &amp; QP %'!E12:F12)</f>
        <v>860058420.20000017</v>
      </c>
      <c r="E12" s="4">
        <f>((SUM('Modeling - Base Estimates'!F12:G12)/SUM('Modeling - Base Estimates'!E12:G12)+$E$61))*SUM('Modeling - Base Estimates'!E12:G12)*('Modeling - Base Estimates'!F12/SUM('Modeling - Base Estimates'!F12:G12)+$E$73)</f>
        <v>78522700.152798921</v>
      </c>
      <c r="F12" s="4">
        <f>((SUM('Modeling - Base Estimates'!F12:G12)/SUM('Modeling - Base Estimates'!E12:G12)+$E$61))*SUM('Modeling - Base Estimates'!E12:G12)*('Modeling - Base Estimates'!G12/SUM('Modeling - Base Estimates'!F12:G12)-$E$73)</f>
        <v>46299821.647201076</v>
      </c>
      <c r="G12" s="4">
        <v>183425210.09999999</v>
      </c>
      <c r="H12" s="4">
        <v>483234508</v>
      </c>
      <c r="I12" s="4">
        <v>371266764.80000001</v>
      </c>
      <c r="J12" s="4">
        <v>314601087.69999999</v>
      </c>
      <c r="K12" s="4">
        <v>13732401.9</v>
      </c>
      <c r="L12" s="4">
        <v>90366000</v>
      </c>
      <c r="M12" s="4">
        <f t="shared" si="0"/>
        <v>870108674.9000001</v>
      </c>
      <c r="N12" s="12">
        <f t="shared" si="1"/>
        <v>0.2597096181552358</v>
      </c>
      <c r="O12" s="12">
        <f t="shared" si="2"/>
        <v>2.3711296807557816E-2</v>
      </c>
      <c r="P12" s="12">
        <f t="shared" si="2"/>
        <v>1.3981037471680008E-2</v>
      </c>
      <c r="Q12" s="12">
        <f t="shared" si="9"/>
        <v>0.20130951195962504</v>
      </c>
      <c r="R12" s="12">
        <f t="shared" si="10"/>
        <v>0.11211046535363915</v>
      </c>
      <c r="S12" s="12">
        <f t="shared" si="3"/>
        <v>9.4999277303498733E-2</v>
      </c>
      <c r="T12" s="12">
        <f t="shared" si="3"/>
        <v>4.1467379076108417E-3</v>
      </c>
      <c r="U12" s="12">
        <f t="shared" si="3"/>
        <v>2.7287587451046078E-2</v>
      </c>
      <c r="V12" s="12">
        <f t="shared" si="11"/>
        <v>0.26274446759010661</v>
      </c>
      <c r="W12" s="4">
        <f>SUMIFS('Modeling - Base Estimates'!AK:AK,'Modeling - Base Estimates'!A:A,A12)</f>
        <v>1856534933.3568177</v>
      </c>
      <c r="X12" s="4">
        <f>(W12*N12*(1-N$2))+(W12*O12*(1-'Modeling - Base Estimates'!$AA$51-N$2))+(W12*P12*(1-'Modeling - Base Estimates'!$AE$51))+(W12*Q12*(1-Q$2))+(W12*R12*(1-R$2))+(W12*S12*(1-S$2))+(W12*T12*(1-T$2))+(W12*U12*(1-U$2))+(W12*V12*(1-V$2))</f>
        <v>1761822607.552217</v>
      </c>
      <c r="Y12" s="5">
        <f>X12*N12*SUMIFS('Modeling - Base Estimates'!AN:AN,'Modeling - Base Estimates'!A:A,A12)</f>
        <v>948031.84493322007</v>
      </c>
      <c r="Z12" s="4">
        <f t="shared" si="4"/>
        <v>1760874575.7072837</v>
      </c>
      <c r="AA12" s="4">
        <f>(((W12*N12*(1-N$2))/X12)*X12)-Y12-(((SUMIFS('Modeling - Base Estimates'!X:X,'Modeling - Base Estimates'!A:A,A12)*N12*(1-N$2))/SUMIFS('Modeling - Base Estimates'!Z:Z,'Modeling - Base Estimates'!A:A,A12))*SUMIFS('Modeling - Base Estimates'!Z:Z,'Modeling - Base Estimates'!A:A,A12))</f>
        <v>1365.6080800890923</v>
      </c>
      <c r="AB12" s="4"/>
      <c r="AC12" s="18">
        <f>1-((((W12*O12*(1-N$2-'Modeling - Base Estimates'!$AA$51))/X12)*X12)/('Modeling - Base Estimates'!X12*'Modeling - Base Estimates'!P12))</f>
        <v>-0.5903295852723951</v>
      </c>
      <c r="AD12" s="18">
        <f t="shared" si="22"/>
        <v>-0.66732958527239505</v>
      </c>
      <c r="AE12" s="18">
        <f>1-((((W12*P12*(1-'Modeling - Base Estimates'!$AE$51))/X12)*X12)/(SUMIFS('Modeling - Base Estimates'!X:X,'Modeling - Base Estimates'!A:A,A12)*'Modeling - Base Estimates'!Q12))</f>
        <v>-0.19106284731418866</v>
      </c>
      <c r="AF12" s="18">
        <f t="shared" si="23"/>
        <v>-0.26806284731418867</v>
      </c>
      <c r="AG12" s="18">
        <f>$N12*(1-$N$2)+$O12*(1-$N$2-'Modeling - Base Estimates'!$AA$51)+$P12*(1-'Modeling - Base Estimates'!$AE$51)+$Q12*(1-$Q$2)+$R12*(1-$R$2)+$S12*(1-$S$2)+$T12*(1-$T$2)+$U12*(1-$U$2)+$V12*(1-$V$2)</f>
        <v>0.94898435569248862</v>
      </c>
      <c r="AH12" s="18" t="e">
        <f>$O12*(1-$N$2-#REF!)+$P12*(1-#REF!)+$Q12*(1-$Q$2)+$R12*(1-$R$2)+$S12*(1-$S$2)+$T12*(1-$T$2)+$U12*(1-$U$2)+$V12*(1-$V$2)</f>
        <v>#REF!</v>
      </c>
      <c r="AJ12" s="7">
        <f>(SUMIFS('Modeling - Base Estimates'!$X:$X,'Modeling - Base Estimates'!$A:$A,$A12)*SUMIFS('Modeling - Base Estimates'!O:O,'Modeling - Base Estimates'!$A:$A,$A12)*($N$2))</f>
        <v>39168309.223006472</v>
      </c>
      <c r="AK12" s="7">
        <f>(SUMIFS('Modeling - Base Estimates'!$X:$X,'Modeling - Base Estimates'!$A:$A,$A12)*SUMIFS('Modeling - Base Estimates'!P:P,'Modeling - Base Estimates'!$A:$A,$A12)*($N$2))</f>
        <v>1722430.2188872991</v>
      </c>
      <c r="AL12" s="7">
        <f>(SUMIFS('Modeling - Base Estimates'!$X:$X,'Modeling - Base Estimates'!$A:$A,$A12)*SUMIFS('Modeling - Base Estimates'!Q:Q,'Modeling - Base Estimates'!$A:$A,$A12)*($N$2))</f>
        <v>1533121.3430069082</v>
      </c>
      <c r="AM12" s="7">
        <f>(SUMIFS('Modeling - Base Estimates'!$X:$X,'Modeling - Base Estimates'!$A:$A,$A12)*SUMIFS('Modeling - Base Estimates'!R:R,'Modeling - Base Estimates'!$A:$A,$A12)*($N$2))</f>
        <v>28716444.664004404</v>
      </c>
      <c r="AN12" s="7">
        <f>(SUMIFS('Modeling - Base Estimates'!X:X,'Modeling - Base Estimates'!A:A,$A12)*$R12*($R$2))+(SUMIFS('Modeling - Base Estimates'!X:X,'Modeling - Base Estimates'!A:A,$A12)*$S12*($S$2))+(SUMIFS('Modeling - Base Estimates'!X:X,'Modeling - Base Estimates'!A:A,$A12)*$T12*($T$2))+(SUMIFS('Modeling - Base Estimates'!X:X,'Modeling - Base Estimates'!A:A,$A12)*$U12*($U$2))+(SUMIFS('Modeling - Base Estimates'!X:X,'Modeling - Base Estimates'!A:A,$A12)*$V12*($V$2))</f>
        <v>18081672.473679725</v>
      </c>
      <c r="AO12" s="7">
        <f>SUM(AJ12:AN12)-(SUMIFS('Modeling - Base Estimates'!X:X,'Modeling - Base Estimates'!A:A,A12)-SUMIFS('Modeling - Base Estimates'!Z:Z,'Modeling - Base Estimates'!A:A,A12))</f>
        <v>0</v>
      </c>
      <c r="AQ12" s="7">
        <f t="shared" si="5"/>
        <v>37126318.354814559</v>
      </c>
      <c r="AR12" s="7">
        <f>(W12*$O12*($N$2+'Modeling - Base Estimates'!$AA$51))</f>
        <v>8446412.7129207514</v>
      </c>
      <c r="AS12" s="7">
        <f>(W12*P12*('Modeling - Base Estimates'!$AE$51))</f>
        <v>2241428.9891866804</v>
      </c>
      <c r="AT12" s="7">
        <f t="shared" si="6"/>
        <v>28777836.88549431</v>
      </c>
      <c r="AU12" s="7">
        <f t="shared" si="7"/>
        <v>18120328.862184655</v>
      </c>
      <c r="AV12" s="5">
        <f t="shared" si="12"/>
        <v>2.5331974029541016E-7</v>
      </c>
      <c r="AX12" s="7">
        <f>SUMIFS('Modeling - Base Estimates'!X:X,'Modeling - Base Estimates'!A:A,A12)</f>
        <v>1852574357.5746317</v>
      </c>
      <c r="AY12" s="5">
        <f t="shared" si="13"/>
        <v>39168309.223006472</v>
      </c>
      <c r="AZ12" s="5">
        <f t="shared" si="13"/>
        <v>1722430.2188872991</v>
      </c>
      <c r="BA12" s="5">
        <f t="shared" si="13"/>
        <v>1533121.3430069082</v>
      </c>
      <c r="BB12" s="5">
        <f t="shared" si="13"/>
        <v>28716444.664004404</v>
      </c>
      <c r="BC12" s="5">
        <f t="shared" si="13"/>
        <v>18081672.473679725</v>
      </c>
      <c r="BD12" s="5">
        <f t="shared" si="14"/>
        <v>1763352379.6520469</v>
      </c>
      <c r="BF12" s="5">
        <f t="shared" si="15"/>
        <v>1856534933.3568177</v>
      </c>
      <c r="BG12" s="5">
        <f t="shared" si="16"/>
        <v>37126318.354814559</v>
      </c>
      <c r="BH12" s="5">
        <f t="shared" si="17"/>
        <v>948031.84493322007</v>
      </c>
      <c r="BI12" s="5">
        <f t="shared" si="18"/>
        <v>8446412.7129207514</v>
      </c>
      <c r="BJ12" s="5">
        <f t="shared" si="8"/>
        <v>2241428.9891866804</v>
      </c>
      <c r="BK12" s="5">
        <f t="shared" si="8"/>
        <v>28777836.88549431</v>
      </c>
      <c r="BL12" s="5">
        <f t="shared" si="8"/>
        <v>18120328.862184655</v>
      </c>
      <c r="BM12" s="5">
        <f t="shared" si="19"/>
        <v>1760874575.7072835</v>
      </c>
      <c r="BO12" s="5">
        <f t="shared" si="20"/>
        <v>-2477803.944763422</v>
      </c>
      <c r="BP12" s="1">
        <f t="shared" si="21"/>
        <v>-1.4051666435794042E-3</v>
      </c>
    </row>
    <row r="13" spans="1:16372" x14ac:dyDescent="0.25">
      <c r="A13" s="1">
        <v>10</v>
      </c>
      <c r="B13" s="1">
        <v>210010</v>
      </c>
      <c r="C13" s="4">
        <v>17496640.699999999</v>
      </c>
      <c r="D13" s="4">
        <f>SUM('Modeling - Base Estimates'!E13:G13)-SUM('Scenario 3 - increase MA &amp; QP %'!E13:F13)</f>
        <v>3797239.0300000007</v>
      </c>
      <c r="E13" s="4">
        <f>((SUM('Modeling - Base Estimates'!F13:G13)/SUM('Modeling - Base Estimates'!E13:G13)+$E$61))*SUM('Modeling - Base Estimates'!E13:G13)*('Modeling - Base Estimates'!F13/SUM('Modeling - Base Estimates'!F13:G13)+$E$73)</f>
        <v>1071374.3488436411</v>
      </c>
      <c r="F13" s="4">
        <f>((SUM('Modeling - Base Estimates'!F13:G13)/SUM('Modeling - Base Estimates'!E13:G13)+$E$61))*SUM('Modeling - Base Estimates'!E13:G13)*('Modeling - Base Estimates'!G13/SUM('Modeling - Base Estimates'!F13:G13)-$E$73)</f>
        <v>1070956.0211563585</v>
      </c>
      <c r="G13" s="4">
        <v>381171.89999999997</v>
      </c>
      <c r="H13" s="4">
        <v>5946729.7999999998</v>
      </c>
      <c r="I13" s="4">
        <v>0</v>
      </c>
      <c r="J13" s="4">
        <v>1684870.5999999999</v>
      </c>
      <c r="K13" s="4">
        <v>83712.900000000009</v>
      </c>
      <c r="L13" s="4">
        <v>1609000</v>
      </c>
      <c r="M13" s="4">
        <f t="shared" si="0"/>
        <v>1851586.0999999978</v>
      </c>
      <c r="N13" s="12">
        <f t="shared" si="1"/>
        <v>0.21702674788309512</v>
      </c>
      <c r="O13" s="12">
        <f t="shared" si="2"/>
        <v>6.1233145677137966E-2</v>
      </c>
      <c r="P13" s="12">
        <f t="shared" si="2"/>
        <v>6.1209236648287493E-2</v>
      </c>
      <c r="Q13" s="12">
        <f t="shared" si="9"/>
        <v>0.36166380784169616</v>
      </c>
      <c r="R13" s="12">
        <f t="shared" si="10"/>
        <v>0</v>
      </c>
      <c r="S13" s="12">
        <f t="shared" si="3"/>
        <v>9.6296805134713656E-2</v>
      </c>
      <c r="T13" s="12">
        <f t="shared" si="3"/>
        <v>4.7845127207761665E-3</v>
      </c>
      <c r="U13" s="12">
        <f t="shared" si="3"/>
        <v>9.196050988233416E-2</v>
      </c>
      <c r="V13" s="12">
        <f t="shared" si="11"/>
        <v>0.1058252342119592</v>
      </c>
      <c r="W13" s="4">
        <f>SUMIFS('Modeling - Base Estimates'!AK:AK,'Modeling - Base Estimates'!A:A,A13)</f>
        <v>9733268.2142226733</v>
      </c>
      <c r="X13" s="4">
        <f>(W13*N13*(1-N$2))+(W13*O13*(1-'Modeling - Base Estimates'!$AA$51-N$2))+(W13*P13*(1-'Modeling - Base Estimates'!$AE$51))+(W13*Q13*(1-Q$2))+(W13*R13*(1-R$2))+(W13*S13*(1-S$2))+(W13*T13*(1-T$2))+(W13*U13*(1-U$2))+(W13*V13*(1-V$2))</f>
        <v>9093481.4794508815</v>
      </c>
      <c r="Y13" s="5">
        <f>X13*N13*SUMIFS('Modeling - Base Estimates'!AN:AN,'Modeling - Base Estimates'!A:A,A13)</f>
        <v>14609.447016146169</v>
      </c>
      <c r="Z13" s="4">
        <f t="shared" si="4"/>
        <v>9078872.0324347354</v>
      </c>
      <c r="AA13" s="4">
        <f>(((W13*N13*(1-N$2))/X13)*X13)-Y13-(((SUMIFS('Modeling - Base Estimates'!X:X,'Modeling - Base Estimates'!A:A,A13)*N13*(1-N$2))/SUMIFS('Modeling - Base Estimates'!Z:Z,'Modeling - Base Estimates'!A:A,A13))*SUMIFS('Modeling - Base Estimates'!Z:Z,'Modeling - Base Estimates'!A:A,A13))</f>
        <v>33.89159252657555</v>
      </c>
      <c r="AB13" s="4"/>
      <c r="AC13" s="18">
        <f>1-((((W13*O13*(1-N$2-'Modeling - Base Estimates'!$AA$51))/X13)*X13)/('Modeling - Base Estimates'!X13*'Modeling - Base Estimates'!P13))</f>
        <v>-0.18154357497068352</v>
      </c>
      <c r="AD13" s="18">
        <f t="shared" si="22"/>
        <v>-0.25854357497068353</v>
      </c>
      <c r="AE13" s="18">
        <f>1-((((W13*P13*(1-'Modeling - Base Estimates'!$AE$51))/X13)*X13)/(SUMIFS('Modeling - Base Estimates'!X:X,'Modeling - Base Estimates'!A:A,A13)*'Modeling - Base Estimates'!Q13))</f>
        <v>0.10943856635741656</v>
      </c>
      <c r="AF13" s="18">
        <f t="shared" si="23"/>
        <v>3.2438566357416557E-2</v>
      </c>
      <c r="AG13" s="18">
        <f>$N13*(1-$N$2)+$O13*(1-$N$2-'Modeling - Base Estimates'!$AA$51)+$P13*(1-'Modeling - Base Estimates'!$AE$51)+$Q13*(1-$Q$2)+$R13*(1-$R$2)+$S13*(1-$S$2)+$T13*(1-$T$2)+$U13*(1-$U$2)+$V13*(1-$V$2)</f>
        <v>0.93426804638580641</v>
      </c>
      <c r="AH13" s="18" t="e">
        <f>$O13*(1-$N$2-#REF!)+$P13*(1-#REF!)+$Q13*(1-$Q$2)+$R13*(1-$R$2)+$S13*(1-$S$2)+$T13*(1-$T$2)+$U13*(1-$U$2)+$V13*(1-$V$2)</f>
        <v>#REF!</v>
      </c>
      <c r="AJ13" s="7">
        <f>(SUMIFS('Modeling - Base Estimates'!$X:$X,'Modeling - Base Estimates'!$A:$A,$A13)*SUMIFS('Modeling - Base Estimates'!O:O,'Modeling - Base Estimates'!$A:$A,$A13)*($N$2))</f>
        <v>174057.03937060674</v>
      </c>
      <c r="AK13" s="7">
        <f>(SUMIFS('Modeling - Base Estimates'!$X:$X,'Modeling - Base Estimates'!$A:$A,$A13)*SUMIFS('Modeling - Base Estimates'!P:P,'Modeling - Base Estimates'!$A:$A,$A13)*($N$2))</f>
        <v>31388.160242191647</v>
      </c>
      <c r="AL13" s="7">
        <f>(SUMIFS('Modeling - Base Estimates'!$X:$X,'Modeling - Base Estimates'!$A:$A,$A13)*SUMIFS('Modeling - Base Estimates'!Q:Q,'Modeling - Base Estimates'!$A:$A,$A13)*($N$2))</f>
        <v>47063.091629728689</v>
      </c>
      <c r="AM13" s="7">
        <f>(SUMIFS('Modeling - Base Estimates'!$X:$X,'Modeling - Base Estimates'!$A:$A,$A13)*SUMIFS('Modeling - Base Estimates'!R:R,'Modeling - Base Estimates'!$A:$A,$A13)*($N$2))</f>
        <v>269017.42160259665</v>
      </c>
      <c r="AN13" s="7">
        <f>(SUMIFS('Modeling - Base Estimates'!X:X,'Modeling - Base Estimates'!A:A,$A13)*$R13*($R$2))+(SUMIFS('Modeling - Base Estimates'!X:X,'Modeling - Base Estimates'!A:A,$A13)*$S13*($S$2))+(SUMIFS('Modeling - Base Estimates'!X:X,'Modeling - Base Estimates'!A:A,$A13)*$T13*($T$2))+(SUMIFS('Modeling - Base Estimates'!X:X,'Modeling - Base Estimates'!A:A,$A13)*$U13*($U$2))+(SUMIFS('Modeling - Base Estimates'!X:X,'Modeling - Base Estimates'!A:A,$A13)*$V13*($V$2))</f>
        <v>39975.036543769944</v>
      </c>
      <c r="AO13" s="7">
        <f>SUM(AJ13:AN13)-(SUMIFS('Modeling - Base Estimates'!X:X,'Modeling - Base Estimates'!A:A,A13)-SUMIFS('Modeling - Base Estimates'!Z:Z,'Modeling - Base Estimates'!A:A,A13))</f>
        <v>0</v>
      </c>
      <c r="AQ13" s="7">
        <f t="shared" si="5"/>
        <v>162653.22510411186</v>
      </c>
      <c r="AR13" s="7">
        <f>(W13*$O13*($N$2+'Modeling - Base Estimates'!$AA$51))</f>
        <v>114356.045225351</v>
      </c>
      <c r="AS13" s="7">
        <f>(W13*P13*('Modeling - Base Estimates'!$AE$51))</f>
        <v>51446.770038552386</v>
      </c>
      <c r="AT13" s="7">
        <f t="shared" si="6"/>
        <v>271053.1550727245</v>
      </c>
      <c r="AU13" s="7">
        <f t="shared" si="7"/>
        <v>40277.539331050204</v>
      </c>
      <c r="AV13" s="5">
        <f t="shared" si="12"/>
        <v>-1.862645149230957E-9</v>
      </c>
      <c r="AX13" s="7">
        <f>SUMIFS('Modeling - Base Estimates'!X:X,'Modeling - Base Estimates'!A:A,A13)</f>
        <v>9660166.9073144104</v>
      </c>
      <c r="AY13" s="5">
        <f t="shared" si="13"/>
        <v>174057.03937060674</v>
      </c>
      <c r="AZ13" s="5">
        <f t="shared" si="13"/>
        <v>31388.160242191647</v>
      </c>
      <c r="BA13" s="5">
        <f t="shared" si="13"/>
        <v>47063.091629728689</v>
      </c>
      <c r="BB13" s="5">
        <f t="shared" si="13"/>
        <v>269017.42160259665</v>
      </c>
      <c r="BC13" s="5">
        <f t="shared" si="13"/>
        <v>39975.036543769944</v>
      </c>
      <c r="BD13" s="5">
        <f t="shared" si="14"/>
        <v>9098666.1579255164</v>
      </c>
      <c r="BF13" s="5">
        <f t="shared" si="15"/>
        <v>9733268.2142226733</v>
      </c>
      <c r="BG13" s="5">
        <f t="shared" si="16"/>
        <v>162653.22510411186</v>
      </c>
      <c r="BH13" s="5">
        <f t="shared" si="17"/>
        <v>14609.447016146169</v>
      </c>
      <c r="BI13" s="5">
        <f t="shared" si="18"/>
        <v>114356.045225351</v>
      </c>
      <c r="BJ13" s="5">
        <f t="shared" si="8"/>
        <v>51446.770038552386</v>
      </c>
      <c r="BK13" s="5">
        <f t="shared" si="8"/>
        <v>271053.1550727245</v>
      </c>
      <c r="BL13" s="5">
        <f t="shared" si="8"/>
        <v>40277.539331050204</v>
      </c>
      <c r="BM13" s="5">
        <f t="shared" si="19"/>
        <v>9078872.0324347373</v>
      </c>
      <c r="BO13" s="5">
        <f t="shared" si="20"/>
        <v>-19794.125490779057</v>
      </c>
      <c r="BP13" s="1">
        <f t="shared" si="21"/>
        <v>-2.1754975011955041E-3</v>
      </c>
    </row>
    <row r="14" spans="1:16372" x14ac:dyDescent="0.25">
      <c r="A14" s="1">
        <v>11</v>
      </c>
      <c r="B14" s="1">
        <v>210011</v>
      </c>
      <c r="C14" s="4">
        <v>568926838.29999995</v>
      </c>
      <c r="D14" s="4">
        <f>SUM('Modeling - Base Estimates'!E14:G14)-SUM('Scenario 3 - increase MA &amp; QP %'!E14:F14)</f>
        <v>152369164.19</v>
      </c>
      <c r="E14" s="4">
        <f>((SUM('Modeling - Base Estimates'!F14:G14)/SUM('Modeling - Base Estimates'!E14:G14)+$E$61))*SUM('Modeling - Base Estimates'!E14:G14)*('Modeling - Base Estimates'!F14/SUM('Modeling - Base Estimates'!F14:G14)+$E$73)</f>
        <v>61645823.792732164</v>
      </c>
      <c r="F14" s="4">
        <f>((SUM('Modeling - Base Estimates'!F14:G14)/SUM('Modeling - Base Estimates'!E14:G14)+$E$61))*SUM('Modeling - Base Estimates'!E14:G14)*('Modeling - Base Estimates'!G14/SUM('Modeling - Base Estimates'!F14:G14)-$E$73)</f>
        <v>50173908.217267841</v>
      </c>
      <c r="G14" s="4">
        <v>21979929.100000001</v>
      </c>
      <c r="H14" s="4">
        <v>107720681</v>
      </c>
      <c r="I14" s="4">
        <v>24642250.400000002</v>
      </c>
      <c r="J14" s="4">
        <v>47344357.799999997</v>
      </c>
      <c r="K14" s="4">
        <v>10656613.799999999</v>
      </c>
      <c r="L14" s="4">
        <v>31745187.900000002</v>
      </c>
      <c r="M14" s="4">
        <f t="shared" si="0"/>
        <v>60648922.099999964</v>
      </c>
      <c r="N14" s="12">
        <f t="shared" si="1"/>
        <v>0.26781855580111419</v>
      </c>
      <c r="O14" s="12">
        <f t="shared" si="2"/>
        <v>0.10835457152440715</v>
      </c>
      <c r="P14" s="12">
        <f t="shared" si="2"/>
        <v>8.8190440034770709E-2</v>
      </c>
      <c r="Q14" s="12">
        <f t="shared" si="9"/>
        <v>0.22797414600365146</v>
      </c>
      <c r="R14" s="12">
        <f t="shared" si="10"/>
        <v>4.3313566422060641E-2</v>
      </c>
      <c r="S14" s="12">
        <f t="shared" si="3"/>
        <v>8.3216952713056777E-2</v>
      </c>
      <c r="T14" s="12">
        <f t="shared" si="3"/>
        <v>1.8731079433416842E-2</v>
      </c>
      <c r="U14" s="12">
        <f t="shared" si="3"/>
        <v>5.5798365910909087E-2</v>
      </c>
      <c r="V14" s="12">
        <f t="shared" si="11"/>
        <v>0.10660232215661317</v>
      </c>
      <c r="W14" s="4">
        <f>SUMIFS('Modeling - Base Estimates'!AK:AK,'Modeling - Base Estimates'!A:A,A14)</f>
        <v>308301267.66126013</v>
      </c>
      <c r="X14" s="4">
        <f>(W14*N14*(1-N$2))+(W14*O14*(1-'Modeling - Base Estimates'!$AA$51-N$2))+(W14*P14*(1-'Modeling - Base Estimates'!$AE$51))+(W14*Q14*(1-Q$2))+(W14*R14*(1-R$2))+(W14*S14*(1-S$2))+(W14*T14*(1-T$2))+(W14*U14*(1-U$2))+(W14*V14*(1-V$2))</f>
        <v>286187584.06700963</v>
      </c>
      <c r="Y14" s="5">
        <f>X14*N14*SUMIFS('Modeling - Base Estimates'!AN:AN,'Modeling - Base Estimates'!A:A,A14)</f>
        <v>1117960.4819792139</v>
      </c>
      <c r="Z14" s="4">
        <f t="shared" si="4"/>
        <v>285069623.58503044</v>
      </c>
      <c r="AA14" s="4">
        <f>(((W14*N14*(1-N$2))/X14)*X14)-Y14-(((SUMIFS('Modeling - Base Estimates'!X:X,'Modeling - Base Estimates'!A:A,A14)*N14*(1-N$2))/SUMIFS('Modeling - Base Estimates'!Z:Z,'Modeling - Base Estimates'!A:A,A14))*SUMIFS('Modeling - Base Estimates'!Z:Z,'Modeling - Base Estimates'!A:A,A14))</f>
        <v>4090.8762899339199</v>
      </c>
      <c r="AB14" s="4"/>
      <c r="AC14" s="18">
        <f>1-((((W14*O14*(1-N$2-'Modeling - Base Estimates'!$AA$51))/X14)*X14)/('Modeling - Base Estimates'!X14*'Modeling - Base Estimates'!P14))</f>
        <v>-0.13616328663767252</v>
      </c>
      <c r="AD14" s="18">
        <f t="shared" si="22"/>
        <v>-0.21316328663767253</v>
      </c>
      <c r="AE14" s="18">
        <f>1-((((W14*P14*(1-'Modeling - Base Estimates'!$AE$51))/X14)*X14)/(SUMIFS('Modeling - Base Estimates'!X:X,'Modeling - Base Estimates'!A:A,A14)*'Modeling - Base Estimates'!Q14))</f>
        <v>0.14012059230428831</v>
      </c>
      <c r="AF14" s="18">
        <f t="shared" si="23"/>
        <v>6.3120592304288306E-2</v>
      </c>
      <c r="AG14" s="18">
        <f>$N14*(1-$N$2)+$O14*(1-$N$2-'Modeling - Base Estimates'!$AA$51)+$P14*(1-'Modeling - Base Estimates'!$AE$51)+$Q14*(1-$Q$2)+$R14*(1-$R$2)+$S14*(1-$S$2)+$T14*(1-$T$2)+$U14*(1-$U$2)+$V14*(1-$V$2)</f>
        <v>0.92827248566960974</v>
      </c>
      <c r="AH14" s="18" t="e">
        <f>$O14*(1-$N$2-#REF!)+$P14*(1-#REF!)+$Q14*(1-$Q$2)+$R14*(1-$R$2)+$S14*(1-$S$2)+$T14*(1-$T$2)+$U14*(1-$U$2)+$V14*(1-$V$2)</f>
        <v>#REF!</v>
      </c>
      <c r="AJ14" s="7">
        <f>(SUMIFS('Modeling - Base Estimates'!$X:$X,'Modeling - Base Estimates'!$A:$A,$A14)*SUMIFS('Modeling - Base Estimates'!O:O,'Modeling - Base Estimates'!$A:$A,$A14)*($N$2))</f>
        <v>6807257.9462206326</v>
      </c>
      <c r="AK14" s="7">
        <f>(SUMIFS('Modeling - Base Estimates'!$X:$X,'Modeling - Base Estimates'!$A:$A,$A14)*SUMIFS('Modeling - Base Estimates'!P:P,'Modeling - Base Estimates'!$A:$A,$A14)*($N$2))</f>
        <v>1829583.1006328994</v>
      </c>
      <c r="AL14" s="7">
        <f>(SUMIFS('Modeling - Base Estimates'!$X:$X,'Modeling - Base Estimates'!$A:$A,$A14)*SUMIFS('Modeling - Base Estimates'!Q:Q,'Modeling - Base Estimates'!$A:$A,$A14)*($N$2))</f>
        <v>2224477.1742743426</v>
      </c>
      <c r="AM14" s="7">
        <f>(SUMIFS('Modeling - Base Estimates'!$X:$X,'Modeling - Base Estimates'!$A:$A,$A14)*SUMIFS('Modeling - Base Estimates'!R:R,'Modeling - Base Estimates'!$A:$A,$A14)*($N$2))</f>
        <v>5332243.7847807324</v>
      </c>
      <c r="AN14" s="7">
        <f>(SUMIFS('Modeling - Base Estimates'!X:X,'Modeling - Base Estimates'!A:A,$A14)*$R14*($R$2))+(SUMIFS('Modeling - Base Estimates'!X:X,'Modeling - Base Estimates'!A:A,$A14)*$S14*($S$2))+(SUMIFS('Modeling - Base Estimates'!X:X,'Modeling - Base Estimates'!A:A,$A14)*$T14*($T$2))+(SUMIFS('Modeling - Base Estimates'!X:X,'Modeling - Base Estimates'!A:A,$A14)*$U14*($U$2))+(SUMIFS('Modeling - Base Estimates'!X:X,'Modeling - Base Estimates'!A:A,$A14)*$V14*($V$2))</f>
        <v>1563027.1340084341</v>
      </c>
      <c r="AO14" s="7">
        <f>SUM(AJ14:AN14)-(SUMIFS('Modeling - Base Estimates'!X:X,'Modeling - Base Estimates'!A:A,A14)-SUMIFS('Modeling - Base Estimates'!Z:Z,'Modeling - Base Estimates'!A:A,A14))</f>
        <v>0</v>
      </c>
      <c r="AQ14" s="7">
        <f t="shared" si="5"/>
        <v>6357797.6197652407</v>
      </c>
      <c r="AR14" s="7">
        <f>(W14*$O14*($N$2+'Modeling - Base Estimates'!$AA$51))</f>
        <v>6409680.9943372924</v>
      </c>
      <c r="AS14" s="7">
        <f>(W14*P14*('Modeling - Base Estimates'!$AE$51))</f>
        <v>2347898.2888741242</v>
      </c>
      <c r="AT14" s="7">
        <f t="shared" si="6"/>
        <v>5411923.3019327587</v>
      </c>
      <c r="AU14" s="7">
        <f t="shared" si="7"/>
        <v>1586383.3893410903</v>
      </c>
      <c r="AV14" s="5">
        <f t="shared" si="12"/>
        <v>0</v>
      </c>
      <c r="AX14" s="7">
        <f>SUMIFS('Modeling - Base Estimates'!X:X,'Modeling - Base Estimates'!A:A,A14)</f>
        <v>303762161.17838854</v>
      </c>
      <c r="AY14" s="5">
        <f t="shared" si="13"/>
        <v>6807257.9462206326</v>
      </c>
      <c r="AZ14" s="5">
        <f t="shared" si="13"/>
        <v>1829583.1006328994</v>
      </c>
      <c r="BA14" s="5">
        <f t="shared" si="13"/>
        <v>2224477.1742743426</v>
      </c>
      <c r="BB14" s="5">
        <f t="shared" si="13"/>
        <v>5332243.7847807324</v>
      </c>
      <c r="BC14" s="5">
        <f t="shared" si="13"/>
        <v>1563027.1340084341</v>
      </c>
      <c r="BD14" s="5">
        <f t="shared" si="14"/>
        <v>286005572.03847152</v>
      </c>
      <c r="BF14" s="5">
        <f t="shared" si="15"/>
        <v>308301267.66126013</v>
      </c>
      <c r="BG14" s="5">
        <f t="shared" si="16"/>
        <v>6357797.6197652407</v>
      </c>
      <c r="BH14" s="5">
        <f t="shared" si="17"/>
        <v>1117960.4819792139</v>
      </c>
      <c r="BI14" s="5">
        <f t="shared" si="18"/>
        <v>6409680.9943372924</v>
      </c>
      <c r="BJ14" s="5">
        <f t="shared" si="8"/>
        <v>2347898.2888741242</v>
      </c>
      <c r="BK14" s="5">
        <f t="shared" si="8"/>
        <v>5411923.3019327587</v>
      </c>
      <c r="BL14" s="5">
        <f t="shared" si="8"/>
        <v>1586383.3893410903</v>
      </c>
      <c r="BM14" s="5">
        <f t="shared" si="19"/>
        <v>285069623.58503044</v>
      </c>
      <c r="BO14" s="5">
        <f t="shared" si="20"/>
        <v>-935948.45344108343</v>
      </c>
      <c r="BP14" s="1">
        <f t="shared" si="21"/>
        <v>-3.2724832833508082E-3</v>
      </c>
    </row>
    <row r="15" spans="1:16372" x14ac:dyDescent="0.25">
      <c r="A15" s="1">
        <v>12</v>
      </c>
      <c r="B15" s="1">
        <v>210012</v>
      </c>
      <c r="C15" s="4">
        <v>994389579.10000002</v>
      </c>
      <c r="D15" s="4">
        <f>SUM('Modeling - Base Estimates'!E15:G15)-SUM('Scenario 3 - increase MA &amp; QP %'!E15:F15)</f>
        <v>309509081.505</v>
      </c>
      <c r="E15" s="4">
        <f>((SUM('Modeling - Base Estimates'!F15:G15)/SUM('Modeling - Base Estimates'!E15:G15)+$E$61))*SUM('Modeling - Base Estimates'!E15:G15)*('Modeling - Base Estimates'!F15/SUM('Modeling - Base Estimates'!F15:G15)+$E$73)</f>
        <v>82988685.901942998</v>
      </c>
      <c r="F15" s="4">
        <f>((SUM('Modeling - Base Estimates'!F15:G15)/SUM('Modeling - Base Estimates'!E15:G15)+$E$61))*SUM('Modeling - Base Estimates'!E15:G15)*('Modeling - Base Estimates'!G15/SUM('Modeling - Base Estimates'!F15:G15)-$E$73)</f>
        <v>91067540.493056983</v>
      </c>
      <c r="G15" s="4">
        <v>39331012.600000001</v>
      </c>
      <c r="H15" s="4">
        <v>192369486.5</v>
      </c>
      <c r="I15" s="4">
        <v>39762161.399999999</v>
      </c>
      <c r="J15" s="4">
        <v>58202310.700000003</v>
      </c>
      <c r="K15" s="4">
        <v>0</v>
      </c>
      <c r="L15" s="4">
        <v>30264900</v>
      </c>
      <c r="M15" s="4">
        <f t="shared" si="0"/>
        <v>150894400</v>
      </c>
      <c r="N15" s="12">
        <f t="shared" si="1"/>
        <v>0.31125535505423318</v>
      </c>
      <c r="O15" s="12">
        <f t="shared" si="2"/>
        <v>8.3456914318283809E-2</v>
      </c>
      <c r="P15" s="12">
        <f t="shared" si="2"/>
        <v>9.1581350415478199E-2</v>
      </c>
      <c r="Q15" s="12">
        <f t="shared" si="9"/>
        <v>0.23300777076697343</v>
      </c>
      <c r="R15" s="12">
        <f t="shared" si="10"/>
        <v>3.9986502509396615E-2</v>
      </c>
      <c r="S15" s="12">
        <f t="shared" si="3"/>
        <v>5.85306925206091E-2</v>
      </c>
      <c r="T15" s="12">
        <f t="shared" si="3"/>
        <v>0</v>
      </c>
      <c r="U15" s="12">
        <f t="shared" si="3"/>
        <v>3.0435656845269929E-2</v>
      </c>
      <c r="V15" s="12">
        <f t="shared" si="11"/>
        <v>0.1517457575697557</v>
      </c>
      <c r="W15" s="4">
        <f>SUMIFS('Modeling - Base Estimates'!AK:AK,'Modeling - Base Estimates'!A:A,A15)</f>
        <v>553994723.11790848</v>
      </c>
      <c r="X15" s="4">
        <f>(W15*N15*(1-N$2))+(W15*O15*(1-'Modeling - Base Estimates'!$AA$51-N$2))+(W15*P15*(1-'Modeling - Base Estimates'!$AE$51))+(W15*Q15*(1-Q$2))+(W15*R15*(1-R$2))+(W15*S15*(1-S$2))+(W15*T15*(1-T$2))+(W15*U15*(1-U$2))+(W15*V15*(1-V$2))</f>
        <v>514697090.56369567</v>
      </c>
      <c r="Y15" s="5">
        <f>X15*N15*SUMIFS('Modeling - Base Estimates'!AN:AN,'Modeling - Base Estimates'!A:A,A15)</f>
        <v>1869553.2744300659</v>
      </c>
      <c r="Z15" s="4">
        <f t="shared" si="4"/>
        <v>512827537.28926563</v>
      </c>
      <c r="AA15" s="4">
        <f>(((W15*N15*(1-N$2))/X15)*X15)-Y15-(((SUMIFS('Modeling - Base Estimates'!X:X,'Modeling - Base Estimates'!A:A,A15)*N15*(1-N$2))/SUMIFS('Modeling - Base Estimates'!Z:Z,'Modeling - Base Estimates'!A:A,A15))*SUMIFS('Modeling - Base Estimates'!Z:Z,'Modeling - Base Estimates'!A:A,A15))</f>
        <v>6119.6870633065701</v>
      </c>
      <c r="AB15" s="4"/>
      <c r="AC15" s="18">
        <f>1-((((W15*O15*(1-N$2-'Modeling - Base Estimates'!$AA$51))/X15)*X15)/('Modeling - Base Estimates'!X15*'Modeling - Base Estimates'!P15))</f>
        <v>-0.20173080190238313</v>
      </c>
      <c r="AD15" s="18">
        <f t="shared" si="22"/>
        <v>-0.27873080190238314</v>
      </c>
      <c r="AE15" s="18">
        <f>1-((((W15*P15*(1-'Modeling - Base Estimates'!$AE$51))/X15)*X15)/(SUMIFS('Modeling - Base Estimates'!X:X,'Modeling - Base Estimates'!A:A,A15)*'Modeling - Base Estimates'!Q15))</f>
        <v>9.859565721871022E-2</v>
      </c>
      <c r="AF15" s="18">
        <f t="shared" si="23"/>
        <v>2.1595657218710221E-2</v>
      </c>
      <c r="AG15" s="18">
        <f>$N15*(1-$N$2)+$O15*(1-$N$2-'Modeling - Base Estimates'!$AA$51)+$P15*(1-'Modeling - Base Estimates'!$AE$51)+$Q15*(1-$Q$2)+$R15*(1-$R$2)+$S15*(1-$S$2)+$T15*(1-$T$2)+$U15*(1-$U$2)+$V15*(1-$V$2)</f>
        <v>0.92906496954872808</v>
      </c>
      <c r="AH15" s="18" t="e">
        <f>$O15*(1-$N$2-#REF!)+$P15*(1-#REF!)+$Q15*(1-$Q$2)+$R15*(1-$R$2)+$S15*(1-$S$2)+$T15*(1-$T$2)+$U15*(1-$U$2)+$V15*(1-$V$2)</f>
        <v>#REF!</v>
      </c>
      <c r="AJ15" s="7">
        <f>(SUMIFS('Modeling - Base Estimates'!$X:$X,'Modeling - Base Estimates'!$A:$A,$A15)*SUMIFS('Modeling - Base Estimates'!O:O,'Modeling - Base Estimates'!$A:$A,$A15)*($N$2))</f>
        <v>14145911.25794347</v>
      </c>
      <c r="AK15" s="7">
        <f>(SUMIFS('Modeling - Base Estimates'!$X:$X,'Modeling - Base Estimates'!$A:$A,$A15)*SUMIFS('Modeling - Base Estimates'!P:P,'Modeling - Base Estimates'!$A:$A,$A15)*($N$2))</f>
        <v>2394038.3372322423</v>
      </c>
      <c r="AL15" s="7">
        <f>(SUMIFS('Modeling - Base Estimates'!$X:$X,'Modeling - Base Estimates'!$A:$A,$A15)*SUMIFS('Modeling - Base Estimates'!Q:Q,'Modeling - Base Estimates'!$A:$A,$A15)*($N$2))</f>
        <v>3959694.7471177778</v>
      </c>
      <c r="AM15" s="7">
        <f>(SUMIFS('Modeling - Base Estimates'!$X:$X,'Modeling - Base Estimates'!$A:$A,$A15)*SUMIFS('Modeling - Base Estimates'!R:R,'Modeling - Base Estimates'!$A:$A,$A15)*($N$2))</f>
        <v>9822412.2944405563</v>
      </c>
      <c r="AN15" s="7">
        <f>(SUMIFS('Modeling - Base Estimates'!X:X,'Modeling - Base Estimates'!A:A,$A15)*$R15*($R$2))+(SUMIFS('Modeling - Base Estimates'!X:X,'Modeling - Base Estimates'!A:A,$A15)*$S15*($S$2))+(SUMIFS('Modeling - Base Estimates'!X:X,'Modeling - Base Estimates'!A:A,$A15)*$T15*($T$2))+(SUMIFS('Modeling - Base Estimates'!X:X,'Modeling - Base Estimates'!A:A,$A15)*$U15*($U$2))+(SUMIFS('Modeling - Base Estimates'!X:X,'Modeling - Base Estimates'!A:A,$A15)*$V15*($V$2))</f>
        <v>2794936.485492303</v>
      </c>
      <c r="AO15" s="7">
        <f>SUM(AJ15:AN15)-(SUMIFS('Modeling - Base Estimates'!X:X,'Modeling - Base Estimates'!A:A,A15)-SUMIFS('Modeling - Base Estimates'!Z:Z,'Modeling - Base Estimates'!A:A,A15))</f>
        <v>0</v>
      </c>
      <c r="AQ15" s="7">
        <f t="shared" si="5"/>
        <v>13277404.466652187</v>
      </c>
      <c r="AR15" s="7">
        <f>(W15*$O15*($N$2+'Modeling - Base Estimates'!$AA$51))</f>
        <v>8871188.7012384851</v>
      </c>
      <c r="AS15" s="7">
        <f>(W15*P15*('Modeling - Base Estimates'!$AE$51))</f>
        <v>4381220.6955347117</v>
      </c>
      <c r="AT15" s="7">
        <f t="shared" si="6"/>
        <v>9939550.8096785303</v>
      </c>
      <c r="AU15" s="7">
        <f t="shared" si="7"/>
        <v>2828267.8811088689</v>
      </c>
      <c r="AV15" s="5">
        <f t="shared" si="12"/>
        <v>0</v>
      </c>
      <c r="AX15" s="7">
        <f>SUMIFS('Modeling - Base Estimates'!X:X,'Modeling - Base Estimates'!A:A,A15)</f>
        <v>547465844.6445961</v>
      </c>
      <c r="AY15" s="5">
        <f t="shared" si="13"/>
        <v>14145911.25794347</v>
      </c>
      <c r="AZ15" s="5">
        <f t="shared" si="13"/>
        <v>2394038.3372322423</v>
      </c>
      <c r="BA15" s="5">
        <f t="shared" si="13"/>
        <v>3959694.7471177778</v>
      </c>
      <c r="BB15" s="5">
        <f t="shared" si="13"/>
        <v>9822412.2944405563</v>
      </c>
      <c r="BC15" s="5">
        <f t="shared" si="13"/>
        <v>2794936.485492303</v>
      </c>
      <c r="BD15" s="5">
        <f t="shared" si="14"/>
        <v>514348851.52236974</v>
      </c>
      <c r="BF15" s="5">
        <f t="shared" si="15"/>
        <v>553994723.11790848</v>
      </c>
      <c r="BG15" s="5">
        <f t="shared" si="16"/>
        <v>13277404.466652187</v>
      </c>
      <c r="BH15" s="5">
        <f t="shared" si="17"/>
        <v>1869553.2744300659</v>
      </c>
      <c r="BI15" s="5">
        <f t="shared" si="18"/>
        <v>8871188.7012384851</v>
      </c>
      <c r="BJ15" s="5">
        <f t="shared" si="8"/>
        <v>4381220.6955347117</v>
      </c>
      <c r="BK15" s="5">
        <f t="shared" si="8"/>
        <v>9939550.8096785303</v>
      </c>
      <c r="BL15" s="5">
        <f t="shared" si="8"/>
        <v>2828267.8811088689</v>
      </c>
      <c r="BM15" s="5">
        <f t="shared" si="19"/>
        <v>512827537.28926563</v>
      </c>
      <c r="BO15" s="5">
        <f t="shared" si="20"/>
        <v>-1521314.2331041098</v>
      </c>
      <c r="BP15" s="1">
        <f t="shared" si="21"/>
        <v>-2.9577478954241347E-3</v>
      </c>
    </row>
    <row r="16" spans="1:16372" x14ac:dyDescent="0.25">
      <c r="A16" s="1">
        <v>13</v>
      </c>
      <c r="B16" s="1">
        <v>210013</v>
      </c>
      <c r="C16" s="4">
        <v>34392900</v>
      </c>
      <c r="D16" s="4">
        <f>SUM('Modeling - Base Estimates'!E16:G16)-SUM('Scenario 3 - increase MA &amp; QP %'!E16:F16)</f>
        <v>5043249.9999999991</v>
      </c>
      <c r="E16" s="4">
        <f>((SUM('Modeling - Base Estimates'!F16:G16)/SUM('Modeling - Base Estimates'!E16:G16)+$E$61))*SUM('Modeling - Base Estimates'!E16:G16)*('Modeling - Base Estimates'!F16/SUM('Modeling - Base Estimates'!F16:G16)+$E$73)</f>
        <v>2865178.2641257527</v>
      </c>
      <c r="F16" s="4">
        <f>((SUM('Modeling - Base Estimates'!F16:G16)/SUM('Modeling - Base Estimates'!E16:G16)+$E$61))*SUM('Modeling - Base Estimates'!E16:G16)*('Modeling - Base Estimates'!G16/SUM('Modeling - Base Estimates'!F16:G16)-$E$73)</f>
        <v>2408571.7358742482</v>
      </c>
      <c r="G16" s="4">
        <v>2279300</v>
      </c>
      <c r="H16" s="4">
        <v>16750800</v>
      </c>
      <c r="I16" s="4">
        <v>0</v>
      </c>
      <c r="J16" s="4">
        <v>925900</v>
      </c>
      <c r="K16" s="4">
        <v>0</v>
      </c>
      <c r="L16" s="4">
        <v>2838040</v>
      </c>
      <c r="M16" s="4">
        <f t="shared" si="0"/>
        <v>1281860</v>
      </c>
      <c r="N16" s="12">
        <f t="shared" si="1"/>
        <v>0.14663636971584249</v>
      </c>
      <c r="O16" s="12">
        <f t="shared" si="2"/>
        <v>8.3307260048607501E-2</v>
      </c>
      <c r="P16" s="12">
        <f t="shared" si="2"/>
        <v>7.0031074316915645E-2</v>
      </c>
      <c r="Q16" s="12">
        <f t="shared" si="9"/>
        <v>0.55331478299300141</v>
      </c>
      <c r="R16" s="12">
        <f t="shared" si="10"/>
        <v>0</v>
      </c>
      <c r="S16" s="12">
        <f t="shared" si="3"/>
        <v>2.6921254096048893E-2</v>
      </c>
      <c r="T16" s="12">
        <f t="shared" si="3"/>
        <v>0</v>
      </c>
      <c r="U16" s="12">
        <f t="shared" si="3"/>
        <v>8.2518194162167186E-2</v>
      </c>
      <c r="V16" s="12">
        <f t="shared" si="11"/>
        <v>3.7271064667416823E-2</v>
      </c>
      <c r="W16" s="4">
        <f>SUMIFS('Modeling - Base Estimates'!AK:AK,'Modeling - Base Estimates'!A:A,A16)</f>
        <v>19260533.131842174</v>
      </c>
      <c r="X16" s="4">
        <f>(W16*N16*(1-N$2))+(W16*O16*(1-'Modeling - Base Estimates'!$AA$51-N$2))+(W16*P16*(1-'Modeling - Base Estimates'!$AE$51))+(W16*Q16*(1-Q$2))+(W16*R16*(1-R$2))+(W16*S16*(1-S$2))+(W16*T16*(1-T$2))+(W16*U16*(1-U$2))+(W16*V16*(1-V$2))</f>
        <v>17773389.571232222</v>
      </c>
      <c r="Y16" s="5">
        <f>X16*N16*SUMIFS('Modeling - Base Estimates'!AN:AN,'Modeling - Base Estimates'!A:A,A16)</f>
        <v>25810.459045758053</v>
      </c>
      <c r="Z16" s="4">
        <f t="shared" si="4"/>
        <v>17747579.112186465</v>
      </c>
      <c r="AA16" s="4">
        <f>(((W16*N16*(1-N$2))/X16)*X16)-Y16-(((SUMIFS('Modeling - Base Estimates'!X:X,'Modeling - Base Estimates'!A:A,A16)*N16*(1-N$2))/SUMIFS('Modeling - Base Estimates'!Z:Z,'Modeling - Base Estimates'!A:A,A16))*SUMIFS('Modeling - Base Estimates'!Z:Z,'Modeling - Base Estimates'!A:A,A16))</f>
        <v>68.803143662400544</v>
      </c>
      <c r="AB16" s="4"/>
      <c r="AC16" s="18">
        <f>1-((((W16*O16*(1-N$2-'Modeling - Base Estimates'!$AA$51))/X16)*X16)/('Modeling - Base Estimates'!X16*'Modeling - Base Estimates'!P16))</f>
        <v>-0.10881869010357015</v>
      </c>
      <c r="AD16" s="18">
        <f t="shared" si="22"/>
        <v>-0.18581869010357016</v>
      </c>
      <c r="AE16" s="18">
        <f>1-((((W16*P16*(1-'Modeling - Base Estimates'!$AE$51))/X16)*X16)/(SUMIFS('Modeling - Base Estimates'!X:X,'Modeling - Base Estimates'!A:A,A16)*'Modeling - Base Estimates'!Q16))</f>
        <v>0.16087510840626074</v>
      </c>
      <c r="AF16" s="18">
        <f t="shared" si="23"/>
        <v>8.3875108406260737E-2</v>
      </c>
      <c r="AG16" s="18">
        <f>$N16*(1-$N$2)+$O16*(1-$N$2-'Modeling - Base Estimates'!$AA$51)+$P16*(1-'Modeling - Base Estimates'!$AE$51)+$Q16*(1-$Q$2)+$R16*(1-$R$2)+$S16*(1-$S$2)+$T16*(1-$T$2)+$U16*(1-$U$2)+$V16*(1-$V$2)</f>
        <v>0.92278803756728034</v>
      </c>
      <c r="AH16" s="18" t="e">
        <f>$O16*(1-$N$2-#REF!)+$P16*(1-#REF!)+$Q16*(1-$Q$2)+$R16*(1-$R$2)+$S16*(1-$S$2)+$T16*(1-$T$2)+$U16*(1-$U$2)+$V16*(1-$V$2)</f>
        <v>#REF!</v>
      </c>
      <c r="AJ16" s="7">
        <f>(SUMIFS('Modeling - Base Estimates'!$X:$X,'Modeling - Base Estimates'!$A:$A,$A16)*SUMIFS('Modeling - Base Estimates'!O:O,'Modeling - Base Estimates'!$A:$A,$A16)*($N$2))</f>
        <v>237334.95905192691</v>
      </c>
      <c r="AK16" s="7">
        <f>(SUMIFS('Modeling - Base Estimates'!$X:$X,'Modeling - Base Estimates'!$A:$A,$A16)*SUMIFS('Modeling - Base Estimates'!P:P,'Modeling - Base Estimates'!$A:$A,$A16)*($N$2))</f>
        <v>90045.281393593759</v>
      </c>
      <c r="AL16" s="7">
        <f>(SUMIFS('Modeling - Base Estimates'!$X:$X,'Modeling - Base Estimates'!$A:$A,$A16)*SUMIFS('Modeling - Base Estimates'!Q:Q,'Modeling - Base Estimates'!$A:$A,$A16)*($N$2))</f>
        <v>113084.00242449965</v>
      </c>
      <c r="AM16" s="7">
        <f>(SUMIFS('Modeling - Base Estimates'!$X:$X,'Modeling - Base Estimates'!$A:$A,$A16)*SUMIFS('Modeling - Base Estimates'!R:R,'Modeling - Base Estimates'!$A:$A,$A16)*($N$2))</f>
        <v>812453.09569068265</v>
      </c>
      <c r="AN16" s="7">
        <f>(SUMIFS('Modeling - Base Estimates'!X:X,'Modeling - Base Estimates'!A:A,$A16)*$R16*($R$2))+(SUMIFS('Modeling - Base Estimates'!X:X,'Modeling - Base Estimates'!A:A,$A16)*$S16*($S$2))+(SUMIFS('Modeling - Base Estimates'!X:X,'Modeling - Base Estimates'!A:A,$A16)*$T16*($T$2))+(SUMIFS('Modeling - Base Estimates'!X:X,'Modeling - Base Estimates'!A:A,$A16)*$U16*($U$2))+(SUMIFS('Modeling - Base Estimates'!X:X,'Modeling - Base Estimates'!A:A,$A16)*$V16*($V$2))</f>
        <v>24482.082575567903</v>
      </c>
      <c r="AO16" s="7">
        <f>SUM(AJ16:AN16)-(SUMIFS('Modeling - Base Estimates'!X:X,'Modeling - Base Estimates'!A:A,A16)-SUMIFS('Modeling - Base Estimates'!Z:Z,'Modeling - Base Estimates'!A:A,A16))</f>
        <v>0</v>
      </c>
      <c r="AQ16" s="7">
        <f t="shared" si="5"/>
        <v>217470.6886078683</v>
      </c>
      <c r="AR16" s="7">
        <f>(W16*$O16*($N$2+'Modeling - Base Estimates'!$AA$51))</f>
        <v>307868.33365475509</v>
      </c>
      <c r="AS16" s="7">
        <f>(W16*P16*('Modeling - Base Estimates'!$AE$51))</f>
        <v>116477.36901680053</v>
      </c>
      <c r="AT16" s="7">
        <f t="shared" si="6"/>
        <v>820599.60368345689</v>
      </c>
      <c r="AU16" s="7">
        <f t="shared" si="7"/>
        <v>24727.565647070107</v>
      </c>
      <c r="AV16" s="5">
        <f t="shared" si="12"/>
        <v>0</v>
      </c>
      <c r="AX16" s="7">
        <f>SUMIFS('Modeling - Base Estimates'!X:X,'Modeling - Base Estimates'!A:A,A16)</f>
        <v>19069324.061792254</v>
      </c>
      <c r="AY16" s="5">
        <f t="shared" si="13"/>
        <v>237334.95905192691</v>
      </c>
      <c r="AZ16" s="5">
        <f t="shared" si="13"/>
        <v>90045.281393593759</v>
      </c>
      <c r="BA16" s="5">
        <f t="shared" si="13"/>
        <v>113084.00242449965</v>
      </c>
      <c r="BB16" s="5">
        <f t="shared" si="13"/>
        <v>812453.09569068265</v>
      </c>
      <c r="BC16" s="5">
        <f t="shared" si="13"/>
        <v>24482.082575567903</v>
      </c>
      <c r="BD16" s="5">
        <f t="shared" si="14"/>
        <v>17791924.640655983</v>
      </c>
      <c r="BF16" s="5">
        <f t="shared" si="15"/>
        <v>19260533.131842174</v>
      </c>
      <c r="BG16" s="5">
        <f t="shared" si="16"/>
        <v>217470.6886078683</v>
      </c>
      <c r="BH16" s="5">
        <f t="shared" si="17"/>
        <v>25810.459045758053</v>
      </c>
      <c r="BI16" s="5">
        <f t="shared" si="18"/>
        <v>307868.33365475509</v>
      </c>
      <c r="BJ16" s="5">
        <f t="shared" si="8"/>
        <v>116477.36901680053</v>
      </c>
      <c r="BK16" s="5">
        <f t="shared" si="8"/>
        <v>820599.60368345689</v>
      </c>
      <c r="BL16" s="5">
        <f t="shared" si="8"/>
        <v>24727.565647070107</v>
      </c>
      <c r="BM16" s="5">
        <f t="shared" si="19"/>
        <v>17747579.112186465</v>
      </c>
      <c r="BO16" s="5">
        <f t="shared" si="20"/>
        <v>-44345.528469517827</v>
      </c>
      <c r="BP16" s="1">
        <f t="shared" si="21"/>
        <v>-2.4924525797610855E-3</v>
      </c>
    </row>
    <row r="17" spans="1:68" x14ac:dyDescent="0.25">
      <c r="A17" s="1">
        <v>15</v>
      </c>
      <c r="B17" s="1">
        <v>210015</v>
      </c>
      <c r="C17" s="4">
        <v>743866296.19999993</v>
      </c>
      <c r="D17" s="4">
        <f>SUM('Modeling - Base Estimates'!E17:G17)-SUM('Scenario 3 - increase MA &amp; QP %'!E17:F17)</f>
        <v>204930552.65500003</v>
      </c>
      <c r="E17" s="4">
        <f>((SUM('Modeling - Base Estimates'!F17:G17)/SUM('Modeling - Base Estimates'!E17:G17)+$E$61))*SUM('Modeling - Base Estimates'!E17:G17)*('Modeling - Base Estimates'!F17/SUM('Modeling - Base Estimates'!F17:G17)+$E$73)</f>
        <v>75143728.438782945</v>
      </c>
      <c r="F17" s="4">
        <f>((SUM('Modeling - Base Estimates'!F17:G17)/SUM('Modeling - Base Estimates'!E17:G17)+$E$61))*SUM('Modeling - Base Estimates'!E17:G17)*('Modeling - Base Estimates'!G17/SUM('Modeling - Base Estimates'!F17:G17)-$E$73)</f>
        <v>63774027.806217059</v>
      </c>
      <c r="G17" s="4">
        <v>23054440.399999999</v>
      </c>
      <c r="H17" s="4">
        <v>161792057.39999998</v>
      </c>
      <c r="I17" s="4">
        <v>28034823.799999997</v>
      </c>
      <c r="J17" s="4">
        <v>40255594.899999999</v>
      </c>
      <c r="K17" s="4">
        <v>4100608.4</v>
      </c>
      <c r="L17" s="4">
        <v>26996832.299999997</v>
      </c>
      <c r="M17" s="4">
        <f t="shared" si="0"/>
        <v>115783630.10000002</v>
      </c>
      <c r="N17" s="12">
        <f t="shared" si="1"/>
        <v>0.27549380003083418</v>
      </c>
      <c r="O17" s="12">
        <f t="shared" si="2"/>
        <v>0.1010177888454559</v>
      </c>
      <c r="P17" s="12">
        <f t="shared" si="2"/>
        <v>8.5733186369651604E-2</v>
      </c>
      <c r="Q17" s="12">
        <f t="shared" si="9"/>
        <v>0.24849425057201563</v>
      </c>
      <c r="R17" s="12">
        <f t="shared" si="10"/>
        <v>3.7687987670921984E-2</v>
      </c>
      <c r="S17" s="12">
        <f t="shared" si="3"/>
        <v>5.4116707674004713E-2</v>
      </c>
      <c r="T17" s="12">
        <f t="shared" si="3"/>
        <v>5.512561089200751E-3</v>
      </c>
      <c r="U17" s="12">
        <f t="shared" si="3"/>
        <v>3.6292587038708204E-2</v>
      </c>
      <c r="V17" s="12">
        <f t="shared" si="11"/>
        <v>0.15565113070920719</v>
      </c>
      <c r="W17" s="4">
        <f>SUMIFS('Modeling - Base Estimates'!AK:AK,'Modeling - Base Estimates'!A:A,A17)</f>
        <v>415039339.37903076</v>
      </c>
      <c r="X17" s="4">
        <f>(W17*N17*(1-N$2))+(W17*O17*(1-'Modeling - Base Estimates'!$AA$51-N$2))+(W17*P17*(1-'Modeling - Base Estimates'!$AE$51))+(W17*Q17*(1-Q$2))+(W17*R17*(1-R$2))+(W17*S17*(1-S$2))+(W17*T17*(1-T$2))+(W17*U17*(1-U$2))+(W17*V17*(1-V$2))</f>
        <v>385037532.85271758</v>
      </c>
      <c r="Y17" s="5">
        <f>X17*N17*SUMIFS('Modeling - Base Estimates'!AN:AN,'Modeling - Base Estimates'!A:A,A17)</f>
        <v>1451513.8525129023</v>
      </c>
      <c r="Z17" s="4">
        <f t="shared" si="4"/>
        <v>383586019.00020468</v>
      </c>
      <c r="AA17" s="4">
        <f>(((W17*N17*(1-N$2))/X17)*X17)-Y17-(((SUMIFS('Modeling - Base Estimates'!X:X,'Modeling - Base Estimates'!A:A,A17)*N17*(1-N$2))/SUMIFS('Modeling - Base Estimates'!Z:Z,'Modeling - Base Estimates'!A:A,A17))*SUMIFS('Modeling - Base Estimates'!Z:Z,'Modeling - Base Estimates'!A:A,A17))</f>
        <v>5103.9018078446388</v>
      </c>
      <c r="AB17" s="4"/>
      <c r="AC17" s="18">
        <f>1-((((W17*O17*(1-N$2-'Modeling - Base Estimates'!$AA$51))/X17)*X17)/('Modeling - Base Estimates'!X17*'Modeling - Base Estimates'!P17))</f>
        <v>-0.14726850669595581</v>
      </c>
      <c r="AD17" s="18">
        <f t="shared" si="22"/>
        <v>-0.22426850669595583</v>
      </c>
      <c r="AE17" s="18">
        <f>1-((((W17*P17*(1-'Modeling - Base Estimates'!$AE$51))/X17)*X17)/(SUMIFS('Modeling - Base Estimates'!X:X,'Modeling - Base Estimates'!A:A,A17)*'Modeling - Base Estimates'!Q17))</f>
        <v>0.13183031049069727</v>
      </c>
      <c r="AF17" s="18">
        <f t="shared" si="23"/>
        <v>5.4830310490697268E-2</v>
      </c>
      <c r="AG17" s="18">
        <f>$N17*(1-$N$2)+$O17*(1-$N$2-'Modeling - Base Estimates'!$AA$51)+$P17*(1-'Modeling - Base Estimates'!$AE$51)+$Q17*(1-$Q$2)+$R17*(1-$R$2)+$S17*(1-$S$2)+$T17*(1-$T$2)+$U17*(1-$U$2)+$V17*(1-$V$2)</f>
        <v>0.92771334261662775</v>
      </c>
      <c r="AH17" s="18" t="e">
        <f>$O17*(1-$N$2-#REF!)+$P17*(1-#REF!)+$Q17*(1-$Q$2)+$R17*(1-$R$2)+$S17*(1-$S$2)+$T17*(1-$T$2)+$U17*(1-$U$2)+$V17*(1-$V$2)</f>
        <v>#REF!</v>
      </c>
      <c r="AJ17" s="7">
        <f>(SUMIFS('Modeling - Base Estimates'!$X:$X,'Modeling - Base Estimates'!$A:$A,$A17)*SUMIFS('Modeling - Base Estimates'!O:O,'Modeling - Base Estimates'!$A:$A,$A17)*($N$2))</f>
        <v>9411149.6890799068</v>
      </c>
      <c r="AK17" s="7">
        <f>(SUMIFS('Modeling - Base Estimates'!$X:$X,'Modeling - Base Estimates'!$A:$A,$A17)*SUMIFS('Modeling - Base Estimates'!P:P,'Modeling - Base Estimates'!$A:$A,$A17)*($N$2))</f>
        <v>2274010.1111082672</v>
      </c>
      <c r="AL17" s="7">
        <f>(SUMIFS('Modeling - Base Estimates'!$X:$X,'Modeling - Base Estimates'!$A:$A,$A17)*SUMIFS('Modeling - Base Estimates'!Q:Q,'Modeling - Base Estimates'!$A:$A,$A17)*($N$2))</f>
        <v>2883382.7196381981</v>
      </c>
      <c r="AM17" s="7">
        <f>(SUMIFS('Modeling - Base Estimates'!$X:$X,'Modeling - Base Estimates'!$A:$A,$A17)*SUMIFS('Modeling - Base Estimates'!R:R,'Modeling - Base Estimates'!$A:$A,$A17)*($N$2))</f>
        <v>7831779.2850435963</v>
      </c>
      <c r="AN17" s="7">
        <f>(SUMIFS('Modeling - Base Estimates'!X:X,'Modeling - Base Estimates'!A:A,$A17)*$R17*($R$2))+(SUMIFS('Modeling - Base Estimates'!X:X,'Modeling - Base Estimates'!A:A,$A17)*$S17*($S$2))+(SUMIFS('Modeling - Base Estimates'!X:X,'Modeling - Base Estimates'!A:A,$A17)*$T17*($T$2))+(SUMIFS('Modeling - Base Estimates'!X:X,'Modeling - Base Estimates'!A:A,$A17)*$U17*($U$2))+(SUMIFS('Modeling - Base Estimates'!X:X,'Modeling - Base Estimates'!A:A,$A17)*$V17*($V$2))</f>
        <v>2109419.9137473353</v>
      </c>
      <c r="AO17" s="7">
        <f>SUM(AJ17:AN17)-(SUMIFS('Modeling - Base Estimates'!X:X,'Modeling - Base Estimates'!A:A,A17)-SUMIFS('Modeling - Base Estimates'!Z:Z,'Modeling - Base Estimates'!A:A,A17))</f>
        <v>4.4703483581542969E-8</v>
      </c>
      <c r="AQ17" s="7">
        <f t="shared" si="5"/>
        <v>8804238.8871218488</v>
      </c>
      <c r="AR17" s="7">
        <f>(W17*$O17*($N$2+'Modeling - Base Estimates'!$AA$51))</f>
        <v>8044535.7715499112</v>
      </c>
      <c r="AS17" s="7">
        <f>(W17*P17*('Modeling - Base Estimates'!$AE$51))</f>
        <v>3072703.7292418159</v>
      </c>
      <c r="AT17" s="7">
        <f t="shared" si="6"/>
        <v>7941386.4989610463</v>
      </c>
      <c r="AU17" s="7">
        <f t="shared" si="7"/>
        <v>2138941.6394386315</v>
      </c>
      <c r="AV17" s="5">
        <f t="shared" si="12"/>
        <v>6.7055225372314453E-8</v>
      </c>
      <c r="AX17" s="7">
        <f>SUMIFS('Modeling - Base Estimates'!X:X,'Modeling - Base Estimates'!A:A,A17)</f>
        <v>409310956.09716606</v>
      </c>
      <c r="AY17" s="5">
        <f t="shared" si="13"/>
        <v>9411149.6890799068</v>
      </c>
      <c r="AZ17" s="5">
        <f t="shared" si="13"/>
        <v>2274010.1111082672</v>
      </c>
      <c r="BA17" s="5">
        <f t="shared" si="13"/>
        <v>2883382.7196381981</v>
      </c>
      <c r="BB17" s="5">
        <f t="shared" si="13"/>
        <v>7831779.2850435963</v>
      </c>
      <c r="BC17" s="5">
        <f t="shared" si="13"/>
        <v>2109419.9137473353</v>
      </c>
      <c r="BD17" s="5">
        <f t="shared" si="14"/>
        <v>384801214.37854874</v>
      </c>
      <c r="BF17" s="5">
        <f t="shared" si="15"/>
        <v>415039339.37903076</v>
      </c>
      <c r="BG17" s="5">
        <f t="shared" si="16"/>
        <v>8804238.8871218488</v>
      </c>
      <c r="BH17" s="5">
        <f t="shared" si="17"/>
        <v>1451513.8525129023</v>
      </c>
      <c r="BI17" s="5">
        <f t="shared" si="18"/>
        <v>8044535.7715499112</v>
      </c>
      <c r="BJ17" s="5">
        <f t="shared" si="8"/>
        <v>3072703.7292418159</v>
      </c>
      <c r="BK17" s="5">
        <f t="shared" si="8"/>
        <v>7941386.4989610463</v>
      </c>
      <c r="BL17" s="5">
        <f t="shared" si="8"/>
        <v>2138941.6394386315</v>
      </c>
      <c r="BM17" s="5">
        <f t="shared" si="19"/>
        <v>383586019.00020462</v>
      </c>
      <c r="BO17" s="5">
        <f t="shared" si="20"/>
        <v>-1215195.3783441186</v>
      </c>
      <c r="BP17" s="1">
        <f t="shared" si="21"/>
        <v>-3.1579821812845643E-3</v>
      </c>
    </row>
    <row r="18" spans="1:68" x14ac:dyDescent="0.25">
      <c r="A18" s="1">
        <v>18</v>
      </c>
      <c r="B18" s="1">
        <v>210018</v>
      </c>
      <c r="C18" s="4">
        <v>241848933</v>
      </c>
      <c r="D18" s="4">
        <f>SUM('Modeling - Base Estimates'!E18:G18)-SUM('Scenario 3 - increase MA &amp; QP %'!E18:F18)</f>
        <v>85034143.590000004</v>
      </c>
      <c r="E18" s="4">
        <f>((SUM('Modeling - Base Estimates'!F18:G18)/SUM('Modeling - Base Estimates'!E18:G18)+$E$61))*SUM('Modeling - Base Estimates'!E18:G18)*('Modeling - Base Estimates'!F18/SUM('Modeling - Base Estimates'!F18:G18)+$E$73)</f>
        <v>16340940.382697972</v>
      </c>
      <c r="F18" s="4">
        <f>((SUM('Modeling - Base Estimates'!F18:G18)/SUM('Modeling - Base Estimates'!E18:G18)+$E$61))*SUM('Modeling - Base Estimates'!E18:G18)*('Modeling - Base Estimates'!G18/SUM('Modeling - Base Estimates'!F18:G18)-$E$73)</f>
        <v>16587444.227302032</v>
      </c>
      <c r="G18" s="4">
        <v>6165380</v>
      </c>
      <c r="H18" s="4">
        <v>31779251.599999998</v>
      </c>
      <c r="I18" s="4">
        <v>8106210</v>
      </c>
      <c r="J18" s="4">
        <v>17127791.199999999</v>
      </c>
      <c r="K18" s="4">
        <v>1048543.1000000001</v>
      </c>
      <c r="L18" s="4">
        <v>10355704.199999999</v>
      </c>
      <c r="M18" s="4">
        <f t="shared" si="0"/>
        <v>49303524.700000018</v>
      </c>
      <c r="N18" s="12">
        <f t="shared" si="1"/>
        <v>0.35160024290865904</v>
      </c>
      <c r="O18" s="12">
        <f t="shared" si="2"/>
        <v>6.7566725145311979E-2</v>
      </c>
      <c r="P18" s="12">
        <f t="shared" si="2"/>
        <v>6.8585972332166678E-2</v>
      </c>
      <c r="Q18" s="12">
        <f t="shared" si="9"/>
        <v>0.15689393841568031</v>
      </c>
      <c r="R18" s="12">
        <f t="shared" si="10"/>
        <v>3.3517658727896887E-2</v>
      </c>
      <c r="S18" s="12">
        <f t="shared" si="3"/>
        <v>7.0820205768697769E-2</v>
      </c>
      <c r="T18" s="12">
        <f t="shared" si="3"/>
        <v>4.3355291544742939E-3</v>
      </c>
      <c r="U18" s="12">
        <f t="shared" si="3"/>
        <v>4.2818895545840591E-2</v>
      </c>
      <c r="V18" s="12">
        <f t="shared" si="11"/>
        <v>0.20386083200127253</v>
      </c>
      <c r="W18" s="4">
        <f>SUMIFS('Modeling - Base Estimates'!AK:AK,'Modeling - Base Estimates'!A:A,A18)</f>
        <v>133350912.98823373</v>
      </c>
      <c r="X18" s="4">
        <f>(W18*N18*(1-N$2))+(W18*O18*(1-'Modeling - Base Estimates'!$AA$51-N$2))+(W18*P18*(1-'Modeling - Base Estimates'!$AE$51))+(W18*Q18*(1-Q$2))+(W18*R18*(1-R$2))+(W18*S18*(1-S$2))+(W18*T18*(1-T$2))+(W18*U18*(1-U$2))+(W18*V18*(1-V$2))</f>
        <v>124766390.09959865</v>
      </c>
      <c r="Y18" s="5">
        <f>X18*N18*SUMIFS('Modeling - Base Estimates'!AN:AN,'Modeling - Base Estimates'!A:A,A18)</f>
        <v>414437.37017069018</v>
      </c>
      <c r="Z18" s="4">
        <f t="shared" si="4"/>
        <v>124351952.72942795</v>
      </c>
      <c r="AA18" s="4">
        <f>(((W18*N18*(1-N$2))/X18)*X18)-Y18-(((SUMIFS('Modeling - Base Estimates'!X:X,'Modeling - Base Estimates'!A:A,A18)*N18*(1-N$2))/SUMIFS('Modeling - Base Estimates'!Z:Z,'Modeling - Base Estimates'!A:A,A18))*SUMIFS('Modeling - Base Estimates'!Z:Z,'Modeling - Base Estimates'!A:A,A18))</f>
        <v>1189.1079462692142</v>
      </c>
      <c r="AB18" s="4"/>
      <c r="AC18" s="18">
        <f>1-((((W18*O18*(1-N$2-'Modeling - Base Estimates'!$AA$51))/X18)*X18)/('Modeling - Base Estimates'!X18*'Modeling - Base Estimates'!P18))</f>
        <v>-0.24486058582179404</v>
      </c>
      <c r="AD18" s="18">
        <f t="shared" si="22"/>
        <v>-0.32186058582179405</v>
      </c>
      <c r="AE18" s="18">
        <f>1-((((W18*P18*(1-'Modeling - Base Estimates'!$AE$51))/X18)*X18)/(SUMIFS('Modeling - Base Estimates'!X:X,'Modeling - Base Estimates'!A:A,A18)*'Modeling - Base Estimates'!Q18))</f>
        <v>6.2338095396474724E-2</v>
      </c>
      <c r="AF18" s="18">
        <f t="shared" si="23"/>
        <v>-1.4661904603525275E-2</v>
      </c>
      <c r="AG18" s="18">
        <f>$N18*(1-$N$2)+$O18*(1-$N$2-'Modeling - Base Estimates'!$AA$51)+$P18*(1-'Modeling - Base Estimates'!$AE$51)+$Q18*(1-$Q$2)+$R18*(1-$R$2)+$S18*(1-$S$2)+$T18*(1-$T$2)+$U18*(1-$U$2)+$V18*(1-$V$2)</f>
        <v>0.93562456606958111</v>
      </c>
      <c r="AH18" s="18" t="e">
        <f>$O18*(1-$N$2-#REF!)+$P18*(1-#REF!)+$Q18*(1-$Q$2)+$R18*(1-$R$2)+$S18*(1-$S$2)+$T18*(1-$T$2)+$U18*(1-$U$2)+$V18*(1-$V$2)</f>
        <v>#REF!</v>
      </c>
      <c r="AJ18" s="7">
        <f>(SUMIFS('Modeling - Base Estimates'!$X:$X,'Modeling - Base Estimates'!$A:$A,$A18)*SUMIFS('Modeling - Base Estimates'!O:O,'Modeling - Base Estimates'!$A:$A,$A18)*($N$2))</f>
        <v>3823573.2332788948</v>
      </c>
      <c r="AK18" s="7">
        <f>(SUMIFS('Modeling - Base Estimates'!$X:$X,'Modeling - Base Estimates'!$A:$A,$A18)*SUMIFS('Modeling - Base Estimates'!P:P,'Modeling - Base Estimates'!$A:$A,$A18)*($N$2))</f>
        <v>450379.36967988947</v>
      </c>
      <c r="AL18" s="7">
        <f>(SUMIFS('Modeling - Base Estimates'!$X:$X,'Modeling - Base Estimates'!$A:$A,$A18)*SUMIFS('Modeling - Base Estimates'!Q:Q,'Modeling - Base Estimates'!$A:$A,$A18)*($N$2))</f>
        <v>686204.7246370936</v>
      </c>
      <c r="AM18" s="7">
        <f>(SUMIFS('Modeling - Base Estimates'!$X:$X,'Modeling - Base Estimates'!$A:$A,$A18)*SUMIFS('Modeling - Base Estimates'!R:R,'Modeling - Base Estimates'!$A:$A,$A18)*($N$2))</f>
        <v>1595518.0458201307</v>
      </c>
      <c r="AN18" s="7">
        <f>(SUMIFS('Modeling - Base Estimates'!X:X,'Modeling - Base Estimates'!A:A,$A18)*$R18*($R$2))+(SUMIFS('Modeling - Base Estimates'!X:X,'Modeling - Base Estimates'!A:A,$A18)*$S18*($S$2))+(SUMIFS('Modeling - Base Estimates'!X:X,'Modeling - Base Estimates'!A:A,$A18)*$T18*($T$2))+(SUMIFS('Modeling - Base Estimates'!X:X,'Modeling - Base Estimates'!A:A,$A18)*$U18*($U$2))+(SUMIFS('Modeling - Base Estimates'!X:X,'Modeling - Base Estimates'!A:A,$A18)*$V18*($V$2))</f>
        <v>836595.85368258343</v>
      </c>
      <c r="AO18" s="7">
        <f>SUM(AJ18:AN18)-(SUMIFS('Modeling - Base Estimates'!X:X,'Modeling - Base Estimates'!A:A,A18)-SUMIFS('Modeling - Base Estimates'!Z:Z,'Modeling - Base Estimates'!A:A,A18))</f>
        <v>8.3819031715393066E-9</v>
      </c>
      <c r="AQ18" s="7">
        <f t="shared" si="5"/>
        <v>3610238.4317040914</v>
      </c>
      <c r="AR18" s="7">
        <f>(W18*$O18*($N$2+'Modeling - Base Estimates'!$AA$51))</f>
        <v>1728791.9405347707</v>
      </c>
      <c r="AS18" s="7">
        <f>(W18*P18*('Modeling - Base Estimates'!$AE$51))</f>
        <v>789793.85918464686</v>
      </c>
      <c r="AT18" s="7">
        <f t="shared" si="6"/>
        <v>1610990.1446139028</v>
      </c>
      <c r="AU18" s="7">
        <f t="shared" si="7"/>
        <v>844708.51259769069</v>
      </c>
      <c r="AV18" s="5">
        <f t="shared" si="12"/>
        <v>1.862645149230957E-8</v>
      </c>
      <c r="AX18" s="7">
        <f>SUMIFS('Modeling - Base Estimates'!X:X,'Modeling - Base Estimates'!A:A,A18)</f>
        <v>132070198.44948146</v>
      </c>
      <c r="AY18" s="5">
        <f t="shared" si="13"/>
        <v>3823573.2332788948</v>
      </c>
      <c r="AZ18" s="5">
        <f t="shared" si="13"/>
        <v>450379.36967988947</v>
      </c>
      <c r="BA18" s="5">
        <f t="shared" si="13"/>
        <v>686204.7246370936</v>
      </c>
      <c r="BB18" s="5">
        <f t="shared" si="13"/>
        <v>1595518.0458201307</v>
      </c>
      <c r="BC18" s="5">
        <f t="shared" si="13"/>
        <v>836595.85368258343</v>
      </c>
      <c r="BD18" s="5">
        <f t="shared" si="14"/>
        <v>124677927.22238286</v>
      </c>
      <c r="BF18" s="5">
        <f t="shared" si="15"/>
        <v>133350912.98823373</v>
      </c>
      <c r="BG18" s="5">
        <f t="shared" si="16"/>
        <v>3610238.4317040914</v>
      </c>
      <c r="BH18" s="5">
        <f t="shared" si="17"/>
        <v>414437.37017069018</v>
      </c>
      <c r="BI18" s="5">
        <f t="shared" si="18"/>
        <v>1728791.9405347707</v>
      </c>
      <c r="BJ18" s="5">
        <f t="shared" si="8"/>
        <v>789793.85918464686</v>
      </c>
      <c r="BK18" s="5">
        <f t="shared" si="8"/>
        <v>1610990.1446139028</v>
      </c>
      <c r="BL18" s="5">
        <f t="shared" si="8"/>
        <v>844708.51259769069</v>
      </c>
      <c r="BM18" s="5">
        <f t="shared" si="19"/>
        <v>124351952.72942793</v>
      </c>
      <c r="BO18" s="5">
        <f t="shared" si="20"/>
        <v>-325974.4929549247</v>
      </c>
      <c r="BP18" s="1">
        <f t="shared" si="21"/>
        <v>-2.6145325015990801E-3</v>
      </c>
    </row>
    <row r="19" spans="1:68" x14ac:dyDescent="0.25">
      <c r="A19" s="1">
        <v>19</v>
      </c>
      <c r="B19" s="1">
        <v>210019</v>
      </c>
      <c r="C19" s="4">
        <v>650222000</v>
      </c>
      <c r="D19" s="4">
        <f>SUM('Modeling - Base Estimates'!E19:G19)-SUM('Scenario 3 - increase MA &amp; QP %'!E19:F19)</f>
        <v>227956060</v>
      </c>
      <c r="E19" s="4">
        <f>((SUM('Modeling - Base Estimates'!F19:G19)/SUM('Modeling - Base Estimates'!E19:G19)+$E$61))*SUM('Modeling - Base Estimates'!E19:G19)*('Modeling - Base Estimates'!F19/SUM('Modeling - Base Estimates'!F19:G19)+$E$73)</f>
        <v>57631242.984795511</v>
      </c>
      <c r="F19" s="4">
        <f>((SUM('Modeling - Base Estimates'!F19:G19)/SUM('Modeling - Base Estimates'!E19:G19)+$E$61))*SUM('Modeling - Base Estimates'!E19:G19)*('Modeling - Base Estimates'!G19/SUM('Modeling - Base Estimates'!F19:G19)-$E$73)</f>
        <v>58991497.015204489</v>
      </c>
      <c r="G19" s="4">
        <v>13782000</v>
      </c>
      <c r="H19" s="4">
        <v>107338400</v>
      </c>
      <c r="I19" s="4">
        <v>31344100</v>
      </c>
      <c r="J19" s="4">
        <v>40337600</v>
      </c>
      <c r="K19" s="4">
        <v>0</v>
      </c>
      <c r="L19" s="4">
        <v>30523300</v>
      </c>
      <c r="M19" s="4">
        <f t="shared" si="0"/>
        <v>82317800</v>
      </c>
      <c r="N19" s="12">
        <f t="shared" si="1"/>
        <v>0.3505818935686581</v>
      </c>
      <c r="O19" s="12">
        <f t="shared" si="2"/>
        <v>8.863317910620605E-2</v>
      </c>
      <c r="P19" s="12">
        <f t="shared" si="2"/>
        <v>9.0725163121525398E-2</v>
      </c>
      <c r="Q19" s="12">
        <f t="shared" si="9"/>
        <v>0.18627545669017659</v>
      </c>
      <c r="R19" s="12">
        <f t="shared" si="10"/>
        <v>4.8205228368157334E-2</v>
      </c>
      <c r="S19" s="12">
        <f t="shared" si="3"/>
        <v>6.2036658249028792E-2</v>
      </c>
      <c r="T19" s="12">
        <f t="shared" si="3"/>
        <v>0</v>
      </c>
      <c r="U19" s="12">
        <f t="shared" si="3"/>
        <v>4.6942890274398588E-2</v>
      </c>
      <c r="V19" s="12">
        <f t="shared" si="11"/>
        <v>0.12659953062184914</v>
      </c>
      <c r="W19" s="4">
        <f>SUMIFS('Modeling - Base Estimates'!AK:AK,'Modeling - Base Estimates'!A:A,A19)</f>
        <v>361925233.59871</v>
      </c>
      <c r="X19" s="4">
        <f>(W19*N19*(1-N$2))+(W19*O19*(1-'Modeling - Base Estimates'!$AA$51-N$2))+(W19*P19*(1-'Modeling - Base Estimates'!$AE$51))+(W19*Q19*(1-Q$2))+(W19*R19*(1-R$2))+(W19*S19*(1-S$2))+(W19*T19*(1-T$2))+(W19*U19*(1-U$2))+(W19*V19*(1-V$2))</f>
        <v>336215457.65724057</v>
      </c>
      <c r="Y19" s="5">
        <f>X19*N19*SUMIFS('Modeling - Base Estimates'!AN:AN,'Modeling - Base Estimates'!A:A,A19)</f>
        <v>1539812.2088321859</v>
      </c>
      <c r="Z19" s="4">
        <f t="shared" si="4"/>
        <v>334675645.44840837</v>
      </c>
      <c r="AA19" s="4">
        <f>(((W19*N19*(1-N$2))/X19)*X19)-Y19-(((SUMIFS('Modeling - Base Estimates'!X:X,'Modeling - Base Estimates'!A:A,A19)*N19*(1-N$2))/SUMIFS('Modeling - Base Estimates'!Z:Z,'Modeling - Base Estimates'!A:A,A19))*SUMIFS('Modeling - Base Estimates'!Z:Z,'Modeling - Base Estimates'!A:A,A19))</f>
        <v>5374.624666467309</v>
      </c>
      <c r="AB19" s="4"/>
      <c r="AC19" s="18">
        <f>1-((((W19*O19*(1-N$2-'Modeling - Base Estimates'!$AA$51))/X19)*X19)/('Modeling - Base Estimates'!X19*'Modeling - Base Estimates'!P19))</f>
        <v>-0.20466122277214449</v>
      </c>
      <c r="AD19" s="18">
        <f t="shared" si="22"/>
        <v>-0.2816612227721445</v>
      </c>
      <c r="AE19" s="18">
        <f>1-((((W19*P19*(1-'Modeling - Base Estimates'!$AE$51))/X19)*X19)/(SUMIFS('Modeling - Base Estimates'!X:X,'Modeling - Base Estimates'!A:A,A19)*'Modeling - Base Estimates'!Q19))</f>
        <v>9.2964847386517446E-2</v>
      </c>
      <c r="AF19" s="18">
        <f t="shared" si="23"/>
        <v>1.5964847386517447E-2</v>
      </c>
      <c r="AG19" s="18">
        <f>$N19*(1-$N$2)+$O19*(1-$N$2-'Modeling - Base Estimates'!$AA$51)+$P19*(1-'Modeling - Base Estimates'!$AE$51)+$Q19*(1-$Q$2)+$R19*(1-$R$2)+$S19*(1-$S$2)+$T19*(1-$T$2)+$U19*(1-$U$2)+$V19*(1-$V$2)</f>
        <v>0.92896384790352737</v>
      </c>
      <c r="AH19" s="18" t="e">
        <f>$O19*(1-$N$2-#REF!)+$P19*(1-#REF!)+$Q19*(1-$Q$2)+$R19*(1-$R$2)+$S19*(1-$S$2)+$T19*(1-$T$2)+$U19*(1-$U$2)+$V19*(1-$V$2)</f>
        <v>#REF!</v>
      </c>
      <c r="AJ19" s="7">
        <f>(SUMIFS('Modeling - Base Estimates'!$X:$X,'Modeling - Base Estimates'!$A:$A,$A19)*SUMIFS('Modeling - Base Estimates'!O:O,'Modeling - Base Estimates'!$A:$A,$A19)*($N$2))</f>
        <v>10369878.825127259</v>
      </c>
      <c r="AK19" s="7">
        <f>(SUMIFS('Modeling - Base Estimates'!$X:$X,'Modeling - Base Estimates'!$A:$A,$A19)*SUMIFS('Modeling - Base Estimates'!P:P,'Modeling - Base Estimates'!$A:$A,$A19)*($N$2))</f>
        <v>1656992.7247240567</v>
      </c>
      <c r="AL19" s="7">
        <f>(SUMIFS('Modeling - Base Estimates'!$X:$X,'Modeling - Base Estimates'!$A:$A,$A19)*SUMIFS('Modeling - Base Estimates'!Q:Q,'Modeling - Base Estimates'!$A:$A,$A19)*($N$2))</f>
        <v>2546778.5580580621</v>
      </c>
      <c r="AM19" s="7">
        <f>(SUMIFS('Modeling - Base Estimates'!$X:$X,'Modeling - Base Estimates'!$A:$A,$A19)*SUMIFS('Modeling - Base Estimates'!R:R,'Modeling - Base Estimates'!$A:$A,$A19)*($N$2))</f>
        <v>5122678.2684542025</v>
      </c>
      <c r="AN19" s="7">
        <f>(SUMIFS('Modeling - Base Estimates'!X:X,'Modeling - Base Estimates'!A:A,$A19)*$R19*($R$2))+(SUMIFS('Modeling - Base Estimates'!X:X,'Modeling - Base Estimates'!A:A,$A19)*$S19*($S$2))+(SUMIFS('Modeling - Base Estimates'!X:X,'Modeling - Base Estimates'!A:A,$A19)*$T19*($T$2))+(SUMIFS('Modeling - Base Estimates'!X:X,'Modeling - Base Estimates'!A:A,$A19)*$U19*($U$2))+(SUMIFS('Modeling - Base Estimates'!X:X,'Modeling - Base Estimates'!A:A,$A19)*$V19*($V$2))</f>
        <v>1734799.743305963</v>
      </c>
      <c r="AO19" s="7">
        <f>SUM(AJ19:AN19)-(SUMIFS('Modeling - Base Estimates'!X:X,'Modeling - Base Estimates'!A:A,A19)-SUMIFS('Modeling - Base Estimates'!Z:Z,'Modeling - Base Estimates'!A:A,A19))</f>
        <v>0</v>
      </c>
      <c r="AQ19" s="7">
        <f t="shared" si="5"/>
        <v>9770101.3968492299</v>
      </c>
      <c r="AR19" s="7">
        <f>(W19*$O19*($N$2+'Modeling - Base Estimates'!$AA$51))</f>
        <v>6155014.1579264253</v>
      </c>
      <c r="AS19" s="7">
        <f>(W19*P19*('Modeling - Base Estimates'!$AE$51))</f>
        <v>2835496.2705724044</v>
      </c>
      <c r="AT19" s="7">
        <f t="shared" si="6"/>
        <v>5191169.6895749876</v>
      </c>
      <c r="AU19" s="7">
        <f t="shared" si="7"/>
        <v>1757994.4265463089</v>
      </c>
      <c r="AV19" s="5">
        <f t="shared" si="12"/>
        <v>-7.4505805969238281E-8</v>
      </c>
      <c r="AX19" s="7">
        <f>SUMIFS('Modeling - Base Estimates'!X:X,'Modeling - Base Estimates'!A:A,A19)</f>
        <v>357150052.84543407</v>
      </c>
      <c r="AY19" s="5">
        <f t="shared" si="13"/>
        <v>10369878.825127259</v>
      </c>
      <c r="AZ19" s="5">
        <f t="shared" si="13"/>
        <v>1656992.7247240567</v>
      </c>
      <c r="BA19" s="5">
        <f t="shared" si="13"/>
        <v>2546778.5580580621</v>
      </c>
      <c r="BB19" s="5">
        <f t="shared" si="13"/>
        <v>5122678.2684542025</v>
      </c>
      <c r="BC19" s="5">
        <f t="shared" si="13"/>
        <v>1734799.743305963</v>
      </c>
      <c r="BD19" s="5">
        <f t="shared" si="14"/>
        <v>335718924.72576451</v>
      </c>
      <c r="BF19" s="5">
        <f t="shared" si="15"/>
        <v>361925233.59871</v>
      </c>
      <c r="BG19" s="5">
        <f t="shared" si="16"/>
        <v>9770101.3968492299</v>
      </c>
      <c r="BH19" s="5">
        <f t="shared" si="17"/>
        <v>1539812.2088321859</v>
      </c>
      <c r="BI19" s="5">
        <f t="shared" si="18"/>
        <v>6155014.1579264253</v>
      </c>
      <c r="BJ19" s="5">
        <f t="shared" si="8"/>
        <v>2835496.2705724044</v>
      </c>
      <c r="BK19" s="5">
        <f t="shared" si="8"/>
        <v>5191169.6895749876</v>
      </c>
      <c r="BL19" s="5">
        <f t="shared" si="8"/>
        <v>1757994.4265463089</v>
      </c>
      <c r="BM19" s="5">
        <f t="shared" si="19"/>
        <v>334675645.44840848</v>
      </c>
      <c r="BO19" s="5">
        <f t="shared" si="20"/>
        <v>-1043279.2773560286</v>
      </c>
      <c r="BP19" s="1">
        <f t="shared" si="21"/>
        <v>-3.1075974588213699E-3</v>
      </c>
    </row>
    <row r="20" spans="1:68" x14ac:dyDescent="0.25">
      <c r="A20" s="1">
        <v>22</v>
      </c>
      <c r="B20" s="1">
        <v>210022</v>
      </c>
      <c r="C20" s="4">
        <v>465603383.90000004</v>
      </c>
      <c r="D20" s="4">
        <f>SUM('Modeling - Base Estimates'!E20:G20)-SUM('Scenario 3 - increase MA &amp; QP %'!E20:F20)</f>
        <v>179739729.46500003</v>
      </c>
      <c r="E20" s="4">
        <f>((SUM('Modeling - Base Estimates'!F20:G20)/SUM('Modeling - Base Estimates'!E20:G20)+$E$61))*SUM('Modeling - Base Estimates'!E20:G20)*('Modeling - Base Estimates'!F20/SUM('Modeling - Base Estimates'!F20:G20)+$E$73)</f>
        <v>26986143.295226581</v>
      </c>
      <c r="F20" s="4">
        <f>((SUM('Modeling - Base Estimates'!F20:G20)/SUM('Modeling - Base Estimates'!E20:G20)+$E$61))*SUM('Modeling - Base Estimates'!E20:G20)*('Modeling - Base Estimates'!G20/SUM('Modeling - Base Estimates'!F20:G20)-$E$73)</f>
        <v>7488769.9397734245</v>
      </c>
      <c r="G20" s="4">
        <v>9495691.4000000004</v>
      </c>
      <c r="H20" s="4">
        <v>29607100.600000001</v>
      </c>
      <c r="I20" s="4">
        <v>29703282.100000001</v>
      </c>
      <c r="J20" s="4">
        <v>39706360.899999999</v>
      </c>
      <c r="K20" s="4">
        <v>1919982.8</v>
      </c>
      <c r="L20" s="4">
        <v>17032436</v>
      </c>
      <c r="M20" s="4">
        <f t="shared" si="0"/>
        <v>123923887.40000004</v>
      </c>
      <c r="N20" s="12">
        <f t="shared" si="1"/>
        <v>0.3860361322107651</v>
      </c>
      <c r="O20" s="12">
        <f t="shared" si="2"/>
        <v>5.7959508518139399E-2</v>
      </c>
      <c r="P20" s="12">
        <f t="shared" si="2"/>
        <v>1.6084010981719635E-2</v>
      </c>
      <c r="Q20" s="12">
        <f t="shared" si="9"/>
        <v>8.398304941958562E-2</v>
      </c>
      <c r="R20" s="12">
        <f t="shared" si="10"/>
        <v>6.3795245324891198E-2</v>
      </c>
      <c r="S20" s="12">
        <f t="shared" si="3"/>
        <v>8.5279364955233944E-2</v>
      </c>
      <c r="T20" s="12">
        <f t="shared" si="3"/>
        <v>4.123644428693337E-3</v>
      </c>
      <c r="U20" s="12">
        <f t="shared" si="3"/>
        <v>3.6581426572402535E-2</v>
      </c>
      <c r="V20" s="12">
        <f t="shared" si="11"/>
        <v>0.26615761758856932</v>
      </c>
      <c r="W20" s="4">
        <f>SUMIFS('Modeling - Base Estimates'!AK:AK,'Modeling - Base Estimates'!A:A,A20)</f>
        <v>259175192.68029818</v>
      </c>
      <c r="X20" s="4">
        <f>(W20*N20*(1-N$2))+(W20*O20*(1-'Modeling - Base Estimates'!$AA$51-N$2))+(W20*P20*(1-'Modeling - Base Estimates'!$AE$51))+(W20*Q20*(1-Q$2))+(W20*R20*(1-R$2))+(W20*S20*(1-S$2))+(W20*T20*(1-T$2))+(W20*U20*(1-U$2))+(W20*V20*(1-V$2))</f>
        <v>244337965.97739464</v>
      </c>
      <c r="Y20" s="5">
        <f>X20*N20*SUMIFS('Modeling - Base Estimates'!AN:AN,'Modeling - Base Estimates'!A:A,A20)</f>
        <v>670517.69324581895</v>
      </c>
      <c r="Z20" s="4">
        <f t="shared" si="4"/>
        <v>243667448.28414881</v>
      </c>
      <c r="AA20" s="4">
        <f>(((W20*N20*(1-N$2))/X20)*X20)-Y20-(((SUMIFS('Modeling - Base Estimates'!X:X,'Modeling - Base Estimates'!A:A,A20)*N20*(1-N$2))/SUMIFS('Modeling - Base Estimates'!Z:Z,'Modeling - Base Estimates'!A:A,A20))*SUMIFS('Modeling - Base Estimates'!Z:Z,'Modeling - Base Estimates'!A:A,A20))</f>
        <v>1887.4885879158974</v>
      </c>
      <c r="AB20" s="4"/>
      <c r="AC20" s="18">
        <f>1-((((W20*O20*(1-N$2-'Modeling - Base Estimates'!$AA$51))/X20)*X20)/('Modeling - Base Estimates'!X20*'Modeling - Base Estimates'!P20))</f>
        <v>-0.35391989520476486</v>
      </c>
      <c r="AD20" s="18">
        <f t="shared" si="22"/>
        <v>-0.43091989520476487</v>
      </c>
      <c r="AE20" s="18">
        <f>1-((((W20*P20*(1-'Modeling - Base Estimates'!$AE$51))/X20)*X20)/(SUMIFS('Modeling - Base Estimates'!X:X,'Modeling - Base Estimates'!A:A,A20)*'Modeling - Base Estimates'!Q20))</f>
        <v>8.573164524664012E-2</v>
      </c>
      <c r="AF20" s="18">
        <f t="shared" si="23"/>
        <v>8.7316452466401212E-3</v>
      </c>
      <c r="AG20" s="18">
        <f>$N20*(1-$N$2)+$O20*(1-$N$2-'Modeling - Base Estimates'!$AA$51)+$P20*(1-'Modeling - Base Estimates'!$AE$51)+$Q20*(1-$Q$2)+$R20*(1-$R$2)+$S20*(1-$S$2)+$T20*(1-$T$2)+$U20*(1-$U$2)+$V20*(1-$V$2)</f>
        <v>0.94275213399298674</v>
      </c>
      <c r="AH20" s="18" t="e">
        <f>$O20*(1-$N$2-#REF!)+$P20*(1-#REF!)+$Q20*(1-$Q$2)+$R20*(1-$R$2)+$S20*(1-$S$2)+$T20*(1-$T$2)+$U20*(1-$U$2)+$V20*(1-$V$2)</f>
        <v>#REF!</v>
      </c>
      <c r="AJ20" s="7">
        <f>(SUMIFS('Modeling - Base Estimates'!$X:$X,'Modeling - Base Estimates'!$A:$A,$A20)*SUMIFS('Modeling - Base Estimates'!O:O,'Modeling - Base Estimates'!$A:$A,$A20)*($N$2))</f>
        <v>8103567.7374740969</v>
      </c>
      <c r="AK20" s="7">
        <f>(SUMIFS('Modeling - Base Estimates'!$X:$X,'Modeling - Base Estimates'!$A:$A,$A20)*SUMIFS('Modeling - Base Estimates'!P:P,'Modeling - Base Estimates'!$A:$A,$A20)*($N$2))</f>
        <v>690391.59632901533</v>
      </c>
      <c r="AL20" s="7">
        <f>(SUMIFS('Modeling - Base Estimates'!$X:$X,'Modeling - Base Estimates'!$A:$A,$A20)*SUMIFS('Modeling - Base Estimates'!Q:Q,'Modeling - Base Estimates'!$A:$A,$A20)*($N$2))</f>
        <v>320761.90601278056</v>
      </c>
      <c r="AM20" s="7">
        <f>(SUMIFS('Modeling - Base Estimates'!$X:$X,'Modeling - Base Estimates'!$A:$A,$A20)*SUMIFS('Modeling - Base Estimates'!R:R,'Modeling - Base Estimates'!$A:$A,$A20)*($N$2))</f>
        <v>1663803.3903109229</v>
      </c>
      <c r="AN20" s="7">
        <f>(SUMIFS('Modeling - Base Estimates'!X:X,'Modeling - Base Estimates'!A:A,$A20)*$R20*($R$2))+(SUMIFS('Modeling - Base Estimates'!X:X,'Modeling - Base Estimates'!A:A,$A20)*$S20*($S$2))+(SUMIFS('Modeling - Base Estimates'!X:X,'Modeling - Base Estimates'!A:A,$A20)*$T20*($T$2))+(SUMIFS('Modeling - Base Estimates'!X:X,'Modeling - Base Estimates'!A:A,$A20)*$U20*($U$2))+(SUMIFS('Modeling - Base Estimates'!X:X,'Modeling - Base Estimates'!A:A,$A20)*$V20*($V$2))</f>
        <v>2198939.6025732909</v>
      </c>
      <c r="AO20" s="7">
        <f>SUM(AJ20:AN20)-(SUMIFS('Modeling - Base Estimates'!X:X,'Modeling - Base Estimates'!A:A,A20)-SUMIFS('Modeling - Base Estimates'!Z:Z,'Modeling - Base Estimates'!A:A,A20))</f>
        <v>-3.3527612686157227E-8</v>
      </c>
      <c r="AQ20" s="7">
        <f t="shared" si="5"/>
        <v>7703926.1489407225</v>
      </c>
      <c r="AR20" s="7">
        <f>(W20*$O20*($N$2+'Modeling - Base Estimates'!$AA$51))</f>
        <v>2882252.2715840233</v>
      </c>
      <c r="AS20" s="7">
        <f>(W20*P20*('Modeling - Base Estimates'!$AE$51))</f>
        <v>359973.26762471453</v>
      </c>
      <c r="AT20" s="7">
        <f t="shared" si="6"/>
        <v>1676006.8721704083</v>
      </c>
      <c r="AU20" s="7">
        <f t="shared" si="7"/>
        <v>2215068.1425837139</v>
      </c>
      <c r="AV20" s="5">
        <f t="shared" si="12"/>
        <v>4.4703483581542969E-8</v>
      </c>
      <c r="AX20" s="7">
        <f>SUMIFS('Modeling - Base Estimates'!X:X,'Modeling - Base Estimates'!A:A,A20)</f>
        <v>257288064.52180392</v>
      </c>
      <c r="AY20" s="5">
        <f t="shared" si="13"/>
        <v>8103567.7374740969</v>
      </c>
      <c r="AZ20" s="5">
        <f t="shared" si="13"/>
        <v>690391.59632901533</v>
      </c>
      <c r="BA20" s="5">
        <f t="shared" si="13"/>
        <v>320761.90601278056</v>
      </c>
      <c r="BB20" s="5">
        <f t="shared" si="13"/>
        <v>1663803.3903109229</v>
      </c>
      <c r="BC20" s="5">
        <f t="shared" si="13"/>
        <v>2198939.6025732909</v>
      </c>
      <c r="BD20" s="5">
        <f t="shared" si="14"/>
        <v>244310600.28910381</v>
      </c>
      <c r="BF20" s="5">
        <f t="shared" si="15"/>
        <v>259175192.68029818</v>
      </c>
      <c r="BG20" s="5">
        <f t="shared" si="16"/>
        <v>7703926.1489407225</v>
      </c>
      <c r="BH20" s="5">
        <f t="shared" si="17"/>
        <v>670517.69324581895</v>
      </c>
      <c r="BI20" s="5">
        <f t="shared" si="18"/>
        <v>2882252.2715840233</v>
      </c>
      <c r="BJ20" s="5">
        <f t="shared" si="8"/>
        <v>359973.26762471453</v>
      </c>
      <c r="BK20" s="5">
        <f t="shared" si="8"/>
        <v>1676006.8721704083</v>
      </c>
      <c r="BL20" s="5">
        <f t="shared" si="8"/>
        <v>2215068.1425837139</v>
      </c>
      <c r="BM20" s="5">
        <f t="shared" si="19"/>
        <v>243667448.28414878</v>
      </c>
      <c r="BO20" s="5">
        <f t="shared" si="20"/>
        <v>-643152.00495502353</v>
      </c>
      <c r="BP20" s="1">
        <f t="shared" si="21"/>
        <v>-2.632517803951006E-3</v>
      </c>
    </row>
    <row r="21" spans="1:68" x14ac:dyDescent="0.25">
      <c r="A21" s="1">
        <v>23</v>
      </c>
      <c r="B21" s="1">
        <v>210023</v>
      </c>
      <c r="C21" s="4">
        <v>791316600</v>
      </c>
      <c r="D21" s="4">
        <f>SUM('Modeling - Base Estimates'!E21:G21)-SUM('Scenario 3 - increase MA &amp; QP %'!E21:F21)</f>
        <v>263428435</v>
      </c>
      <c r="E21" s="4">
        <f>((SUM('Modeling - Base Estimates'!F21:G21)/SUM('Modeling - Base Estimates'!E21:G21)+$E$61))*SUM('Modeling - Base Estimates'!E21:G21)*('Modeling - Base Estimates'!F21/SUM('Modeling - Base Estimates'!F21:G21)+$E$73)</f>
        <v>66558602.272064179</v>
      </c>
      <c r="F21" s="4">
        <f>((SUM('Modeling - Base Estimates'!F21:G21)/SUM('Modeling - Base Estimates'!E21:G21)+$E$61))*SUM('Modeling - Base Estimates'!E21:G21)*('Modeling - Base Estimates'!G21/SUM('Modeling - Base Estimates'!F21:G21)-$E$73)</f>
        <v>36402262.727935821</v>
      </c>
      <c r="G21" s="4">
        <v>15087400</v>
      </c>
      <c r="H21" s="4">
        <v>84652300</v>
      </c>
      <c r="I21" s="4">
        <v>43978500</v>
      </c>
      <c r="J21" s="4">
        <v>55897000</v>
      </c>
      <c r="K21" s="4">
        <v>2921510.4</v>
      </c>
      <c r="L21" s="4">
        <v>16774200</v>
      </c>
      <c r="M21" s="4">
        <f t="shared" si="0"/>
        <v>205616389.60000002</v>
      </c>
      <c r="N21" s="12">
        <f t="shared" si="1"/>
        <v>0.33289891176300357</v>
      </c>
      <c r="O21" s="12">
        <f t="shared" si="2"/>
        <v>8.4111217017391243E-2</v>
      </c>
      <c r="P21" s="12">
        <f t="shared" si="2"/>
        <v>4.6002147216342763E-2</v>
      </c>
      <c r="Q21" s="12">
        <f t="shared" si="9"/>
        <v>0.12604272423957744</v>
      </c>
      <c r="R21" s="12">
        <f t="shared" si="10"/>
        <v>5.5576364757165465E-2</v>
      </c>
      <c r="S21" s="12">
        <f t="shared" si="10"/>
        <v>7.063797220985886E-2</v>
      </c>
      <c r="T21" s="12">
        <f t="shared" si="10"/>
        <v>3.6919614728163166E-3</v>
      </c>
      <c r="U21" s="12">
        <f t="shared" si="10"/>
        <v>2.1197836618112142E-2</v>
      </c>
      <c r="V21" s="12">
        <f t="shared" si="11"/>
        <v>0.2598408647057322</v>
      </c>
      <c r="W21" s="4">
        <f>SUMIFS('Modeling - Base Estimates'!AK:AK,'Modeling - Base Estimates'!A:A,A21)</f>
        <v>445527282.30360097</v>
      </c>
      <c r="X21" s="4">
        <f>(W21*N21*(1-N$2))+(W21*O21*(1-'Modeling - Base Estimates'!$AA$51-N$2))+(W21*P21*(1-'Modeling - Base Estimates'!$AE$51))+(W21*Q21*(1-Q$2))+(W21*R21*(1-R$2))+(W21*S21*(1-S$2))+(W21*T21*(1-T$2))+(W21*U21*(1-U$2))+(W21*V21*(1-V$2))</f>
        <v>417288189.94513363</v>
      </c>
      <c r="Y21" s="5">
        <f>X21*N21*SUMIFS('Modeling - Base Estimates'!AN:AN,'Modeling - Base Estimates'!A:A,A21)</f>
        <v>1587476.2354381275</v>
      </c>
      <c r="Z21" s="4">
        <f t="shared" si="4"/>
        <v>415700713.70969552</v>
      </c>
      <c r="AA21" s="4">
        <f>(((W21*N21*(1-N$2))/X21)*X21)-Y21-(((SUMIFS('Modeling - Base Estimates'!X:X,'Modeling - Base Estimates'!A:A,A21)*N21*(1-N$2))/SUMIFS('Modeling - Base Estimates'!Z:Z,'Modeling - Base Estimates'!A:A,A21))*SUMIFS('Modeling - Base Estimates'!Z:Z,'Modeling - Base Estimates'!A:A,A21))</f>
        <v>4956.5262748897076</v>
      </c>
      <c r="AB21" s="4"/>
      <c r="AC21" s="18">
        <f>1-((((W21*O21*(1-N$2-'Modeling - Base Estimates'!$AA$51))/X21)*X21)/('Modeling - Base Estimates'!X21*'Modeling - Base Estimates'!P21))</f>
        <v>-0.17661815911230971</v>
      </c>
      <c r="AD21" s="18">
        <f t="shared" si="22"/>
        <v>-0.25361815911230973</v>
      </c>
      <c r="AE21" s="18">
        <f>1-((((W21*P21*(1-'Modeling - Base Estimates'!$AE$51))/X21)*X21)/(SUMIFS('Modeling - Base Estimates'!X:X,'Modeling - Base Estimates'!A:A,A21)*'Modeling - Base Estimates'!Q21))</f>
        <v>0.12345202158731061</v>
      </c>
      <c r="AF21" s="18">
        <f t="shared" si="23"/>
        <v>4.6452021587310613E-2</v>
      </c>
      <c r="AG21" s="18">
        <f>$N21*(1-$N$2)+$O21*(1-$N$2-'Modeling - Base Estimates'!$AA$51)+$P21*(1-'Modeling - Base Estimates'!$AE$51)+$Q21*(1-$Q$2)+$R21*(1-$R$2)+$S21*(1-$S$2)+$T21*(1-$T$2)+$U21*(1-$U$2)+$V21*(1-$V$2)</f>
        <v>0.9366164688894989</v>
      </c>
      <c r="AH21" s="18" t="e">
        <f>$O21*(1-$N$2-#REF!)+$P21*(1-#REF!)+$Q21*(1-$Q$2)+$R21*(1-$R$2)+$S21*(1-$S$2)+$T21*(1-$T$2)+$U21*(1-$U$2)+$V21*(1-$V$2)</f>
        <v>#REF!</v>
      </c>
      <c r="AJ21" s="7">
        <f>(SUMIFS('Modeling - Base Estimates'!$X:$X,'Modeling - Base Estimates'!$A:$A,$A21)*SUMIFS('Modeling - Base Estimates'!O:O,'Modeling - Base Estimates'!$A:$A,$A21)*($N$2))</f>
        <v>12072407.888813168</v>
      </c>
      <c r="AK21" s="7">
        <f>(SUMIFS('Modeling - Base Estimates'!$X:$X,'Modeling - Base Estimates'!$A:$A,$A21)*SUMIFS('Modeling - Base Estimates'!P:P,'Modeling - Base Estimates'!$A:$A,$A21)*($N$2))</f>
        <v>1981814.5658354815</v>
      </c>
      <c r="AL21" s="7">
        <f>(SUMIFS('Modeling - Base Estimates'!$X:$X,'Modeling - Base Estimates'!$A:$A,$A21)*SUMIFS('Modeling - Base Estimates'!Q:Q,'Modeling - Base Estimates'!$A:$A,$A21)*($N$2))</f>
        <v>1644922.3329317877</v>
      </c>
      <c r="AM21" s="7">
        <f>(SUMIFS('Modeling - Base Estimates'!$X:$X,'Modeling - Base Estimates'!$A:$A,$A21)*SUMIFS('Modeling - Base Estimates'!R:R,'Modeling - Base Estimates'!$A:$A,$A21)*($N$2))</f>
        <v>4273672.8156904038</v>
      </c>
      <c r="AN21" s="7">
        <f>(SUMIFS('Modeling - Base Estimates'!X:X,'Modeling - Base Estimates'!A:A,$A21)*$R21*($R$2))+(SUMIFS('Modeling - Base Estimates'!X:X,'Modeling - Base Estimates'!A:A,$A21)*$S21*($S$2))+(SUMIFS('Modeling - Base Estimates'!X:X,'Modeling - Base Estimates'!A:A,$A21)*$T21*($T$2))+(SUMIFS('Modeling - Base Estimates'!X:X,'Modeling - Base Estimates'!A:A,$A21)*$U21*($U$2))+(SUMIFS('Modeling - Base Estimates'!X:X,'Modeling - Base Estimates'!A:A,$A21)*$V21*($V$2))</f>
        <v>3493643.7691864027</v>
      </c>
      <c r="AO21" s="7">
        <f>SUM(AJ21:AN21)-(SUMIFS('Modeling - Base Estimates'!X:X,'Modeling - Base Estimates'!A:A,A21)-SUMIFS('Modeling - Base Estimates'!Z:Z,'Modeling - Base Estimates'!A:A,A21))</f>
        <v>1.0058283805847168E-7</v>
      </c>
      <c r="AQ21" s="7">
        <f t="shared" si="5"/>
        <v>11420297.152848989</v>
      </c>
      <c r="AR21" s="7">
        <f>(W21*$O21*($N$2+'Modeling - Base Estimates'!$AA$51))</f>
        <v>7190218.4724443052</v>
      </c>
      <c r="AS21" s="7">
        <f>(W21*P21*('Modeling - Base Estimates'!$AE$51))</f>
        <v>1769843.5050475697</v>
      </c>
      <c r="AT21" s="7">
        <f t="shared" si="6"/>
        <v>4323971.3736142879</v>
      </c>
      <c r="AU21" s="7">
        <f t="shared" si="7"/>
        <v>3534761.8545121392</v>
      </c>
      <c r="AV21" s="5">
        <f t="shared" si="12"/>
        <v>-4.8428773880004883E-8</v>
      </c>
      <c r="AX21" s="7">
        <f>SUMIFS('Modeling - Base Estimates'!X:X,'Modeling - Base Estimates'!A:A,A21)</f>
        <v>440344690.21884191</v>
      </c>
      <c r="AY21" s="5">
        <f t="shared" si="13"/>
        <v>12072407.888813168</v>
      </c>
      <c r="AZ21" s="5">
        <f t="shared" si="13"/>
        <v>1981814.5658354815</v>
      </c>
      <c r="BA21" s="5">
        <f t="shared" si="13"/>
        <v>1644922.3329317877</v>
      </c>
      <c r="BB21" s="5">
        <f t="shared" si="13"/>
        <v>4273672.8156904038</v>
      </c>
      <c r="BC21" s="5">
        <f t="shared" si="13"/>
        <v>3493643.7691864027</v>
      </c>
      <c r="BD21" s="5">
        <f t="shared" si="14"/>
        <v>416878228.84638464</v>
      </c>
      <c r="BF21" s="5">
        <f t="shared" si="15"/>
        <v>445527282.30360097</v>
      </c>
      <c r="BG21" s="5">
        <f t="shared" si="16"/>
        <v>11420297.152848989</v>
      </c>
      <c r="BH21" s="5">
        <f t="shared" si="17"/>
        <v>1587476.2354381275</v>
      </c>
      <c r="BI21" s="5">
        <f t="shared" si="18"/>
        <v>7190218.4724443052</v>
      </c>
      <c r="BJ21" s="5">
        <f t="shared" si="18"/>
        <v>1769843.5050475697</v>
      </c>
      <c r="BK21" s="5">
        <f t="shared" si="18"/>
        <v>4323971.3736142879</v>
      </c>
      <c r="BL21" s="5">
        <f t="shared" si="18"/>
        <v>3534761.8545121392</v>
      </c>
      <c r="BM21" s="5">
        <f t="shared" si="19"/>
        <v>415700713.70969552</v>
      </c>
      <c r="BO21" s="5">
        <f t="shared" si="20"/>
        <v>-1177515.1366891265</v>
      </c>
      <c r="BP21" s="1">
        <f t="shared" si="21"/>
        <v>-2.8246021384892919E-3</v>
      </c>
    </row>
    <row r="22" spans="1:68" x14ac:dyDescent="0.25">
      <c r="A22" s="1">
        <v>24</v>
      </c>
      <c r="B22" s="1">
        <v>210024</v>
      </c>
      <c r="C22" s="4">
        <v>524653145.69999999</v>
      </c>
      <c r="D22" s="4">
        <f>SUM('Modeling - Base Estimates'!E22:G22)-SUM('Scenario 3 - increase MA &amp; QP %'!E22:F22)</f>
        <v>176526175.125</v>
      </c>
      <c r="E22" s="4">
        <f>((SUM('Modeling - Base Estimates'!F22:G22)/SUM('Modeling - Base Estimates'!E22:G22)+$E$61))*SUM('Modeling - Base Estimates'!E22:G22)*('Modeling - Base Estimates'!F22/SUM('Modeling - Base Estimates'!F22:G22)+$E$73)</f>
        <v>51565072.192048945</v>
      </c>
      <c r="F22" s="4">
        <f>((SUM('Modeling - Base Estimates'!F22:G22)/SUM('Modeling - Base Estimates'!E22:G22)+$E$61))*SUM('Modeling - Base Estimates'!E22:G22)*('Modeling - Base Estimates'!G22/SUM('Modeling - Base Estimates'!F22:G22)-$E$73)</f>
        <v>54730590.182951055</v>
      </c>
      <c r="G22" s="4">
        <v>19240376.5</v>
      </c>
      <c r="H22" s="4">
        <v>77195497.299999997</v>
      </c>
      <c r="I22" s="4">
        <v>15617665.699999999</v>
      </c>
      <c r="J22" s="4">
        <v>26523327</v>
      </c>
      <c r="K22" s="4">
        <v>3803650</v>
      </c>
      <c r="L22" s="4">
        <v>19534045</v>
      </c>
      <c r="M22" s="4">
        <f t="shared" si="0"/>
        <v>79916746.699999988</v>
      </c>
      <c r="N22" s="12">
        <f t="shared" si="1"/>
        <v>0.33646262596877441</v>
      </c>
      <c r="O22" s="12">
        <f t="shared" si="2"/>
        <v>9.8284118973974821E-2</v>
      </c>
      <c r="P22" s="12">
        <f t="shared" si="2"/>
        <v>0.10431766326289475</v>
      </c>
      <c r="Q22" s="12">
        <f t="shared" si="9"/>
        <v>0.1838088165302694</v>
      </c>
      <c r="R22" s="12">
        <f t="shared" si="10"/>
        <v>2.9767601372450894E-2</v>
      </c>
      <c r="S22" s="12">
        <f t="shared" si="10"/>
        <v>5.0554022628821152E-2</v>
      </c>
      <c r="T22" s="12">
        <f t="shared" si="10"/>
        <v>7.24983740433904E-3</v>
      </c>
      <c r="U22" s="12">
        <f t="shared" si="10"/>
        <v>3.7232303208508143E-2</v>
      </c>
      <c r="V22" s="12">
        <f t="shared" si="11"/>
        <v>0.15232301064996739</v>
      </c>
      <c r="W22" s="4">
        <f>SUMIFS('Modeling - Base Estimates'!AK:AK,'Modeling - Base Estimates'!A:A,A22)</f>
        <v>288656169.42362332</v>
      </c>
      <c r="X22" s="4">
        <f>(W22*N22*(1-N$2))+(W22*O22*(1-'Modeling - Base Estimates'!$AA$51-N$2))+(W22*P22*(1-'Modeling - Base Estimates'!$AE$51))+(W22*Q22*(1-Q$2))+(W22*R22*(1-R$2))+(W22*S22*(1-S$2))+(W22*T22*(1-T$2))+(W22*U22*(1-U$2))+(W22*V22*(1-V$2))</f>
        <v>267642137.17892182</v>
      </c>
      <c r="Y22" s="5">
        <f>X22*N22*SUMIFS('Modeling - Base Estimates'!AN:AN,'Modeling - Base Estimates'!A:A,A22)</f>
        <v>1302143.7536948598</v>
      </c>
      <c r="Z22" s="4">
        <f t="shared" si="4"/>
        <v>266339993.42522696</v>
      </c>
      <c r="AA22" s="4">
        <f>(((W22*N22*(1-N$2))/X22)*X22)-Y22-(((SUMIFS('Modeling - Base Estimates'!X:X,'Modeling - Base Estimates'!A:A,A22)*N22*(1-N$2))/SUMIFS('Modeling - Base Estimates'!Z:Z,'Modeling - Base Estimates'!A:A,A22))*SUMIFS('Modeling - Base Estimates'!Z:Z,'Modeling - Base Estimates'!A:A,A22))</f>
        <v>4894.6033048033714</v>
      </c>
      <c r="AB22" s="4"/>
      <c r="AC22" s="18">
        <f>1-((((W22*O22*(1-N$2-'Modeling - Base Estimates'!$AA$51))/X22)*X22)/('Modeling - Base Estimates'!X22*'Modeling - Base Estimates'!P22))</f>
        <v>-0.19155075047502956</v>
      </c>
      <c r="AD22" s="18">
        <f t="shared" si="22"/>
        <v>-0.26855075047502958</v>
      </c>
      <c r="AE22" s="18">
        <f>1-((((W22*P22*(1-'Modeling - Base Estimates'!$AE$51))/X22)*X22)/(SUMIFS('Modeling - Base Estimates'!X:X,'Modeling - Base Estimates'!A:A,A22)*'Modeling - Base Estimates'!Q22))</f>
        <v>0.10448582305304732</v>
      </c>
      <c r="AF22" s="18">
        <f t="shared" si="23"/>
        <v>2.7485823053047323E-2</v>
      </c>
      <c r="AG22" s="18">
        <f>$N22*(1-$N$2)+$O22*(1-$N$2-'Modeling - Base Estimates'!$AA$51)+$P22*(1-'Modeling - Base Estimates'!$AE$51)+$Q22*(1-$Q$2)+$R22*(1-$R$2)+$S22*(1-$S$2)+$T22*(1-$T$2)+$U22*(1-$U$2)+$V22*(1-$V$2)</f>
        <v>0.92720047422973351</v>
      </c>
      <c r="AH22" s="18" t="e">
        <f>$O22*(1-$N$2-#REF!)+$P22*(1-#REF!)+$Q22*(1-$Q$2)+$R22*(1-$R$2)+$S22*(1-$S$2)+$T22*(1-$T$2)+$U22*(1-$U$2)+$V22*(1-$V$2)</f>
        <v>#REF!</v>
      </c>
      <c r="AJ22" s="7">
        <f>(SUMIFS('Modeling - Base Estimates'!$X:$X,'Modeling - Base Estimates'!$A:$A,$A22)*SUMIFS('Modeling - Base Estimates'!O:O,'Modeling - Base Estimates'!$A:$A,$A22)*($N$2))</f>
        <v>7959698.7778001623</v>
      </c>
      <c r="AK22" s="7">
        <f>(SUMIFS('Modeling - Base Estimates'!$X:$X,'Modeling - Base Estimates'!$A:$A,$A22)*SUMIFS('Modeling - Base Estimates'!P:P,'Modeling - Base Estimates'!$A:$A,$A22)*($N$2))</f>
        <v>1481569.3697092482</v>
      </c>
      <c r="AL22" s="7">
        <f>(SUMIFS('Modeling - Base Estimates'!$X:$X,'Modeling - Base Estimates'!$A:$A,$A22)*SUMIFS('Modeling - Base Estimates'!Q:Q,'Modeling - Base Estimates'!$A:$A,$A22)*($N$2))</f>
        <v>2365565.1370099825</v>
      </c>
      <c r="AM22" s="7">
        <f>(SUMIFS('Modeling - Base Estimates'!$X:$X,'Modeling - Base Estimates'!$A:$A,$A22)*SUMIFS('Modeling - Base Estimates'!R:R,'Modeling - Base Estimates'!$A:$A,$A22)*($N$2))</f>
        <v>4025864.1081898483</v>
      </c>
      <c r="AN22" s="7">
        <f>(SUMIFS('Modeling - Base Estimates'!X:X,'Modeling - Base Estimates'!A:A,$A22)*$R22*($R$2))+(SUMIFS('Modeling - Base Estimates'!X:X,'Modeling - Base Estimates'!A:A,$A22)*$S22*($S$2))+(SUMIFS('Modeling - Base Estimates'!X:X,'Modeling - Base Estimates'!A:A,$A22)*$T22*($T$2))+(SUMIFS('Modeling - Base Estimates'!X:X,'Modeling - Base Estimates'!A:A,$A22)*$U22*($U$2))+(SUMIFS('Modeling - Base Estimates'!X:X,'Modeling - Base Estimates'!A:A,$A22)*$V22*($V$2))</f>
        <v>1385915.720813574</v>
      </c>
      <c r="AO22" s="7">
        <f>SUM(AJ22:AN22)-(SUMIFS('Modeling - Base Estimates'!X:X,'Modeling - Base Estimates'!A:A,A22)-SUMIFS('Modeling - Base Estimates'!Z:Z,'Modeling - Base Estimates'!A:A,A22))</f>
        <v>0</v>
      </c>
      <c r="AQ22" s="7">
        <f t="shared" si="5"/>
        <v>7478394.9830097007</v>
      </c>
      <c r="AR22" s="7">
        <f>(W22*$O22*($N$2+'Modeling - Base Estimates'!$AA$51))</f>
        <v>5443497.8909581481</v>
      </c>
      <c r="AS22" s="7">
        <f>(W22*P22*('Modeling - Base Estimates'!$AE$51))</f>
        <v>2600286.2146659591</v>
      </c>
      <c r="AT22" s="7">
        <f t="shared" si="6"/>
        <v>4085431.2642156198</v>
      </c>
      <c r="AU22" s="7">
        <f t="shared" si="7"/>
        <v>1406421.8918520673</v>
      </c>
      <c r="AV22" s="5">
        <f t="shared" si="12"/>
        <v>0</v>
      </c>
      <c r="AX22" s="7">
        <f>SUMIFS('Modeling - Base Estimates'!X:X,'Modeling - Base Estimates'!A:A,A22)</f>
        <v>284447451.67270559</v>
      </c>
      <c r="AY22" s="5">
        <f t="shared" si="13"/>
        <v>7959698.7778001623</v>
      </c>
      <c r="AZ22" s="5">
        <f t="shared" si="13"/>
        <v>1481569.3697092482</v>
      </c>
      <c r="BA22" s="5">
        <f t="shared" si="13"/>
        <v>2365565.1370099825</v>
      </c>
      <c r="BB22" s="5">
        <f t="shared" si="13"/>
        <v>4025864.1081898483</v>
      </c>
      <c r="BC22" s="5">
        <f t="shared" si="13"/>
        <v>1385915.720813574</v>
      </c>
      <c r="BD22" s="5">
        <f t="shared" si="14"/>
        <v>267228838.55918276</v>
      </c>
      <c r="BF22" s="5">
        <f t="shared" si="15"/>
        <v>288656169.42362332</v>
      </c>
      <c r="BG22" s="5">
        <f t="shared" si="16"/>
        <v>7478394.9830097007</v>
      </c>
      <c r="BH22" s="5">
        <f t="shared" si="17"/>
        <v>1302143.7536948598</v>
      </c>
      <c r="BI22" s="5">
        <f t="shared" si="18"/>
        <v>5443497.8909581481</v>
      </c>
      <c r="BJ22" s="5">
        <f t="shared" si="18"/>
        <v>2600286.2146659591</v>
      </c>
      <c r="BK22" s="5">
        <f t="shared" si="18"/>
        <v>4085431.2642156198</v>
      </c>
      <c r="BL22" s="5">
        <f t="shared" si="18"/>
        <v>1406421.8918520673</v>
      </c>
      <c r="BM22" s="5">
        <f t="shared" si="19"/>
        <v>266339993.42522699</v>
      </c>
      <c r="BO22" s="5">
        <f t="shared" si="20"/>
        <v>-888845.13395577669</v>
      </c>
      <c r="BP22" s="1">
        <f t="shared" si="21"/>
        <v>-3.3261572319370969E-3</v>
      </c>
    </row>
    <row r="23" spans="1:68" x14ac:dyDescent="0.25">
      <c r="A23" s="1">
        <v>28</v>
      </c>
      <c r="B23" s="1">
        <v>210028</v>
      </c>
      <c r="C23" s="4">
        <v>256129029.40000001</v>
      </c>
      <c r="D23" s="4">
        <f>SUM('Modeling - Base Estimates'!E23:G23)-SUM('Scenario 3 - increase MA &amp; QP %'!E23:F23)</f>
        <v>84444032.189999983</v>
      </c>
      <c r="E23" s="4">
        <f>((SUM('Modeling - Base Estimates'!F23:G23)/SUM('Modeling - Base Estimates'!E23:G23)+$E$61))*SUM('Modeling - Base Estimates'!E23:G23)*('Modeling - Base Estimates'!F23/SUM('Modeling - Base Estimates'!F23:G23)+$E$73)</f>
        <v>14056065.844346698</v>
      </c>
      <c r="F23" s="4">
        <f>((SUM('Modeling - Base Estimates'!F23:G23)/SUM('Modeling - Base Estimates'!E23:G23)+$E$61))*SUM('Modeling - Base Estimates'!E23:G23)*('Modeling - Base Estimates'!G23/SUM('Modeling - Base Estimates'!F23:G23)-$E$73)</f>
        <v>15711908.165653303</v>
      </c>
      <c r="G23" s="4">
        <v>4452601.5999999996</v>
      </c>
      <c r="H23" s="4">
        <v>35609712</v>
      </c>
      <c r="I23" s="4">
        <v>8729617.5999999996</v>
      </c>
      <c r="J23" s="4">
        <v>22577486.700000003</v>
      </c>
      <c r="K23" s="4">
        <v>1180952.6000000001</v>
      </c>
      <c r="L23" s="4">
        <v>10697469</v>
      </c>
      <c r="M23" s="4">
        <f t="shared" si="0"/>
        <v>58669183.700000048</v>
      </c>
      <c r="N23" s="12">
        <f t="shared" si="1"/>
        <v>0.32969332835023024</v>
      </c>
      <c r="O23" s="12">
        <f t="shared" si="2"/>
        <v>5.487884710793621E-2</v>
      </c>
      <c r="P23" s="12">
        <f t="shared" si="2"/>
        <v>6.1343722741852166E-2</v>
      </c>
      <c r="Q23" s="12">
        <f t="shared" si="9"/>
        <v>0.15641457625419791</v>
      </c>
      <c r="R23" s="12">
        <f t="shared" si="10"/>
        <v>3.4082890254375824E-2</v>
      </c>
      <c r="S23" s="12">
        <f t="shared" si="10"/>
        <v>8.8148878527706642E-2</v>
      </c>
      <c r="T23" s="12">
        <f t="shared" si="10"/>
        <v>4.6107721673191958E-3</v>
      </c>
      <c r="U23" s="12">
        <f t="shared" si="10"/>
        <v>4.1765937367816378E-2</v>
      </c>
      <c r="V23" s="12">
        <f t="shared" si="11"/>
        <v>0.22906104722856552</v>
      </c>
      <c r="W23" s="4">
        <f>SUMIFS('Modeling - Base Estimates'!AK:AK,'Modeling - Base Estimates'!A:A,A23)</f>
        <v>144555155.22922888</v>
      </c>
      <c r="X23" s="4">
        <f>(W23*N23*(1-N$2))+(W23*O23*(1-'Modeling - Base Estimates'!$AA$51-N$2))+(W23*P23*(1-'Modeling - Base Estimates'!$AE$51))+(W23*Q23*(1-Q$2))+(W23*R23*(1-R$2))+(W23*S23*(1-S$2))+(W23*T23*(1-T$2))+(W23*U23*(1-U$2))+(W23*V23*(1-V$2))</f>
        <v>135815259.11170137</v>
      </c>
      <c r="Y23" s="5">
        <f>X23*N23*SUMIFS('Modeling - Base Estimates'!AN:AN,'Modeling - Base Estimates'!A:A,A23)</f>
        <v>323226.09196996712</v>
      </c>
      <c r="Z23" s="4">
        <f t="shared" si="4"/>
        <v>135492033.0197314</v>
      </c>
      <c r="AA23" s="4">
        <f>(((W23*N23*(1-N$2))/X23)*X23)-Y23-(((SUMIFS('Modeling - Base Estimates'!X:X,'Modeling - Base Estimates'!A:A,A23)*N23*(1-N$2))/SUMIFS('Modeling - Base Estimates'!Z:Z,'Modeling - Base Estimates'!A:A,A23))*SUMIFS('Modeling - Base Estimates'!Z:Z,'Modeling - Base Estimates'!A:A,A23))</f>
        <v>794.88727539777756</v>
      </c>
      <c r="AB23" s="4"/>
      <c r="AC23" s="18">
        <f>1-((((W23*O23*(1-N$2-'Modeling - Base Estimates'!$AA$51))/X23)*X23)/('Modeling - Base Estimates'!X23*'Modeling - Base Estimates'!P23))</f>
        <v>-0.27803927908166259</v>
      </c>
      <c r="AD23" s="18">
        <f t="shared" si="22"/>
        <v>-0.35503927908166261</v>
      </c>
      <c r="AE23" s="18">
        <f>1-((((W23*P23*(1-'Modeling - Base Estimates'!$AE$51))/X23)*X23)/(SUMIFS('Modeling - Base Estimates'!X:X,'Modeling - Base Estimates'!A:A,A23)*'Modeling - Base Estimates'!Q23))</f>
        <v>4.249829915757164E-2</v>
      </c>
      <c r="AF23" s="18">
        <f t="shared" si="23"/>
        <v>-3.4501700842428359E-2</v>
      </c>
      <c r="AG23" s="18">
        <f>$N23*(1-$N$2)+$O23*(1-$N$2-'Modeling - Base Estimates'!$AA$51)+$P23*(1-'Modeling - Base Estimates'!$AE$51)+$Q23*(1-$Q$2)+$R23*(1-$R$2)+$S23*(1-$S$2)+$T23*(1-$T$2)+$U23*(1-$U$2)+$V23*(1-$V$2)</f>
        <v>0.93953936749147304</v>
      </c>
      <c r="AH23" s="18" t="e">
        <f>$O23*(1-$N$2-#REF!)+$P23*(1-#REF!)+$Q23*(1-$Q$2)+$R23*(1-$R$2)+$S23*(1-$S$2)+$T23*(1-$T$2)+$U23*(1-$U$2)+$V23*(1-$V$2)</f>
        <v>#REF!</v>
      </c>
      <c r="AJ23" s="7">
        <f>(SUMIFS('Modeling - Base Estimates'!$X:$X,'Modeling - Base Estimates'!$A:$A,$A23)*SUMIFS('Modeling - Base Estimates'!O:O,'Modeling - Base Estimates'!$A:$A,$A23)*($N$2))</f>
        <v>3889042.8636914631</v>
      </c>
      <c r="AK23" s="7">
        <f>(SUMIFS('Modeling - Base Estimates'!$X:$X,'Modeling - Base Estimates'!$A:$A,$A23)*SUMIFS('Modeling - Base Estimates'!P:P,'Modeling - Base Estimates'!$A:$A,$A23)*($N$2))</f>
        <v>386246.63086322136</v>
      </c>
      <c r="AL23" s="7">
        <f>(SUMIFS('Modeling - Base Estimates'!$X:$X,'Modeling - Base Estimates'!$A:$A,$A23)*SUMIFS('Modeling - Base Estimates'!Q:Q,'Modeling - Base Estimates'!$A:$A,$A23)*($N$2))</f>
        <v>651527.63444858836</v>
      </c>
      <c r="AM23" s="7">
        <f>(SUMIFS('Modeling - Base Estimates'!$X:$X,'Modeling - Base Estimates'!$A:$A,$A23)*SUMIFS('Modeling - Base Estimates'!R:R,'Modeling - Base Estimates'!$A:$A,$A23)*($N$2))</f>
        <v>1728186.8994258223</v>
      </c>
      <c r="AN23" s="7">
        <f>(SUMIFS('Modeling - Base Estimates'!X:X,'Modeling - Base Estimates'!A:A,$A23)*$R23*($R$2))+(SUMIFS('Modeling - Base Estimates'!X:X,'Modeling - Base Estimates'!A:A,$A23)*$S23*($S$2))+(SUMIFS('Modeling - Base Estimates'!X:X,'Modeling - Base Estimates'!A:A,$A23)*$T23*($T$2))+(SUMIFS('Modeling - Base Estimates'!X:X,'Modeling - Base Estimates'!A:A,$A23)*$U23*($U$2))+(SUMIFS('Modeling - Base Estimates'!X:X,'Modeling - Base Estimates'!A:A,$A23)*$V23*($V$2))</f>
        <v>1033601.1805770602</v>
      </c>
      <c r="AO23" s="7">
        <f>SUM(AJ23:AN23)-(SUMIFS('Modeling - Base Estimates'!X:X,'Modeling - Base Estimates'!A:A,A23)-SUMIFS('Modeling - Base Estimates'!Z:Z,'Modeling - Base Estimates'!A:A,A23))</f>
        <v>0</v>
      </c>
      <c r="AQ23" s="7">
        <f t="shared" si="5"/>
        <v>3669733.0098435669</v>
      </c>
      <c r="AR23" s="7">
        <f>(W23*$O23*($N$2+'Modeling - Base Estimates'!$AA$51))</f>
        <v>1522132.3968245208</v>
      </c>
      <c r="AS23" s="7">
        <f>(W23*P23*('Modeling - Base Estimates'!$AE$51))</f>
        <v>765748.53042530443</v>
      </c>
      <c r="AT23" s="7">
        <f t="shared" si="6"/>
        <v>1741011.0679915519</v>
      </c>
      <c r="AU23" s="7">
        <f t="shared" si="7"/>
        <v>1041271.1124425672</v>
      </c>
      <c r="AV23" s="5">
        <f t="shared" si="12"/>
        <v>0</v>
      </c>
      <c r="AX23" s="7">
        <f>SUMIFS('Modeling - Base Estimates'!X:X,'Modeling - Base Estimates'!A:A,A23)</f>
        <v>143490371.83308229</v>
      </c>
      <c r="AY23" s="5">
        <f t="shared" si="13"/>
        <v>3889042.8636914631</v>
      </c>
      <c r="AZ23" s="5">
        <f t="shared" si="13"/>
        <v>386246.63086322136</v>
      </c>
      <c r="BA23" s="5">
        <f t="shared" si="13"/>
        <v>651527.63444858836</v>
      </c>
      <c r="BB23" s="5">
        <f t="shared" si="13"/>
        <v>1728186.8994258223</v>
      </c>
      <c r="BC23" s="5">
        <f t="shared" si="13"/>
        <v>1033601.1805770602</v>
      </c>
      <c r="BD23" s="5">
        <f t="shared" si="14"/>
        <v>135801766.62407613</v>
      </c>
      <c r="BF23" s="5">
        <f t="shared" si="15"/>
        <v>144555155.22922888</v>
      </c>
      <c r="BG23" s="5">
        <f t="shared" si="16"/>
        <v>3669733.0098435669</v>
      </c>
      <c r="BH23" s="5">
        <f t="shared" si="17"/>
        <v>323226.09196996712</v>
      </c>
      <c r="BI23" s="5">
        <f t="shared" si="18"/>
        <v>1522132.3968245208</v>
      </c>
      <c r="BJ23" s="5">
        <f t="shared" si="18"/>
        <v>765748.53042530443</v>
      </c>
      <c r="BK23" s="5">
        <f t="shared" si="18"/>
        <v>1741011.0679915519</v>
      </c>
      <c r="BL23" s="5">
        <f t="shared" si="18"/>
        <v>1041271.1124425672</v>
      </c>
      <c r="BM23" s="5">
        <f t="shared" si="19"/>
        <v>135492033.0197314</v>
      </c>
      <c r="BO23" s="5">
        <f t="shared" si="20"/>
        <v>-309733.60434472561</v>
      </c>
      <c r="BP23" s="1">
        <f t="shared" si="21"/>
        <v>-2.2807774305478976E-3</v>
      </c>
    </row>
    <row r="24" spans="1:68" x14ac:dyDescent="0.25">
      <c r="A24" s="1">
        <v>29</v>
      </c>
      <c r="B24" s="1">
        <v>210029</v>
      </c>
      <c r="C24" s="4">
        <v>867460832.9000001</v>
      </c>
      <c r="D24" s="4">
        <f>SUM('Modeling - Base Estimates'!E24:G24)-SUM('Scenario 3 - increase MA &amp; QP %'!E24:F24)</f>
        <v>268754152.51499999</v>
      </c>
      <c r="E24" s="4">
        <f>((SUM('Modeling - Base Estimates'!F24:G24)/SUM('Modeling - Base Estimates'!E24:G24)+$E$61))*SUM('Modeling - Base Estimates'!E24:G24)*('Modeling - Base Estimates'!F24/SUM('Modeling - Base Estimates'!F24:G24)+$E$73)</f>
        <v>35561959.663374484</v>
      </c>
      <c r="F24" s="4">
        <f>((SUM('Modeling - Base Estimates'!F24:G24)/SUM('Modeling - Base Estimates'!E24:G24)+$E$61))*SUM('Modeling - Base Estimates'!E24:G24)*('Modeling - Base Estimates'!G24/SUM('Modeling - Base Estimates'!F24:G24)-$E$73)</f>
        <v>15634759.521625508</v>
      </c>
      <c r="G24" s="4">
        <v>73115404.299999997</v>
      </c>
      <c r="H24" s="4">
        <v>143235366.59999999</v>
      </c>
      <c r="I24" s="4">
        <v>52084129.100000001</v>
      </c>
      <c r="J24" s="4">
        <v>63113180.5</v>
      </c>
      <c r="K24" s="4">
        <v>4608850.4000000004</v>
      </c>
      <c r="L24" s="4">
        <v>35708000</v>
      </c>
      <c r="M24" s="4">
        <f t="shared" si="0"/>
        <v>175645030.30000007</v>
      </c>
      <c r="N24" s="12">
        <f t="shared" si="1"/>
        <v>0.30981704570629492</v>
      </c>
      <c r="O24" s="12">
        <f t="shared" si="2"/>
        <v>4.0995464365218233E-2</v>
      </c>
      <c r="P24" s="12">
        <f t="shared" si="2"/>
        <v>1.802359130078195E-2</v>
      </c>
      <c r="Q24" s="12">
        <f t="shared" si="9"/>
        <v>0.24940696189904016</v>
      </c>
      <c r="R24" s="12">
        <f t="shared" si="10"/>
        <v>6.0042052764362905E-2</v>
      </c>
      <c r="S24" s="12">
        <f t="shared" si="10"/>
        <v>7.2756230721111551E-2</v>
      </c>
      <c r="T24" s="12">
        <f t="shared" si="10"/>
        <v>5.3130357304919419E-3</v>
      </c>
      <c r="U24" s="12">
        <f t="shared" si="10"/>
        <v>4.1163818175657479E-2</v>
      </c>
      <c r="V24" s="12">
        <f t="shared" si="11"/>
        <v>0.20248179933704077</v>
      </c>
      <c r="W24" s="4">
        <f>SUMIFS('Modeling - Base Estimates'!AK:AK,'Modeling - Base Estimates'!A:A,A24)</f>
        <v>462520915.89248353</v>
      </c>
      <c r="X24" s="4">
        <f>(W24*N24*(1-N$2))+(W24*O24*(1-'Modeling - Base Estimates'!$AA$51-N$2))+(W24*P24*(1-'Modeling - Base Estimates'!$AE$51))+(W24*Q24*(1-Q$2))+(W24*R24*(1-R$2))+(W24*S24*(1-S$2))+(W24*T24*(1-T$2))+(W24*U24*(1-U$2))+(W24*V24*(1-V$2))</f>
        <v>435026569.09472156</v>
      </c>
      <c r="Y24" s="5">
        <f>X24*N24*SUMIFS('Modeling - Base Estimates'!AN:AN,'Modeling - Base Estimates'!A:A,A24)</f>
        <v>602208.43771699374</v>
      </c>
      <c r="Z24" s="4">
        <f t="shared" si="4"/>
        <v>434424360.65700454</v>
      </c>
      <c r="AA24" s="4">
        <f>(((W24*N24*(1-N$2))/X24)*X24)-Y24-(((SUMIFS('Modeling - Base Estimates'!X:X,'Modeling - Base Estimates'!A:A,A24)*N24*(1-N$2))/SUMIFS('Modeling - Base Estimates'!Z:Z,'Modeling - Base Estimates'!A:A,A24))*SUMIFS('Modeling - Base Estimates'!Z:Z,'Modeling - Base Estimates'!A:A,A24))</f>
        <v>1250.0376592278481</v>
      </c>
      <c r="AB24" s="4"/>
      <c r="AC24" s="18">
        <f>1-((((W24*O24*(1-N$2-'Modeling - Base Estimates'!$AA$51))/X24)*X24)/('Modeling - Base Estimates'!X24*'Modeling - Base Estimates'!P24))</f>
        <v>-0.37937923943037011</v>
      </c>
      <c r="AD24" s="18">
        <f t="shared" si="22"/>
        <v>-0.45637923943037012</v>
      </c>
      <c r="AE24" s="18">
        <f>1-((((W24*P24*(1-'Modeling - Base Estimates'!$AE$51))/X24)*X24)/(SUMIFS('Modeling - Base Estimates'!X:X,'Modeling - Base Estimates'!A:A,A24)*'Modeling - Base Estimates'!Q24))</f>
        <v>-5.6665203487109572E-3</v>
      </c>
      <c r="AF24" s="18">
        <f t="shared" si="23"/>
        <v>-8.2666520348710956E-2</v>
      </c>
      <c r="AG24" s="18">
        <f>$N24*(1-$N$2)+$O24*(1-$N$2-'Modeling - Base Estimates'!$AA$51)+$P24*(1-'Modeling - Base Estimates'!$AE$51)+$Q24*(1-$Q$2)+$R24*(1-$R$2)+$S24*(1-$S$2)+$T24*(1-$T$2)+$U24*(1-$U$2)+$V24*(1-$V$2)</f>
        <v>0.94055545197408286</v>
      </c>
      <c r="AH24" s="18" t="e">
        <f>$O24*(1-$N$2-#REF!)+$P24*(1-#REF!)+$Q24*(1-$Q$2)+$R24*(1-$R$2)+$S24*(1-$S$2)+$T24*(1-$T$2)+$U24*(1-$U$2)+$V24*(1-$V$2)</f>
        <v>#REF!</v>
      </c>
      <c r="AJ24" s="7">
        <f>(SUMIFS('Modeling - Base Estimates'!$X:$X,'Modeling - Base Estimates'!$A:$A,$A24)*SUMIFS('Modeling - Base Estimates'!O:O,'Modeling - Base Estimates'!$A:$A,$A24)*($N$2))</f>
        <v>11637307.662438799</v>
      </c>
      <c r="AK24" s="7">
        <f>(SUMIFS('Modeling - Base Estimates'!$X:$X,'Modeling - Base Estimates'!$A:$A,$A24)*SUMIFS('Modeling - Base Estimates'!P:P,'Modeling - Base Estimates'!$A:$A,$A24)*($N$2))</f>
        <v>855369.66449953266</v>
      </c>
      <c r="AL24" s="7">
        <f>(SUMIFS('Modeling - Base Estimates'!$X:$X,'Modeling - Base Estimates'!$A:$A,$A24)*SUMIFS('Modeling - Base Estimates'!Q:Q,'Modeling - Base Estimates'!$A:$A,$A24)*($N$2))</f>
        <v>583159.55773749948</v>
      </c>
      <c r="AM24" s="7">
        <f>(SUMIFS('Modeling - Base Estimates'!$X:$X,'Modeling - Base Estimates'!$A:$A,$A24)*SUMIFS('Modeling - Base Estimates'!R:R,'Modeling - Base Estimates'!$A:$A,$A24)*($N$2))</f>
        <v>8841880.5522581395</v>
      </c>
      <c r="AN24" s="7">
        <f>(SUMIFS('Modeling - Base Estimates'!X:X,'Modeling - Base Estimates'!A:A,$A24)*$R24*($R$2))+(SUMIFS('Modeling - Base Estimates'!X:X,'Modeling - Base Estimates'!A:A,$A24)*$S24*($S$2))+(SUMIFS('Modeling - Base Estimates'!X:X,'Modeling - Base Estimates'!A:A,$A24)*$T24*($T$2))+(SUMIFS('Modeling - Base Estimates'!X:X,'Modeling - Base Estimates'!A:A,$A24)*$U24*($U$2))+(SUMIFS('Modeling - Base Estimates'!X:X,'Modeling - Base Estimates'!A:A,$A24)*$V24*($V$2))</f>
        <v>3205363.8749964684</v>
      </c>
      <c r="AO24" s="7">
        <f>SUM(AJ24:AN24)-(SUMIFS('Modeling - Base Estimates'!X:X,'Modeling - Base Estimates'!A:A,A24)-SUMIFS('Modeling - Base Estimates'!Z:Z,'Modeling - Base Estimates'!A:A,A24))</f>
        <v>0</v>
      </c>
      <c r="AQ24" s="7">
        <f t="shared" si="5"/>
        <v>11033858.50791678</v>
      </c>
      <c r="AR24" s="7">
        <f>(W24*$O24*($N$2+'Modeling - Base Estimates'!$AA$51))</f>
        <v>3638153.7873374186</v>
      </c>
      <c r="AS24" s="7">
        <f>(W24*P24*('Modeling - Base Estimates'!$AE$51))</f>
        <v>719871.81016187684</v>
      </c>
      <c r="AT24" s="7">
        <f t="shared" si="6"/>
        <v>8882407.1064579468</v>
      </c>
      <c r="AU24" s="7">
        <f t="shared" si="7"/>
        <v>3220055.5858878773</v>
      </c>
      <c r="AV24" s="5">
        <f t="shared" si="12"/>
        <v>-7.4505805969238281E-8</v>
      </c>
      <c r="AX24" s="7">
        <f>SUMIFS('Modeling - Base Estimates'!X:X,'Modeling - Base Estimates'!A:A,A24)</f>
        <v>460410634.44041717</v>
      </c>
      <c r="AY24" s="5">
        <f t="shared" si="13"/>
        <v>11637307.662438799</v>
      </c>
      <c r="AZ24" s="5">
        <f t="shared" si="13"/>
        <v>855369.66449953266</v>
      </c>
      <c r="BA24" s="5">
        <f t="shared" si="13"/>
        <v>583159.55773749948</v>
      </c>
      <c r="BB24" s="5">
        <f t="shared" si="13"/>
        <v>8841880.5522581395</v>
      </c>
      <c r="BC24" s="5">
        <f t="shared" si="13"/>
        <v>3205363.8749964684</v>
      </c>
      <c r="BD24" s="5">
        <f t="shared" si="14"/>
        <v>435287553.12848675</v>
      </c>
      <c r="BF24" s="5">
        <f t="shared" si="15"/>
        <v>462520915.89248353</v>
      </c>
      <c r="BG24" s="5">
        <f t="shared" si="16"/>
        <v>11033858.50791678</v>
      </c>
      <c r="BH24" s="5">
        <f t="shared" si="17"/>
        <v>602208.43771699374</v>
      </c>
      <c r="BI24" s="5">
        <f t="shared" si="18"/>
        <v>3638153.7873374186</v>
      </c>
      <c r="BJ24" s="5">
        <f t="shared" si="18"/>
        <v>719871.81016187684</v>
      </c>
      <c r="BK24" s="5">
        <f t="shared" si="18"/>
        <v>8882407.1064579468</v>
      </c>
      <c r="BL24" s="5">
        <f t="shared" si="18"/>
        <v>3220055.5858878773</v>
      </c>
      <c r="BM24" s="5">
        <f t="shared" si="19"/>
        <v>434424360.65700465</v>
      </c>
      <c r="BO24" s="5">
        <f t="shared" si="20"/>
        <v>-863192.4714820981</v>
      </c>
      <c r="BP24" s="1">
        <f t="shared" si="21"/>
        <v>-1.9830396373114391E-3</v>
      </c>
    </row>
    <row r="25" spans="1:68" x14ac:dyDescent="0.25">
      <c r="A25" s="1">
        <v>30</v>
      </c>
      <c r="B25" s="1">
        <v>210030</v>
      </c>
      <c r="C25" s="4">
        <v>59088059.300000004</v>
      </c>
      <c r="D25" s="4">
        <f>SUM('Modeling - Base Estimates'!E25:G25)-SUM('Scenario 3 - increase MA &amp; QP %'!E25:F25)</f>
        <v>24412287.335000001</v>
      </c>
      <c r="E25" s="4">
        <f>((SUM('Modeling - Base Estimates'!F25:G25)/SUM('Modeling - Base Estimates'!E25:G25)+$E$61))*SUM('Modeling - Base Estimates'!E25:G25)*('Modeling - Base Estimates'!F25/SUM('Modeling - Base Estimates'!F25:G25)+$E$73)</f>
        <v>3876878.2783534182</v>
      </c>
      <c r="F25" s="4">
        <f>((SUM('Modeling - Base Estimates'!F25:G25)/SUM('Modeling - Base Estimates'!E25:G25)+$E$61))*SUM('Modeling - Base Estimates'!E25:G25)*('Modeling - Base Estimates'!G25/SUM('Modeling - Base Estimates'!F25:G25)-$E$73)</f>
        <v>4258973.6866465826</v>
      </c>
      <c r="G25" s="4">
        <v>464068.5</v>
      </c>
      <c r="H25" s="4">
        <v>9357654.5999999996</v>
      </c>
      <c r="I25" s="4">
        <v>652338.9</v>
      </c>
      <c r="J25" s="4">
        <v>6483227.5</v>
      </c>
      <c r="K25" s="4">
        <v>333066.59999999998</v>
      </c>
      <c r="L25" s="4">
        <v>3116000</v>
      </c>
      <c r="M25" s="4">
        <f t="shared" si="0"/>
        <v>6133563.8999999985</v>
      </c>
      <c r="N25" s="12">
        <f t="shared" si="1"/>
        <v>0.41315094156426285</v>
      </c>
      <c r="O25" s="12">
        <f t="shared" si="2"/>
        <v>6.5611873604950466E-2</v>
      </c>
      <c r="P25" s="12">
        <f t="shared" si="2"/>
        <v>7.2078415454856243E-2</v>
      </c>
      <c r="Q25" s="12">
        <f t="shared" si="9"/>
        <v>0.16622179195518103</v>
      </c>
      <c r="R25" s="12">
        <f t="shared" si="10"/>
        <v>1.1040113818732239E-2</v>
      </c>
      <c r="S25" s="12">
        <f t="shared" si="10"/>
        <v>0.10972144925396118</v>
      </c>
      <c r="T25" s="12">
        <f t="shared" si="10"/>
        <v>5.6367835387682117E-3</v>
      </c>
      <c r="U25" s="12">
        <f t="shared" si="10"/>
        <v>5.2734850948133946E-2</v>
      </c>
      <c r="V25" s="12">
        <f t="shared" si="11"/>
        <v>0.10380377986115374</v>
      </c>
      <c r="W25" s="4">
        <f>SUMIFS('Modeling - Base Estimates'!AK:AK,'Modeling - Base Estimates'!A:A,A25)</f>
        <v>31856446.545124717</v>
      </c>
      <c r="X25" s="4">
        <f>(W25*N25*(1-N$2))+(W25*O25*(1-'Modeling - Base Estimates'!$AA$51-N$2))+(W25*P25*(1-'Modeling - Base Estimates'!$AE$51))+(W25*Q25*(1-Q$2))+(W25*R25*(1-R$2))+(W25*S25*(1-S$2))+(W25*T25*(1-T$2))+(W25*U25*(1-U$2))+(W25*V25*(1-V$2))</f>
        <v>29688400.332850743</v>
      </c>
      <c r="Y25" s="5">
        <f>X25*N25*SUMIFS('Modeling - Base Estimates'!AN:AN,'Modeling - Base Estimates'!A:A,A25)</f>
        <v>123069.11594839662</v>
      </c>
      <c r="Z25" s="4">
        <f t="shared" si="4"/>
        <v>29565331.216902345</v>
      </c>
      <c r="AA25" s="4">
        <f>(((W25*N25*(1-N$2))/X25)*X25)-Y25-(((SUMIFS('Modeling - Base Estimates'!X:X,'Modeling - Base Estimates'!A:A,A25)*N25*(1-N$2))/SUMIFS('Modeling - Base Estimates'!Z:Z,'Modeling - Base Estimates'!A:A,A25))*SUMIFS('Modeling - Base Estimates'!Z:Z,'Modeling - Base Estimates'!A:A,A25))</f>
        <v>370.3870010972023</v>
      </c>
      <c r="AB25" s="4"/>
      <c r="AC25" s="18">
        <f>1-((((W25*O25*(1-N$2-'Modeling - Base Estimates'!$AA$51))/X25)*X25)/('Modeling - Base Estimates'!X25*'Modeling - Base Estimates'!P25))</f>
        <v>-0.29161943782900801</v>
      </c>
      <c r="AD25" s="18">
        <f t="shared" si="22"/>
        <v>-0.36861943782900802</v>
      </c>
      <c r="AE25" s="18">
        <f>1-((((W25*P25*(1-'Modeling - Base Estimates'!$AE$51))/X25)*X25)/(SUMIFS('Modeling - Base Estimates'!X:X,'Modeling - Base Estimates'!A:A,A25)*'Modeling - Base Estimates'!Q25))</f>
        <v>3.1237863244020558E-2</v>
      </c>
      <c r="AF25" s="18">
        <f t="shared" si="23"/>
        <v>-4.5762136755979441E-2</v>
      </c>
      <c r="AG25" s="18">
        <f>$N25*(1-$N$2)+$O25*(1-$N$2-'Modeling - Base Estimates'!$AA$51)+$P25*(1-'Modeling - Base Estimates'!$AE$51)+$Q25*(1-$Q$2)+$R25*(1-$R$2)+$S25*(1-$S$2)+$T25*(1-$T$2)+$U25*(1-$U$2)+$V25*(1-$V$2)</f>
        <v>0.93194325019261215</v>
      </c>
      <c r="AH25" s="18" t="e">
        <f>$O25*(1-$N$2-#REF!)+$P25*(1-#REF!)+$Q25*(1-$Q$2)+$R25*(1-$R$2)+$S25*(1-$S$2)+$T25*(1-$T$2)+$U25*(1-$U$2)+$V25*(1-$V$2)</f>
        <v>#REF!</v>
      </c>
      <c r="AJ25" s="7">
        <f>(SUMIFS('Modeling - Base Estimates'!$X:$X,'Modeling - Base Estimates'!$A:$A,$A25)*SUMIFS('Modeling - Base Estimates'!O:O,'Modeling - Base Estimates'!$A:$A,$A25)*($N$2))</f>
        <v>1070012.0536303369</v>
      </c>
      <c r="AK25" s="7">
        <f>(SUMIFS('Modeling - Base Estimates'!$X:$X,'Modeling - Base Estimates'!$A:$A,$A25)*SUMIFS('Modeling - Base Estimates'!P:P,'Modeling - Base Estimates'!$A:$A,$A25)*($N$2))</f>
        <v>100696.76998151351</v>
      </c>
      <c r="AL25" s="7">
        <f>(SUMIFS('Modeling - Base Estimates'!$X:$X,'Modeling - Base Estimates'!$A:$A,$A25)*SUMIFS('Modeling - Base Estimates'!Q:Q,'Modeling - Base Estimates'!$A:$A,$A25)*($N$2))</f>
        <v>166745.48645043309</v>
      </c>
      <c r="AM25" s="7">
        <f>(SUMIFS('Modeling - Base Estimates'!$X:$X,'Modeling - Base Estimates'!$A:$A,$A25)*SUMIFS('Modeling - Base Estimates'!R:R,'Modeling - Base Estimates'!$A:$A,$A25)*($N$2))</f>
        <v>403590.0722697624</v>
      </c>
      <c r="AN25" s="7">
        <f>(SUMIFS('Modeling - Base Estimates'!X:X,'Modeling - Base Estimates'!A:A,$A25)*$R25*($R$2))+(SUMIFS('Modeling - Base Estimates'!X:X,'Modeling - Base Estimates'!A:A,$A25)*$S25*($S$2))+(SUMIFS('Modeling - Base Estimates'!X:X,'Modeling - Base Estimates'!A:A,$A25)*$T25*($T$2))+(SUMIFS('Modeling - Base Estimates'!X:X,'Modeling - Base Estimates'!A:A,$A25)*$U25*($U$2))+(SUMIFS('Modeling - Base Estimates'!X:X,'Modeling - Base Estimates'!A:A,$A25)*$V25*($V$2))</f>
        <v>146048.41543042666</v>
      </c>
      <c r="AO25" s="7">
        <f>SUM(AJ25:AN25)-(SUMIFS('Modeling - Base Estimates'!X:X,'Modeling - Base Estimates'!A:A,A25)-SUMIFS('Modeling - Base Estimates'!Z:Z,'Modeling - Base Estimates'!A:A,A25))</f>
        <v>3.9581209421157837E-9</v>
      </c>
      <c r="AQ25" s="7">
        <f t="shared" si="5"/>
        <v>1013437.1081457611</v>
      </c>
      <c r="AR25" s="7">
        <f>(W25*$O25*($N$2+'Modeling - Base Estimates'!$AA$51))</f>
        <v>401045.48922522797</v>
      </c>
      <c r="AS25" s="7">
        <f>(W25*P25*('Modeling - Base Estimates'!$AE$51))</f>
        <v>198282.78966846725</v>
      </c>
      <c r="AT25" s="7">
        <f t="shared" si="6"/>
        <v>407733.1435142401</v>
      </c>
      <c r="AU25" s="7">
        <f t="shared" si="7"/>
        <v>147547.68172027456</v>
      </c>
      <c r="AV25" s="5">
        <f t="shared" si="12"/>
        <v>0</v>
      </c>
      <c r="AX25" s="7">
        <f>SUMIFS('Modeling - Base Estimates'!X:X,'Modeling - Base Estimates'!A:A,A25)</f>
        <v>31532745.787087768</v>
      </c>
      <c r="AY25" s="5">
        <f t="shared" si="13"/>
        <v>1070012.0536303369</v>
      </c>
      <c r="AZ25" s="5">
        <f t="shared" si="13"/>
        <v>100696.76998151351</v>
      </c>
      <c r="BA25" s="5">
        <f t="shared" si="13"/>
        <v>166745.48645043309</v>
      </c>
      <c r="BB25" s="5">
        <f t="shared" si="13"/>
        <v>403590.0722697624</v>
      </c>
      <c r="BC25" s="5">
        <f t="shared" si="13"/>
        <v>146048.41543042666</v>
      </c>
      <c r="BD25" s="5">
        <f t="shared" si="14"/>
        <v>29645652.989325296</v>
      </c>
      <c r="BF25" s="5">
        <f t="shared" si="15"/>
        <v>31856446.545124717</v>
      </c>
      <c r="BG25" s="5">
        <f t="shared" si="16"/>
        <v>1013437.1081457611</v>
      </c>
      <c r="BH25" s="5">
        <f t="shared" si="17"/>
        <v>123069.11594839662</v>
      </c>
      <c r="BI25" s="5">
        <f t="shared" si="18"/>
        <v>401045.48922522797</v>
      </c>
      <c r="BJ25" s="5">
        <f t="shared" si="18"/>
        <v>198282.78966846725</v>
      </c>
      <c r="BK25" s="5">
        <f t="shared" si="18"/>
        <v>407733.1435142401</v>
      </c>
      <c r="BL25" s="5">
        <f t="shared" si="18"/>
        <v>147547.68172027456</v>
      </c>
      <c r="BM25" s="5">
        <f t="shared" si="19"/>
        <v>29565331.216902349</v>
      </c>
      <c r="BO25" s="5">
        <f t="shared" si="20"/>
        <v>-80321.77242294699</v>
      </c>
      <c r="BP25" s="1">
        <f t="shared" si="21"/>
        <v>-2.709394610126111E-3</v>
      </c>
    </row>
    <row r="26" spans="1:68" x14ac:dyDescent="0.25">
      <c r="A26" s="1">
        <v>32</v>
      </c>
      <c r="B26" s="1">
        <v>210032</v>
      </c>
      <c r="C26" s="4">
        <v>210231969.60000002</v>
      </c>
      <c r="D26" s="4">
        <f>SUM('Modeling - Base Estimates'!E26:G26)-SUM('Scenario 3 - increase MA &amp; QP %'!E26:F26)</f>
        <v>63912564.934999987</v>
      </c>
      <c r="E26" s="4">
        <f>((SUM('Modeling - Base Estimates'!F26:G26)/SUM('Modeling - Base Estimates'!E26:G26)+$E$61))*SUM('Modeling - Base Estimates'!E26:G26)*('Modeling - Base Estimates'!F26/SUM('Modeling - Base Estimates'!F26:G26)+$E$73)</f>
        <v>12515686.322280692</v>
      </c>
      <c r="F26" s="4">
        <f>((SUM('Modeling - Base Estimates'!F26:G26)/SUM('Modeling - Base Estimates'!E26:G26)+$E$61))*SUM('Modeling - Base Estimates'!E26:G26)*('Modeling - Base Estimates'!G26/SUM('Modeling - Base Estimates'!F26:G26)-$E$73)</f>
        <v>21232508.042719305</v>
      </c>
      <c r="G26" s="4">
        <v>3940451.9</v>
      </c>
      <c r="H26" s="4">
        <v>35025342.700000003</v>
      </c>
      <c r="I26" s="4">
        <v>5256184.9000000004</v>
      </c>
      <c r="J26" s="4">
        <v>11583044.9</v>
      </c>
      <c r="K26" s="4">
        <v>0</v>
      </c>
      <c r="L26" s="4">
        <v>10422600</v>
      </c>
      <c r="M26" s="4">
        <f t="shared" si="0"/>
        <v>46343585.900000036</v>
      </c>
      <c r="N26" s="12">
        <f t="shared" si="1"/>
        <v>0.30400973294691513</v>
      </c>
      <c r="O26" s="12">
        <f t="shared" si="2"/>
        <v>5.9532745405438521E-2</v>
      </c>
      <c r="P26" s="12">
        <f t="shared" si="2"/>
        <v>0.100995619662973</v>
      </c>
      <c r="Q26" s="12">
        <f t="shared" si="9"/>
        <v>0.18534666575278091</v>
      </c>
      <c r="R26" s="12">
        <f t="shared" si="10"/>
        <v>2.500183444982575E-2</v>
      </c>
      <c r="S26" s="12">
        <f t="shared" si="10"/>
        <v>5.509649613252731E-2</v>
      </c>
      <c r="T26" s="12">
        <f t="shared" si="10"/>
        <v>0</v>
      </c>
      <c r="U26" s="12">
        <f t="shared" si="10"/>
        <v>4.9576665337011612E-2</v>
      </c>
      <c r="V26" s="12">
        <f t="shared" si="11"/>
        <v>0.22044024031252776</v>
      </c>
      <c r="W26" s="4">
        <f>SUMIFS('Modeling - Base Estimates'!AK:AK,'Modeling - Base Estimates'!A:A,A26)</f>
        <v>121954466.1521114</v>
      </c>
      <c r="X26" s="4">
        <f>(W26*N26*(1-N$2))+(W26*O26*(1-'Modeling - Base Estimates'!$AA$51-N$2))+(W26*P26*(1-'Modeling - Base Estimates'!$AE$51))+(W26*Q26*(1-Q$2))+(W26*R26*(1-R$2))+(W26*S26*(1-S$2))+(W26*T26*(1-T$2))+(W26*U26*(1-U$2))+(W26*V26*(1-V$2))</f>
        <v>114161841.51554759</v>
      </c>
      <c r="Y26" s="5">
        <f>X26*N26*SUMIFS('Modeling - Base Estimates'!AN:AN,'Modeling - Base Estimates'!A:A,A26)</f>
        <v>277576.65066264482</v>
      </c>
      <c r="Z26" s="4">
        <f t="shared" si="4"/>
        <v>113884264.86488494</v>
      </c>
      <c r="AA26" s="4">
        <f>(((W26*N26*(1-N$2))/X26)*X26)-Y26-(((SUMIFS('Modeling - Base Estimates'!X:X,'Modeling - Base Estimates'!A:A,A26)*N26*(1-N$2))/SUMIFS('Modeling - Base Estimates'!Z:Z,'Modeling - Base Estimates'!A:A,A26))*SUMIFS('Modeling - Base Estimates'!Z:Z,'Modeling - Base Estimates'!A:A,A26))</f>
        <v>763.54209637641907</v>
      </c>
      <c r="AB26" s="4"/>
      <c r="AC26" s="18">
        <f>1-((((W26*O26*(1-N$2-'Modeling - Base Estimates'!$AA$51))/X26)*X26)/('Modeling - Base Estimates'!X26*'Modeling - Base Estimates'!P26))</f>
        <v>-0.30427869890205872</v>
      </c>
      <c r="AD26" s="18">
        <f t="shared" si="22"/>
        <v>-0.38127869890205873</v>
      </c>
      <c r="AE26" s="18">
        <f>1-((((W26*P26*(1-'Modeling - Base Estimates'!$AE$51))/X26)*X26)/(SUMIFS('Modeling - Base Estimates'!X:X,'Modeling - Base Estimates'!A:A,A26)*'Modeling - Base Estimates'!Q26))</f>
        <v>7.0737729274890526E-2</v>
      </c>
      <c r="AF26" s="18">
        <f t="shared" si="23"/>
        <v>-6.2622707251094728E-3</v>
      </c>
      <c r="AG26" s="18">
        <f>$N26*(1-$N$2)+$O26*(1-$N$2-'Modeling - Base Estimates'!$AA$51)+$P26*(1-'Modeling - Base Estimates'!$AE$51)+$Q26*(1-$Q$2)+$R26*(1-$R$2)+$S26*(1-$S$2)+$T26*(1-$T$2)+$U26*(1-$U$2)+$V26*(1-$V$2)</f>
        <v>0.93610217909654736</v>
      </c>
      <c r="AH26" s="18" t="e">
        <f>$O26*(1-$N$2-#REF!)+$P26*(1-#REF!)+$Q26*(1-$Q$2)+$R26*(1-$R$2)+$S26*(1-$S$2)+$T26*(1-$T$2)+$U26*(1-$U$2)+$V26*(1-$V$2)</f>
        <v>#REF!</v>
      </c>
      <c r="AJ26" s="7">
        <f>(SUMIFS('Modeling - Base Estimates'!$X:$X,'Modeling - Base Estimates'!$A:$A,$A26)*SUMIFS('Modeling - Base Estimates'!O:O,'Modeling - Base Estimates'!$A:$A,$A26)*($N$2))</f>
        <v>3047919.4413826535</v>
      </c>
      <c r="AK26" s="7">
        <f>(SUMIFS('Modeling - Base Estimates'!$X:$X,'Modeling - Base Estimates'!$A:$A,$A26)*SUMIFS('Modeling - Base Estimates'!P:P,'Modeling - Base Estimates'!$A:$A,$A26)*($N$2))</f>
        <v>346380.6006504317</v>
      </c>
      <c r="AL26" s="7">
        <f>(SUMIFS('Modeling - Base Estimates'!$X:$X,'Modeling - Base Estimates'!$A:$A,$A26)*SUMIFS('Modeling - Base Estimates'!Q:Q,'Modeling - Base Estimates'!$A:$A,$A26)*($N$2))</f>
        <v>932460.89010581747</v>
      </c>
      <c r="AM26" s="7">
        <f>(SUMIFS('Modeling - Base Estimates'!$X:$X,'Modeling - Base Estimates'!$A:$A,$A26)*SUMIFS('Modeling - Base Estimates'!R:R,'Modeling - Base Estimates'!$A:$A,$A26)*($N$2))</f>
        <v>1726340.0261626784</v>
      </c>
      <c r="AN26" s="7">
        <f>(SUMIFS('Modeling - Base Estimates'!X:X,'Modeling - Base Estimates'!A:A,$A26)*$R26*($R$2))+(SUMIFS('Modeling - Base Estimates'!X:X,'Modeling - Base Estimates'!A:A,$A26)*$S26*($S$2))+(SUMIFS('Modeling - Base Estimates'!X:X,'Modeling - Base Estimates'!A:A,$A26)*$T26*($T$2))+(SUMIFS('Modeling - Base Estimates'!X:X,'Modeling - Base Estimates'!A:A,$A26)*$U26*($U$2))+(SUMIFS('Modeling - Base Estimates'!X:X,'Modeling - Base Estimates'!A:A,$A26)*$V26*($V$2))</f>
        <v>734638.78899953701</v>
      </c>
      <c r="AO26" s="7">
        <f>SUM(AJ26:AN26)-(SUMIFS('Modeling - Base Estimates'!X:X,'Modeling - Base Estimates'!A:A,A26)-SUMIFS('Modeling - Base Estimates'!Z:Z,'Modeling - Base Estimates'!A:A,A26))</f>
        <v>1.6763806343078613E-8</v>
      </c>
      <c r="AQ26" s="7">
        <f t="shared" si="5"/>
        <v>2854801.5408671978</v>
      </c>
      <c r="AR26" s="7">
        <f>(W26*$O26*($N$2+'Modeling - Base Estimates'!$AA$51))</f>
        <v>1393052.5073306148</v>
      </c>
      <c r="AS26" s="7">
        <f>(W26*P26*('Modeling - Base Estimates'!$AE$51))</f>
        <v>1063610.7225295757</v>
      </c>
      <c r="AT26" s="7">
        <f t="shared" si="6"/>
        <v>1740496.7329714752</v>
      </c>
      <c r="AU26" s="7">
        <f t="shared" si="7"/>
        <v>740663.13286495348</v>
      </c>
      <c r="AV26" s="5">
        <f t="shared" si="12"/>
        <v>9.3132257461547852E-9</v>
      </c>
      <c r="AX26" s="7">
        <f>SUMIFS('Modeling - Base Estimates'!X:X,'Modeling - Base Estimates'!A:A,A26)</f>
        <v>120962523.11157995</v>
      </c>
      <c r="AY26" s="5">
        <f t="shared" si="13"/>
        <v>3047919.4413826535</v>
      </c>
      <c r="AZ26" s="5">
        <f t="shared" si="13"/>
        <v>346380.6006504317</v>
      </c>
      <c r="BA26" s="5">
        <f t="shared" si="13"/>
        <v>932460.89010581747</v>
      </c>
      <c r="BB26" s="5">
        <f t="shared" si="13"/>
        <v>1726340.0261626784</v>
      </c>
      <c r="BC26" s="5">
        <f t="shared" si="13"/>
        <v>734638.78899953701</v>
      </c>
      <c r="BD26" s="5">
        <f t="shared" si="14"/>
        <v>114174783.36427884</v>
      </c>
      <c r="BF26" s="5">
        <f t="shared" si="15"/>
        <v>121954466.1521114</v>
      </c>
      <c r="BG26" s="5">
        <f t="shared" si="16"/>
        <v>2854801.5408671978</v>
      </c>
      <c r="BH26" s="5">
        <f t="shared" si="17"/>
        <v>277576.65066264482</v>
      </c>
      <c r="BI26" s="5">
        <f t="shared" si="18"/>
        <v>1393052.5073306148</v>
      </c>
      <c r="BJ26" s="5">
        <f t="shared" si="18"/>
        <v>1063610.7225295757</v>
      </c>
      <c r="BK26" s="5">
        <f t="shared" si="18"/>
        <v>1740496.7329714752</v>
      </c>
      <c r="BL26" s="5">
        <f t="shared" si="18"/>
        <v>740663.13286495348</v>
      </c>
      <c r="BM26" s="5">
        <f t="shared" si="19"/>
        <v>113884264.86488494</v>
      </c>
      <c r="BO26" s="5">
        <f t="shared" si="20"/>
        <v>-290518.49939389527</v>
      </c>
      <c r="BP26" s="1">
        <f t="shared" si="21"/>
        <v>-2.5445066838181364E-3</v>
      </c>
    </row>
    <row r="27" spans="1:68" x14ac:dyDescent="0.25">
      <c r="A27" s="1">
        <v>33</v>
      </c>
      <c r="B27" s="1">
        <v>210033</v>
      </c>
      <c r="C27" s="4">
        <v>290567423</v>
      </c>
      <c r="D27" s="4">
        <f>SUM('Modeling - Base Estimates'!E27:G27)-SUM('Scenario 3 - increase MA &amp; QP %'!E27:F27)</f>
        <v>113914201.73500001</v>
      </c>
      <c r="E27" s="4">
        <f>((SUM('Modeling - Base Estimates'!F27:G27)/SUM('Modeling - Base Estimates'!E27:G27)+$E$61))*SUM('Modeling - Base Estimates'!E27:G27)*('Modeling - Base Estimates'!F27/SUM('Modeling - Base Estimates'!F27:G27)+$E$73)</f>
        <v>16682134.646422353</v>
      </c>
      <c r="F27" s="4">
        <f>((SUM('Modeling - Base Estimates'!F27:G27)/SUM('Modeling - Base Estimates'!E27:G27)+$E$61))*SUM('Modeling - Base Estimates'!E27:G27)*('Modeling - Base Estimates'!G27/SUM('Modeling - Base Estimates'!F27:G27)-$E$73)</f>
        <v>23796924.918577649</v>
      </c>
      <c r="G27" s="4">
        <v>3967476.9</v>
      </c>
      <c r="H27" s="4">
        <v>38578485.600000001</v>
      </c>
      <c r="I27" s="4">
        <v>11622343.199999999</v>
      </c>
      <c r="J27" s="4">
        <v>13522623.9</v>
      </c>
      <c r="K27" s="4">
        <v>0</v>
      </c>
      <c r="L27" s="4">
        <v>9762159.5</v>
      </c>
      <c r="M27" s="4">
        <f t="shared" si="0"/>
        <v>58721072.599999994</v>
      </c>
      <c r="N27" s="12">
        <f t="shared" si="1"/>
        <v>0.39204051355406078</v>
      </c>
      <c r="O27" s="12">
        <f t="shared" si="2"/>
        <v>5.7412267604487623E-2</v>
      </c>
      <c r="P27" s="12">
        <f t="shared" si="2"/>
        <v>8.1898117390047709E-2</v>
      </c>
      <c r="Q27" s="12">
        <f t="shared" si="9"/>
        <v>0.1464237183257808</v>
      </c>
      <c r="R27" s="12">
        <f t="shared" si="10"/>
        <v>3.999878265775169E-2</v>
      </c>
      <c r="S27" s="12">
        <f t="shared" si="10"/>
        <v>4.6538678563425882E-2</v>
      </c>
      <c r="T27" s="12">
        <f t="shared" si="10"/>
        <v>0</v>
      </c>
      <c r="U27" s="12">
        <f t="shared" si="10"/>
        <v>3.3596882263019552E-2</v>
      </c>
      <c r="V27" s="12">
        <f t="shared" si="11"/>
        <v>0.202091039641426</v>
      </c>
      <c r="W27" s="4">
        <f>SUMIFS('Modeling - Base Estimates'!AK:AK,'Modeling - Base Estimates'!A:A,A27)</f>
        <v>163856552.6691218</v>
      </c>
      <c r="X27" s="4">
        <f>(W27*N27*(1-N$2))+(W27*O27*(1-'Modeling - Base Estimates'!$AA$51-N$2))+(W27*P27*(1-'Modeling - Base Estimates'!$AE$51))+(W27*Q27*(1-Q$2))+(W27*R27*(1-R$2))+(W27*S27*(1-S$2))+(W27*T27*(1-T$2))+(W27*U27*(1-U$2))+(W27*V27*(1-V$2))</f>
        <v>153136662.61047783</v>
      </c>
      <c r="Y27" s="5">
        <f>X27*N27*SUMIFS('Modeling - Base Estimates'!AN:AN,'Modeling - Base Estimates'!A:A,A27)</f>
        <v>508591.44804971258</v>
      </c>
      <c r="Z27" s="4">
        <f t="shared" si="4"/>
        <v>152628071.16242811</v>
      </c>
      <c r="AA27" s="4">
        <f>(((W27*N27*(1-N$2))/X27)*X27)-Y27-(((SUMIFS('Modeling - Base Estimates'!X:X,'Modeling - Base Estimates'!A:A,A27)*N27*(1-N$2))/SUMIFS('Modeling - Base Estimates'!Z:Z,'Modeling - Base Estimates'!A:A,A27))*SUMIFS('Modeling - Base Estimates'!Z:Z,'Modeling - Base Estimates'!A:A,A27))</f>
        <v>1411.3596877008677</v>
      </c>
      <c r="AB27" s="4"/>
      <c r="AC27" s="18">
        <f>1-((((W27*O27*(1-N$2-'Modeling - Base Estimates'!$AA$51))/X27)*X27)/('Modeling - Base Estimates'!X27*'Modeling - Base Estimates'!P27))</f>
        <v>-0.32993001068221406</v>
      </c>
      <c r="AD27" s="18">
        <f t="shared" si="22"/>
        <v>-0.40693001068221407</v>
      </c>
      <c r="AE27" s="18">
        <f>1-((((W27*P27*(1-'Modeling - Base Estimates'!$AE$51))/X27)*X27)/(SUMIFS('Modeling - Base Estimates'!X:X,'Modeling - Base Estimates'!A:A,A27)*'Modeling - Base Estimates'!Q27))</f>
        <v>2.6803599662832744E-2</v>
      </c>
      <c r="AF27" s="18">
        <f t="shared" si="23"/>
        <v>-5.0196400337167255E-2</v>
      </c>
      <c r="AG27" s="18">
        <f>$N27*(1-$N$2)+$O27*(1-$N$2-'Modeling - Base Estimates'!$AA$51)+$P27*(1-'Modeling - Base Estimates'!$AE$51)+$Q27*(1-$Q$2)+$R27*(1-$R$2)+$S27*(1-$S$2)+$T27*(1-$T$2)+$U27*(1-$U$2)+$V27*(1-$V$2)</f>
        <v>0.93457759312017985</v>
      </c>
      <c r="AH27" s="18" t="e">
        <f>$O27*(1-$N$2-#REF!)+$P27*(1-#REF!)+$Q27*(1-$Q$2)+$R27*(1-$R$2)+$S27*(1-$S$2)+$T27*(1-$T$2)+$U27*(1-$U$2)+$V27*(1-$V$2)</f>
        <v>#REF!</v>
      </c>
      <c r="AJ27" s="7">
        <f>(SUMIFS('Modeling - Base Estimates'!$X:$X,'Modeling - Base Estimates'!$A:$A,$A27)*SUMIFS('Modeling - Base Estimates'!O:O,'Modeling - Base Estimates'!$A:$A,$A27)*($N$2))</f>
        <v>5236129.3222629419</v>
      </c>
      <c r="AK27" s="7">
        <f>(SUMIFS('Modeling - Base Estimates'!$X:$X,'Modeling - Base Estimates'!$A:$A,$A27)*SUMIFS('Modeling - Base Estimates'!P:P,'Modeling - Base Estimates'!$A:$A,$A27)*($N$2))</f>
        <v>440159.49022661871</v>
      </c>
      <c r="AL27" s="7">
        <f>(SUMIFS('Modeling - Base Estimates'!$X:$X,'Modeling - Base Estimates'!$A:$A,$A27)*SUMIFS('Modeling - Base Estimates'!Q:Q,'Modeling - Base Estimates'!$A:$A,$A27)*($N$2))</f>
        <v>970076.3587726315</v>
      </c>
      <c r="AM27" s="7">
        <f>(SUMIFS('Modeling - Base Estimates'!$X:$X,'Modeling - Base Estimates'!$A:$A,$A27)*SUMIFS('Modeling - Base Estimates'!R:R,'Modeling - Base Estimates'!$A:$A,$A27)*($N$2))</f>
        <v>1831530.7349351738</v>
      </c>
      <c r="AN27" s="7">
        <f>(SUMIFS('Modeling - Base Estimates'!X:X,'Modeling - Base Estimates'!A:A,$A27)*$R27*($R$2))+(SUMIFS('Modeling - Base Estimates'!X:X,'Modeling - Base Estimates'!A:A,$A27)*$S27*($S$2))+(SUMIFS('Modeling - Base Estimates'!X:X,'Modeling - Base Estimates'!A:A,$A27)*$T27*($T$2))+(SUMIFS('Modeling - Base Estimates'!X:X,'Modeling - Base Estimates'!A:A,$A27)*$U27*($U$2))+(SUMIFS('Modeling - Base Estimates'!X:X,'Modeling - Base Estimates'!A:A,$A27)*$V27*($V$2))</f>
        <v>953981.67610057222</v>
      </c>
      <c r="AO27" s="7">
        <f>SUM(AJ27:AN27)-(SUMIFS('Modeling - Base Estimates'!X:X,'Modeling - Base Estimates'!A:A,A27)-SUMIFS('Modeling - Base Estimates'!Z:Z,'Modeling - Base Estimates'!A:A,A27))</f>
        <v>0</v>
      </c>
      <c r="AQ27" s="7">
        <f t="shared" si="5"/>
        <v>4946357.34343524</v>
      </c>
      <c r="AR27" s="7">
        <f>(W27*$O27*($N$2+'Modeling - Base Estimates'!$AA$51))</f>
        <v>1805021.5033291562</v>
      </c>
      <c r="AS27" s="7">
        <f>(W27*P27*('Modeling - Base Estimates'!$AE$51))</f>
        <v>1158831.2322513985</v>
      </c>
      <c r="AT27" s="7">
        <f t="shared" si="6"/>
        <v>1847421.3999669857</v>
      </c>
      <c r="AU27" s="7">
        <f t="shared" si="7"/>
        <v>962258.57966120902</v>
      </c>
      <c r="AV27" s="5">
        <f t="shared" si="12"/>
        <v>2.2351741790771484E-8</v>
      </c>
      <c r="AX27" s="7">
        <f>SUMIFS('Modeling - Base Estimates'!X:X,'Modeling - Base Estimates'!A:A,A27)</f>
        <v>162447134.33512449</v>
      </c>
      <c r="AY27" s="5">
        <f t="shared" si="13"/>
        <v>5236129.3222629419</v>
      </c>
      <c r="AZ27" s="5">
        <f t="shared" si="13"/>
        <v>440159.49022661871</v>
      </c>
      <c r="BA27" s="5">
        <f t="shared" si="13"/>
        <v>970076.3587726315</v>
      </c>
      <c r="BB27" s="5">
        <f t="shared" si="13"/>
        <v>1831530.7349351738</v>
      </c>
      <c r="BC27" s="5">
        <f t="shared" si="13"/>
        <v>953981.67610057222</v>
      </c>
      <c r="BD27" s="5">
        <f t="shared" si="14"/>
        <v>153015256.75282654</v>
      </c>
      <c r="BF27" s="5">
        <f t="shared" si="15"/>
        <v>163856552.6691218</v>
      </c>
      <c r="BG27" s="5">
        <f t="shared" si="16"/>
        <v>4946357.34343524</v>
      </c>
      <c r="BH27" s="5">
        <f t="shared" si="17"/>
        <v>508591.44804971258</v>
      </c>
      <c r="BI27" s="5">
        <f t="shared" si="18"/>
        <v>1805021.5033291562</v>
      </c>
      <c r="BJ27" s="5">
        <f t="shared" si="18"/>
        <v>1158831.2322513985</v>
      </c>
      <c r="BK27" s="5">
        <f t="shared" si="18"/>
        <v>1847421.3999669857</v>
      </c>
      <c r="BL27" s="5">
        <f t="shared" si="18"/>
        <v>962258.57966120902</v>
      </c>
      <c r="BM27" s="5">
        <f t="shared" si="19"/>
        <v>152628071.16242811</v>
      </c>
      <c r="BO27" s="5">
        <f t="shared" si="20"/>
        <v>-387185.59039843082</v>
      </c>
      <c r="BP27" s="1">
        <f t="shared" si="21"/>
        <v>-2.5303724518390461E-3</v>
      </c>
    </row>
    <row r="28" spans="1:68" x14ac:dyDescent="0.25">
      <c r="A28" s="1">
        <v>34</v>
      </c>
      <c r="B28" s="1">
        <v>210034</v>
      </c>
      <c r="C28" s="4">
        <v>241447813.20000002</v>
      </c>
      <c r="D28" s="4">
        <f>SUM('Modeling - Base Estimates'!E28:G28)-SUM('Scenario 3 - increase MA &amp; QP %'!E28:F28)</f>
        <v>49522270.805000007</v>
      </c>
      <c r="E28" s="4">
        <f>((SUM('Modeling - Base Estimates'!F28:G28)/SUM('Modeling - Base Estimates'!E28:G28)+$E$61))*SUM('Modeling - Base Estimates'!E28:G28)*('Modeling - Base Estimates'!F28/SUM('Modeling - Base Estimates'!F28:G28)+$E$73)</f>
        <v>19147260.266778708</v>
      </c>
      <c r="F28" s="4">
        <f>((SUM('Modeling - Base Estimates'!F28:G28)/SUM('Modeling - Base Estimates'!E28:G28)+$E$61))*SUM('Modeling - Base Estimates'!E28:G28)*('Modeling - Base Estimates'!G28/SUM('Modeling - Base Estimates'!F28:G28)-$E$73)</f>
        <v>16986764.828221291</v>
      </c>
      <c r="G28" s="4">
        <v>14230518.5</v>
      </c>
      <c r="H28" s="4">
        <v>79184722.799999997</v>
      </c>
      <c r="I28" s="4">
        <v>7412959.6000000006</v>
      </c>
      <c r="J28" s="4">
        <v>8701415.6999999993</v>
      </c>
      <c r="K28" s="4">
        <v>1273645.7</v>
      </c>
      <c r="L28" s="4">
        <v>17661094.700000003</v>
      </c>
      <c r="M28" s="4">
        <f t="shared" si="0"/>
        <v>27327160.300000042</v>
      </c>
      <c r="N28" s="12">
        <f t="shared" si="1"/>
        <v>0.20510548490235819</v>
      </c>
      <c r="O28" s="12">
        <f t="shared" si="2"/>
        <v>7.9301858289842264E-2</v>
      </c>
      <c r="P28" s="12">
        <f t="shared" si="2"/>
        <v>7.0353773774503123E-2</v>
      </c>
      <c r="Q28" s="12">
        <f t="shared" si="9"/>
        <v>0.38689619948067516</v>
      </c>
      <c r="R28" s="12">
        <f t="shared" si="10"/>
        <v>3.0702119442513137E-2</v>
      </c>
      <c r="S28" s="12">
        <f t="shared" si="10"/>
        <v>3.6038494549512856E-2</v>
      </c>
      <c r="T28" s="12">
        <f t="shared" si="10"/>
        <v>5.2750351437020173E-3</v>
      </c>
      <c r="U28" s="12">
        <f t="shared" si="10"/>
        <v>7.3146633493717653E-2</v>
      </c>
      <c r="V28" s="12">
        <f t="shared" si="11"/>
        <v>0.11318040092317572</v>
      </c>
      <c r="W28" s="4">
        <f>SUMIFS('Modeling - Base Estimates'!AK:AK,'Modeling - Base Estimates'!A:A,A28)</f>
        <v>129030836.226592</v>
      </c>
      <c r="X28" s="4">
        <f>(W28*N28*(1-N$2))+(W28*O28*(1-'Modeling - Base Estimates'!$AA$51-N$2))+(W28*P28*(1-'Modeling - Base Estimates'!$AE$51))+(W28*Q28*(1-Q$2))+(W28*R28*(1-R$2))+(W28*S28*(1-S$2))+(W28*T28*(1-T$2))+(W28*U28*(1-U$2))+(W28*V28*(1-V$2))</f>
        <v>119914030.72239634</v>
      </c>
      <c r="Y28" s="5">
        <f>X28*N28*SUMIFS('Modeling - Base Estimates'!AN:AN,'Modeling - Base Estimates'!A:A,A28)</f>
        <v>240336.077317171</v>
      </c>
      <c r="Z28" s="4">
        <f t="shared" si="4"/>
        <v>119673694.64507917</v>
      </c>
      <c r="AA28" s="4">
        <f>(((W28*N28*(1-N$2))/X28)*X28)-Y28-(((SUMIFS('Modeling - Base Estimates'!X:X,'Modeling - Base Estimates'!A:A,A28)*N28*(1-N$2))/SUMIFS('Modeling - Base Estimates'!Z:Z,'Modeling - Base Estimates'!A:A,A28))*SUMIFS('Modeling - Base Estimates'!Z:Z,'Modeling - Base Estimates'!A:A,A28))</f>
        <v>659.37604914233088</v>
      </c>
      <c r="AB28" s="4"/>
      <c r="AC28" s="18">
        <f>1-((((W28*O28*(1-N$2-'Modeling - Base Estimates'!$AA$51))/X28)*X28)/('Modeling - Base Estimates'!X28*'Modeling - Base Estimates'!P28))</f>
        <v>-0.14130919114005169</v>
      </c>
      <c r="AD28" s="18">
        <f t="shared" si="22"/>
        <v>-0.21830919114005171</v>
      </c>
      <c r="AE28" s="18">
        <f>1-((((W28*P28*(1-'Modeling - Base Estimates'!$AE$51))/X28)*X28)/(SUMIFS('Modeling - Base Estimates'!X:X,'Modeling - Base Estimates'!A:A,A28)*'Modeling - Base Estimates'!Q28))</f>
        <v>0.13679436985524118</v>
      </c>
      <c r="AF28" s="18">
        <f t="shared" si="23"/>
        <v>5.9794369855241183E-2</v>
      </c>
      <c r="AG28" s="18">
        <f>$N28*(1-$N$2)+$O28*(1-$N$2-'Modeling - Base Estimates'!$AA$51)+$P28*(1-'Modeling - Base Estimates'!$AE$51)+$Q28*(1-$Q$2)+$R28*(1-$R$2)+$S28*(1-$S$2)+$T28*(1-$T$2)+$U28*(1-$U$2)+$V28*(1-$V$2)</f>
        <v>0.92934397876655195</v>
      </c>
      <c r="AH28" s="18" t="e">
        <f>$O28*(1-$N$2-#REF!)+$P28*(1-#REF!)+$Q28*(1-$Q$2)+$R28*(1-$R$2)+$S28*(1-$S$2)+$T28*(1-$T$2)+$U28*(1-$U$2)+$V28*(1-$V$2)</f>
        <v>#REF!</v>
      </c>
      <c r="AJ28" s="7">
        <f>(SUMIFS('Modeling - Base Estimates'!$X:$X,'Modeling - Base Estimates'!$A:$A,$A28)*SUMIFS('Modeling - Base Estimates'!O:O,'Modeling - Base Estimates'!$A:$A,$A28)*($N$2))</f>
        <v>2192190.5869756765</v>
      </c>
      <c r="AK28" s="7">
        <f>(SUMIFS('Modeling - Base Estimates'!$X:$X,'Modeling - Base Estimates'!$A:$A,$A28)*SUMIFS('Modeling - Base Estimates'!P:P,'Modeling - Base Estimates'!$A:$A,$A28)*($N$2))</f>
        <v>557883.99687176931</v>
      </c>
      <c r="AL28" s="7">
        <f>(SUMIFS('Modeling - Base Estimates'!$X:$X,'Modeling - Base Estimates'!$A:$A,$A28)*SUMIFS('Modeling - Base Estimates'!Q:Q,'Modeling - Base Estimates'!$A:$A,$A28)*($N$2))</f>
        <v>739835.7748711959</v>
      </c>
      <c r="AM28" s="7">
        <f>(SUMIFS('Modeling - Base Estimates'!$X:$X,'Modeling - Base Estimates'!$A:$A,$A28)*SUMIFS('Modeling - Base Estimates'!R:R,'Modeling - Base Estimates'!$A:$A,$A28)*($N$2))</f>
        <v>3806034.5109444726</v>
      </c>
      <c r="AN28" s="7">
        <f>(SUMIFS('Modeling - Base Estimates'!X:X,'Modeling - Base Estimates'!A:A,$A28)*$R28*($R$2))+(SUMIFS('Modeling - Base Estimates'!X:X,'Modeling - Base Estimates'!A:A,$A28)*$S28*($S$2))+(SUMIFS('Modeling - Base Estimates'!X:X,'Modeling - Base Estimates'!A:A,$A28)*$T28*($T$2))+(SUMIFS('Modeling - Base Estimates'!X:X,'Modeling - Base Estimates'!A:A,$A28)*$U28*($U$2))+(SUMIFS('Modeling - Base Estimates'!X:X,'Modeling - Base Estimates'!A:A,$A28)*$V28*($V$2))</f>
        <v>483011.00724119064</v>
      </c>
      <c r="AO28" s="7">
        <f>SUM(AJ28:AN28)-(SUMIFS('Modeling - Base Estimates'!X:X,'Modeling - Base Estimates'!A:A,A28)-SUMIFS('Modeling - Base Estimates'!Z:Z,'Modeling - Base Estimates'!A:A,A28))</f>
        <v>2.6077032089233398E-8</v>
      </c>
      <c r="AQ28" s="7">
        <f t="shared" si="5"/>
        <v>2037799.7818341176</v>
      </c>
      <c r="AR28" s="7">
        <f>(W28*$O28*($N$2+'Modeling - Base Estimates'!$AA$51))</f>
        <v>1963318.4242701593</v>
      </c>
      <c r="AS28" s="7">
        <f>(W28*P28*('Modeling - Base Estimates'!$AE$51))</f>
        <v>783904.88193325745</v>
      </c>
      <c r="AT28" s="7">
        <f t="shared" si="6"/>
        <v>3843958.5916949036</v>
      </c>
      <c r="AU28" s="7">
        <f t="shared" si="7"/>
        <v>487823.82446323324</v>
      </c>
      <c r="AV28" s="5">
        <f t="shared" si="12"/>
        <v>0</v>
      </c>
      <c r="AX28" s="7">
        <f>SUMIFS('Modeling - Base Estimates'!X:X,'Modeling - Base Estimates'!A:A,A28)</f>
        <v>127757831.91719976</v>
      </c>
      <c r="AY28" s="5">
        <f t="shared" si="13"/>
        <v>2192190.5869756765</v>
      </c>
      <c r="AZ28" s="5">
        <f t="shared" si="13"/>
        <v>557883.99687176931</v>
      </c>
      <c r="BA28" s="5">
        <f t="shared" si="13"/>
        <v>739835.7748711959</v>
      </c>
      <c r="BB28" s="5">
        <f t="shared" si="13"/>
        <v>3806034.5109444726</v>
      </c>
      <c r="BC28" s="5">
        <f t="shared" si="13"/>
        <v>483011.00724119064</v>
      </c>
      <c r="BD28" s="5">
        <f t="shared" si="14"/>
        <v>119978876.04029545</v>
      </c>
      <c r="BF28" s="5">
        <f t="shared" si="15"/>
        <v>129030836.226592</v>
      </c>
      <c r="BG28" s="5">
        <f t="shared" si="16"/>
        <v>2037799.7818341176</v>
      </c>
      <c r="BH28" s="5">
        <f t="shared" si="17"/>
        <v>240336.077317171</v>
      </c>
      <c r="BI28" s="5">
        <f t="shared" si="18"/>
        <v>1963318.4242701593</v>
      </c>
      <c r="BJ28" s="5">
        <f t="shared" si="18"/>
        <v>783904.88193325745</v>
      </c>
      <c r="BK28" s="5">
        <f t="shared" si="18"/>
        <v>3843958.5916949036</v>
      </c>
      <c r="BL28" s="5">
        <f t="shared" si="18"/>
        <v>487823.82446323324</v>
      </c>
      <c r="BM28" s="5">
        <f t="shared" si="19"/>
        <v>119673694.64507917</v>
      </c>
      <c r="BO28" s="5">
        <f t="shared" si="20"/>
        <v>-305181.39521628618</v>
      </c>
      <c r="BP28" s="1">
        <f t="shared" si="21"/>
        <v>-2.5436260555882322E-3</v>
      </c>
    </row>
    <row r="29" spans="1:68" x14ac:dyDescent="0.25">
      <c r="A29" s="1">
        <v>35</v>
      </c>
      <c r="B29" s="1">
        <v>210035</v>
      </c>
      <c r="C29" s="4">
        <v>196648597.90000001</v>
      </c>
      <c r="D29" s="4">
        <f>SUM('Modeling - Base Estimates'!E29:G29)-SUM('Scenario 3 - increase MA &amp; QP %'!E29:F29)</f>
        <v>67612101.034999982</v>
      </c>
      <c r="E29" s="4">
        <f>((SUM('Modeling - Base Estimates'!F29:G29)/SUM('Modeling - Base Estimates'!E29:G29)+$E$61))*SUM('Modeling - Base Estimates'!E29:G29)*('Modeling - Base Estimates'!F29/SUM('Modeling - Base Estimates'!F29:G29)+$E$73)</f>
        <v>15775381.327362619</v>
      </c>
      <c r="F29" s="4">
        <f>((SUM('Modeling - Base Estimates'!F29:G29)/SUM('Modeling - Base Estimates'!E29:G29)+$E$61))*SUM('Modeling - Base Estimates'!E29:G29)*('Modeling - Base Estimates'!G29/SUM('Modeling - Base Estimates'!F29:G29)-$E$73)</f>
        <v>13535328.937637378</v>
      </c>
      <c r="G29" s="4">
        <v>3006970.6999999997</v>
      </c>
      <c r="H29" s="4">
        <v>28195313.099999998</v>
      </c>
      <c r="I29" s="4">
        <v>9068738.0999999996</v>
      </c>
      <c r="J29" s="4">
        <v>17077362.300000001</v>
      </c>
      <c r="K29" s="4">
        <v>683678.1</v>
      </c>
      <c r="L29" s="4">
        <v>14059248.4</v>
      </c>
      <c r="M29" s="4">
        <f t="shared" si="0"/>
        <v>27634475.900000036</v>
      </c>
      <c r="N29" s="12">
        <f t="shared" si="1"/>
        <v>0.34382193291498664</v>
      </c>
      <c r="O29" s="12">
        <f t="shared" si="2"/>
        <v>8.022117368660181E-2</v>
      </c>
      <c r="P29" s="12">
        <f t="shared" si="2"/>
        <v>6.8830030227423136E-2</v>
      </c>
      <c r="Q29" s="12">
        <f t="shared" si="9"/>
        <v>0.15867025818240016</v>
      </c>
      <c r="R29" s="12">
        <f t="shared" si="10"/>
        <v>4.6116464581210215E-2</v>
      </c>
      <c r="S29" s="12">
        <f t="shared" si="10"/>
        <v>8.6842024211554264E-2</v>
      </c>
      <c r="T29" s="12">
        <f t="shared" si="10"/>
        <v>3.4766487394314646E-3</v>
      </c>
      <c r="U29" s="12">
        <f t="shared" si="10"/>
        <v>7.1494272271137305E-2</v>
      </c>
      <c r="V29" s="12">
        <f t="shared" si="11"/>
        <v>0.14052719518525505</v>
      </c>
      <c r="W29" s="4">
        <f>SUMIFS('Modeling - Base Estimates'!AK:AK,'Modeling - Base Estimates'!A:A,A29)</f>
        <v>114962338.97123627</v>
      </c>
      <c r="X29" s="4">
        <f>(W29*N29*(1-N$2))+(W29*O29*(1-'Modeling - Base Estimates'!$AA$51-N$2))+(W29*P29*(1-'Modeling - Base Estimates'!$AE$51))+(W29*Q29*(1-Q$2))+(W29*R29*(1-R$2))+(W29*S29*(1-S$2))+(W29*T29*(1-T$2))+(W29*U29*(1-U$2))+(W29*V29*(1-V$2))</f>
        <v>107411329.48511237</v>
      </c>
      <c r="Y29" s="5">
        <f>X29*N29*SUMIFS('Modeling - Base Estimates'!AN:AN,'Modeling - Base Estimates'!A:A,A29)</f>
        <v>417621.5437831509</v>
      </c>
      <c r="Z29" s="4">
        <f t="shared" si="4"/>
        <v>106993707.94132921</v>
      </c>
      <c r="AA29" s="4">
        <f>(((W29*N29*(1-N$2))/X29)*X29)-Y29-(((SUMIFS('Modeling - Base Estimates'!X:X,'Modeling - Base Estimates'!A:A,A29)*N29*(1-N$2))/SUMIFS('Modeling - Base Estimates'!Z:Z,'Modeling - Base Estimates'!A:A,A29))*SUMIFS('Modeling - Base Estimates'!Z:Z,'Modeling - Base Estimates'!A:A,A29))</f>
        <v>1315.3762257397175</v>
      </c>
      <c r="AB29" s="4"/>
      <c r="AC29" s="18">
        <f>1-((((W29*O29*(1-N$2-'Modeling - Base Estimates'!$AA$51))/X29)*X29)/('Modeling - Base Estimates'!X29*'Modeling - Base Estimates'!P29))</f>
        <v>-0.20296596562794944</v>
      </c>
      <c r="AD29" s="18">
        <f t="shared" si="22"/>
        <v>-0.27996596562794945</v>
      </c>
      <c r="AE29" s="18">
        <f>1-((((W29*P29*(1-'Modeling - Base Estimates'!$AE$51))/X29)*X29)/(SUMIFS('Modeling - Base Estimates'!X:X,'Modeling - Base Estimates'!A:A,A29)*'Modeling - Base Estimates'!Q29))</f>
        <v>8.9766619624177646E-2</v>
      </c>
      <c r="AF29" s="18">
        <f t="shared" si="23"/>
        <v>1.2766619624177647E-2</v>
      </c>
      <c r="AG29" s="18">
        <f>$N29*(1-$N$2)+$O29*(1-$N$2-'Modeling - Base Estimates'!$AA$51)+$P29*(1-'Modeling - Base Estimates'!$AE$51)+$Q29*(1-$Q$2)+$R29*(1-$R$2)+$S29*(1-$S$2)+$T29*(1-$T$2)+$U29*(1-$U$2)+$V29*(1-$V$2)</f>
        <v>0.93431753778067095</v>
      </c>
      <c r="AH29" s="18" t="e">
        <f>$O29*(1-$N$2-#REF!)+$P29*(1-#REF!)+$Q29*(1-$Q$2)+$R29*(1-$R$2)+$S29*(1-$S$2)+$T29*(1-$T$2)+$U29*(1-$U$2)+$V29*(1-$V$2)</f>
        <v>#REF!</v>
      </c>
      <c r="AJ29" s="7">
        <f>(SUMIFS('Modeling - Base Estimates'!$X:$X,'Modeling - Base Estimates'!$A:$A,$A29)*SUMIFS('Modeling - Base Estimates'!O:O,'Modeling - Base Estimates'!$A:$A,$A29)*($N$2))</f>
        <v>3224240.0416934858</v>
      </c>
      <c r="AK29" s="7">
        <f>(SUMIFS('Modeling - Base Estimates'!$X:$X,'Modeling - Base Estimates'!$A:$A,$A29)*SUMIFS('Modeling - Base Estimates'!P:P,'Modeling - Base Estimates'!$A:$A,$A29)*($N$2))</f>
        <v>477047.47848210885</v>
      </c>
      <c r="AL29" s="7">
        <f>(SUMIFS('Modeling - Base Estimates'!$X:$X,'Modeling - Base Estimates'!$A:$A,$A29)*SUMIFS('Modeling - Base Estimates'!Q:Q,'Modeling - Base Estimates'!$A:$A,$A29)*($N$2))</f>
        <v>611574.65045375517</v>
      </c>
      <c r="AM29" s="7">
        <f>(SUMIFS('Modeling - Base Estimates'!$X:$X,'Modeling - Base Estimates'!$A:$A,$A29)*SUMIFS('Modeling - Base Estimates'!R:R,'Modeling - Base Estimates'!$A:$A,$A29)*($N$2))</f>
        <v>1388436.2992910934</v>
      </c>
      <c r="AN29" s="7">
        <f>(SUMIFS('Modeling - Base Estimates'!X:X,'Modeling - Base Estimates'!A:A,$A29)*$R29*($R$2))+(SUMIFS('Modeling - Base Estimates'!X:X,'Modeling - Base Estimates'!A:A,$A29)*$S29*($S$2))+(SUMIFS('Modeling - Base Estimates'!X:X,'Modeling - Base Estimates'!A:A,$A29)*$T29*($T$2))+(SUMIFS('Modeling - Base Estimates'!X:X,'Modeling - Base Estimates'!A:A,$A29)*$U29*($U$2))+(SUMIFS('Modeling - Base Estimates'!X:X,'Modeling - Base Estimates'!A:A,$A29)*$V29*($V$2))</f>
        <v>642594.22556917812</v>
      </c>
      <c r="AO29" s="7">
        <f>SUM(AJ29:AN29)-(SUMIFS('Modeling - Base Estimates'!X:X,'Modeling - Base Estimates'!A:A,A29)-SUMIFS('Modeling - Base Estimates'!Z:Z,'Modeling - Base Estimates'!A:A,A29))</f>
        <v>0</v>
      </c>
      <c r="AQ29" s="7">
        <f t="shared" si="5"/>
        <v>3043546.1670089131</v>
      </c>
      <c r="AR29" s="7">
        <f>(W29*$O29*($N$2+'Modeling - Base Estimates'!$AA$51))</f>
        <v>1769532.1957618936</v>
      </c>
      <c r="AS29" s="7">
        <f>(W29*P29*('Modeling - Base Estimates'!$AE$51))</f>
        <v>683307.22179917688</v>
      </c>
      <c r="AT29" s="7">
        <f t="shared" si="6"/>
        <v>1404565.0084480369</v>
      </c>
      <c r="AU29" s="7">
        <f t="shared" si="7"/>
        <v>650058.89310590876</v>
      </c>
      <c r="AV29" s="5">
        <f t="shared" si="12"/>
        <v>2.6077032089233398E-8</v>
      </c>
      <c r="AX29" s="7">
        <f>SUMIFS('Modeling - Base Estimates'!X:X,'Modeling - Base Estimates'!A:A,A29)</f>
        <v>113642219.13476263</v>
      </c>
      <c r="AY29" s="5">
        <f t="shared" si="13"/>
        <v>3224240.0416934858</v>
      </c>
      <c r="AZ29" s="5">
        <f t="shared" si="13"/>
        <v>477047.47848210885</v>
      </c>
      <c r="BA29" s="5">
        <f t="shared" si="13"/>
        <v>611574.65045375517</v>
      </c>
      <c r="BB29" s="5">
        <f t="shared" si="13"/>
        <v>1388436.2992910934</v>
      </c>
      <c r="BC29" s="5">
        <f t="shared" si="13"/>
        <v>642594.22556917812</v>
      </c>
      <c r="BD29" s="5">
        <f t="shared" si="14"/>
        <v>107298326.43927301</v>
      </c>
      <c r="BF29" s="5">
        <f t="shared" si="15"/>
        <v>114962338.97123627</v>
      </c>
      <c r="BG29" s="5">
        <f t="shared" si="16"/>
        <v>3043546.1670089131</v>
      </c>
      <c r="BH29" s="5">
        <f t="shared" si="17"/>
        <v>417621.5437831509</v>
      </c>
      <c r="BI29" s="5">
        <f t="shared" si="18"/>
        <v>1769532.1957618936</v>
      </c>
      <c r="BJ29" s="5">
        <f t="shared" si="18"/>
        <v>683307.22179917688</v>
      </c>
      <c r="BK29" s="5">
        <f t="shared" si="18"/>
        <v>1404565.0084480369</v>
      </c>
      <c r="BL29" s="5">
        <f t="shared" si="18"/>
        <v>650058.89310590876</v>
      </c>
      <c r="BM29" s="5">
        <f t="shared" si="19"/>
        <v>106993707.9413292</v>
      </c>
      <c r="BO29" s="5">
        <f t="shared" si="20"/>
        <v>-304618.49794381857</v>
      </c>
      <c r="BP29" s="1">
        <f t="shared" si="21"/>
        <v>-2.8389864786588417E-3</v>
      </c>
    </row>
    <row r="30" spans="1:68" x14ac:dyDescent="0.25">
      <c r="A30" s="1">
        <v>37</v>
      </c>
      <c r="B30" s="1">
        <v>210037</v>
      </c>
      <c r="C30" s="4">
        <v>320559043.5</v>
      </c>
      <c r="D30" s="4">
        <f>SUM('Modeling - Base Estimates'!E30:G30)-SUM('Scenario 3 - increase MA &amp; QP %'!E30:F30)</f>
        <v>134641030.27000004</v>
      </c>
      <c r="E30" s="4">
        <f>((SUM('Modeling - Base Estimates'!F30:G30)/SUM('Modeling - Base Estimates'!E30:G30)+$E$61))*SUM('Modeling - Base Estimates'!E30:G30)*('Modeling - Base Estimates'!F30/SUM('Modeling - Base Estimates'!F30:G30)+$E$73)</f>
        <v>21827592.174434781</v>
      </c>
      <c r="F30" s="4">
        <f>((SUM('Modeling - Base Estimates'!F30:G30)/SUM('Modeling - Base Estimates'!E30:G30)+$E$61))*SUM('Modeling - Base Estimates'!E30:G30)*('Modeling - Base Estimates'!G30/SUM('Modeling - Base Estimates'!F30:G30)-$E$73)</f>
        <v>25408238.155565217</v>
      </c>
      <c r="G30" s="4">
        <v>4498246.3</v>
      </c>
      <c r="H30" s="4">
        <v>52359150.399999999</v>
      </c>
      <c r="I30" s="4">
        <v>12205881.1</v>
      </c>
      <c r="J30" s="4">
        <v>21575524.600000001</v>
      </c>
      <c r="K30" s="4">
        <v>1574144</v>
      </c>
      <c r="L30" s="4">
        <v>12623000</v>
      </c>
      <c r="M30" s="4">
        <f t="shared" si="0"/>
        <v>33846236.49999994</v>
      </c>
      <c r="N30" s="12">
        <f t="shared" si="1"/>
        <v>0.42001944103629707</v>
      </c>
      <c r="O30" s="12">
        <f t="shared" si="2"/>
        <v>6.8092267608836882E-2</v>
      </c>
      <c r="P30" s="12">
        <f t="shared" si="2"/>
        <v>7.926227217971224E-2</v>
      </c>
      <c r="Q30" s="12">
        <f t="shared" si="9"/>
        <v>0.17736949823410611</v>
      </c>
      <c r="R30" s="12">
        <f t="shared" si="10"/>
        <v>3.8076857750544167E-2</v>
      </c>
      <c r="S30" s="12">
        <f t="shared" si="10"/>
        <v>6.7305930178819001E-2</v>
      </c>
      <c r="T30" s="12">
        <f t="shared" si="10"/>
        <v>4.9106210912436788E-3</v>
      </c>
      <c r="U30" s="12">
        <f t="shared" si="10"/>
        <v>3.937808106168747E-2</v>
      </c>
      <c r="V30" s="12">
        <f t="shared" si="11"/>
        <v>0.1055850308587533</v>
      </c>
      <c r="W30" s="4">
        <f>SUMIFS('Modeling - Base Estimates'!AK:AK,'Modeling - Base Estimates'!A:A,A30)</f>
        <v>171358069.39203146</v>
      </c>
      <c r="X30" s="4">
        <f>(W30*N30*(1-N$2))+(W30*O30*(1-'Modeling - Base Estimates'!$AA$51-N$2))+(W30*P30*(1-'Modeling - Base Estimates'!$AE$51))+(W30*Q30*(1-Q$2))+(W30*R30*(1-R$2))+(W30*S30*(1-S$2))+(W30*T30*(1-T$2))+(W30*U30*(1-U$2))+(W30*V30*(1-V$2))</f>
        <v>159307931.56237888</v>
      </c>
      <c r="Y30" s="5">
        <f>X30*N30*SUMIFS('Modeling - Base Estimates'!AN:AN,'Modeling - Base Estimates'!A:A,A30)</f>
        <v>716435.19580678164</v>
      </c>
      <c r="Z30" s="4">
        <f t="shared" si="4"/>
        <v>158591496.36657211</v>
      </c>
      <c r="AA30" s="4">
        <f>(((W30*N30*(1-N$2))/X30)*X30)-Y30-(((SUMIFS('Modeling - Base Estimates'!X:X,'Modeling - Base Estimates'!A:A,A30)*N30*(1-N$2))/SUMIFS('Modeling - Base Estimates'!Z:Z,'Modeling - Base Estimates'!A:A,A30))*SUMIFS('Modeling - Base Estimates'!Z:Z,'Modeling - Base Estimates'!A:A,A30))</f>
        <v>2238.0150620266795</v>
      </c>
      <c r="AB30" s="4"/>
      <c r="AC30" s="18">
        <f>1-((((W30*O30*(1-N$2-'Modeling - Base Estimates'!$AA$51))/X30)*X30)/('Modeling - Base Estimates'!X30*'Modeling - Base Estimates'!P30))</f>
        <v>-0.29115879006175494</v>
      </c>
      <c r="AD30" s="18">
        <f t="shared" si="22"/>
        <v>-0.36815879006175495</v>
      </c>
      <c r="AE30" s="18">
        <f>1-((((W30*P30*(1-'Modeling - Base Estimates'!$AE$51))/X30)*X30)/(SUMIFS('Modeling - Base Estimates'!X:X,'Modeling - Base Estimates'!A:A,A30)*'Modeling - Base Estimates'!Q30))</f>
        <v>3.5462192827230288E-2</v>
      </c>
      <c r="AF30" s="18">
        <f t="shared" si="23"/>
        <v>-4.1537807172769711E-2</v>
      </c>
      <c r="AG30" s="18">
        <f>$N30*(1-$N$2)+$O30*(1-$N$2-'Modeling - Base Estimates'!$AA$51)+$P30*(1-'Modeling - Base Estimates'!$AE$51)+$Q30*(1-$Q$2)+$R30*(1-$R$2)+$S30*(1-$S$2)+$T30*(1-$T$2)+$U30*(1-$U$2)+$V30*(1-$V$2)</f>
        <v>0.92967860881949826</v>
      </c>
      <c r="AH30" s="18" t="e">
        <f>$O30*(1-$N$2-#REF!)+$P30*(1-#REF!)+$Q30*(1-$Q$2)+$R30*(1-$R$2)+$S30*(1-$S$2)+$T30*(1-$T$2)+$U30*(1-$U$2)+$V30*(1-$V$2)</f>
        <v>#REF!</v>
      </c>
      <c r="AJ30" s="7">
        <f>(SUMIFS('Modeling - Base Estimates'!$X:$X,'Modeling - Base Estimates'!$A:$A,$A30)*SUMIFS('Modeling - Base Estimates'!O:O,'Modeling - Base Estimates'!$A:$A,$A30)*($N$2))</f>
        <v>5852285.5854155663</v>
      </c>
      <c r="AK30" s="7">
        <f>(SUMIFS('Modeling - Base Estimates'!$X:$X,'Modeling - Base Estimates'!$A:$A,$A30)*SUMIFS('Modeling - Base Estimates'!P:P,'Modeling - Base Estimates'!$A:$A,$A30)*($N$2))</f>
        <v>562332.31814003666</v>
      </c>
      <c r="AL30" s="7">
        <f>(SUMIFS('Modeling - Base Estimates'!$X:$X,'Modeling - Base Estimates'!$A:$A,$A30)*SUMIFS('Modeling - Base Estimates'!Q:Q,'Modeling - Base Estimates'!$A:$A,$A30)*($N$2))</f>
        <v>990650.59651421499</v>
      </c>
      <c r="AM30" s="7">
        <f>(SUMIFS('Modeling - Base Estimates'!$X:$X,'Modeling - Base Estimates'!$A:$A,$A30)*SUMIFS('Modeling - Base Estimates'!R:R,'Modeling - Base Estimates'!$A:$A,$A30)*($N$2))</f>
        <v>2314996.4618340437</v>
      </c>
      <c r="AN30" s="7">
        <f>(SUMIFS('Modeling - Base Estimates'!X:X,'Modeling - Base Estimates'!A:A,$A30)*$R30*($R$2))+(SUMIFS('Modeling - Base Estimates'!X:X,'Modeling - Base Estimates'!A:A,$A30)*$S30*($S$2))+(SUMIFS('Modeling - Base Estimates'!X:X,'Modeling - Base Estimates'!A:A,$A30)*$T30*($T$2))+(SUMIFS('Modeling - Base Estimates'!X:X,'Modeling - Base Estimates'!A:A,$A30)*$U30*($U$2))+(SUMIFS('Modeling - Base Estimates'!X:X,'Modeling - Base Estimates'!A:A,$A30)*$V30*($V$2))</f>
        <v>747981.86684178014</v>
      </c>
      <c r="AO30" s="7">
        <f>SUM(AJ30:AN30)-(SUMIFS('Modeling - Base Estimates'!X:X,'Modeling - Base Estimates'!A:A,A30)-SUMIFS('Modeling - Base Estimates'!Z:Z,'Modeling - Base Estimates'!A:A,A30))</f>
        <v>0</v>
      </c>
      <c r="AQ30" s="7">
        <f t="shared" si="5"/>
        <v>5541976.4802787052</v>
      </c>
      <c r="AR30" s="7">
        <f>(W30*$O30*($N$2+'Modeling - Base Estimates'!$AA$51))</f>
        <v>2238804.7711925795</v>
      </c>
      <c r="AS30" s="7">
        <f>(W30*P30*('Modeling - Base Estimates'!$AE$51))</f>
        <v>1172879.8839228093</v>
      </c>
      <c r="AT30" s="7">
        <f t="shared" si="6"/>
        <v>2340314.4985550912</v>
      </c>
      <c r="AU30" s="7">
        <f t="shared" si="7"/>
        <v>756162.19570343837</v>
      </c>
      <c r="AV30" s="5">
        <f t="shared" si="12"/>
        <v>4.6566128730773926E-8</v>
      </c>
      <c r="AX30" s="7">
        <f>SUMIFS('Modeling - Base Estimates'!X:X,'Modeling - Base Estimates'!A:A,A30)</f>
        <v>169504280.12738612</v>
      </c>
      <c r="AY30" s="5">
        <f t="shared" si="13"/>
        <v>5852285.5854155663</v>
      </c>
      <c r="AZ30" s="5">
        <f t="shared" si="13"/>
        <v>562332.31814003666</v>
      </c>
      <c r="BA30" s="5">
        <f t="shared" si="13"/>
        <v>990650.59651421499</v>
      </c>
      <c r="BB30" s="5">
        <f t="shared" si="13"/>
        <v>2314996.4618340437</v>
      </c>
      <c r="BC30" s="5">
        <f t="shared" si="13"/>
        <v>747981.86684178014</v>
      </c>
      <c r="BD30" s="5">
        <f t="shared" si="14"/>
        <v>159036033.29864049</v>
      </c>
      <c r="BF30" s="5">
        <f t="shared" si="15"/>
        <v>171358069.39203146</v>
      </c>
      <c r="BG30" s="5">
        <f t="shared" si="16"/>
        <v>5541976.4802787052</v>
      </c>
      <c r="BH30" s="5">
        <f t="shared" si="17"/>
        <v>716435.19580678164</v>
      </c>
      <c r="BI30" s="5">
        <f t="shared" si="18"/>
        <v>2238804.7711925795</v>
      </c>
      <c r="BJ30" s="5">
        <f t="shared" si="18"/>
        <v>1172879.8839228093</v>
      </c>
      <c r="BK30" s="5">
        <f t="shared" si="18"/>
        <v>2340314.4985550912</v>
      </c>
      <c r="BL30" s="5">
        <f t="shared" si="18"/>
        <v>756162.19570343837</v>
      </c>
      <c r="BM30" s="5">
        <f t="shared" si="19"/>
        <v>158591496.36657205</v>
      </c>
      <c r="BO30" s="5">
        <f t="shared" si="20"/>
        <v>-444536.93206843734</v>
      </c>
      <c r="BP30" s="1">
        <f t="shared" si="21"/>
        <v>-2.7951963014172928E-3</v>
      </c>
    </row>
    <row r="31" spans="1:68" x14ac:dyDescent="0.25">
      <c r="A31" s="1">
        <v>38</v>
      </c>
      <c r="B31" s="1">
        <v>210038</v>
      </c>
      <c r="C31" s="4">
        <v>285799427.39999998</v>
      </c>
      <c r="D31" s="4">
        <f>SUM('Modeling - Base Estimates'!E31:G31)-SUM('Scenario 3 - increase MA &amp; QP %'!E31:F31)</f>
        <v>62709125.235000007</v>
      </c>
      <c r="E31" s="4">
        <f>((SUM('Modeling - Base Estimates'!F31:G31)/SUM('Modeling - Base Estimates'!E31:G31)+$E$61))*SUM('Modeling - Base Estimates'!E31:G31)*('Modeling - Base Estimates'!F31/SUM('Modeling - Base Estimates'!F31:G31)+$E$73)</f>
        <v>27834978.159249034</v>
      </c>
      <c r="F31" s="4">
        <f>((SUM('Modeling - Base Estimates'!F31:G31)/SUM('Modeling - Base Estimates'!E31:G31)+$E$61))*SUM('Modeling - Base Estimates'!E31:G31)*('Modeling - Base Estimates'!G31/SUM('Modeling - Base Estimates'!F31:G31)-$E$73)</f>
        <v>20848303.905750956</v>
      </c>
      <c r="G31" s="4">
        <v>13843662.1</v>
      </c>
      <c r="H31" s="4">
        <v>88311633.799999997</v>
      </c>
      <c r="I31" s="4">
        <v>7985594.1000000006</v>
      </c>
      <c r="J31" s="4">
        <v>19156676.800000001</v>
      </c>
      <c r="K31" s="4">
        <v>2123218.9</v>
      </c>
      <c r="L31" s="4">
        <v>11763000</v>
      </c>
      <c r="M31" s="4">
        <f t="shared" si="0"/>
        <v>31223234.399999976</v>
      </c>
      <c r="N31" s="12">
        <f t="shared" si="1"/>
        <v>0.21941655308928731</v>
      </c>
      <c r="O31" s="12">
        <f t="shared" si="2"/>
        <v>9.7393400723269033E-2</v>
      </c>
      <c r="P31" s="12">
        <f t="shared" si="2"/>
        <v>7.2947325666163867E-2</v>
      </c>
      <c r="Q31" s="12">
        <f t="shared" si="9"/>
        <v>0.35743702088326856</v>
      </c>
      <c r="R31" s="12">
        <f t="shared" si="10"/>
        <v>2.7941252971173731E-2</v>
      </c>
      <c r="S31" s="12">
        <f t="shared" si="10"/>
        <v>6.7028394613221687E-2</v>
      </c>
      <c r="T31" s="12">
        <f t="shared" si="10"/>
        <v>7.4290523228669001E-3</v>
      </c>
      <c r="U31" s="12">
        <f t="shared" si="10"/>
        <v>4.1158235014714384E-2</v>
      </c>
      <c r="V31" s="12">
        <f t="shared" si="11"/>
        <v>0.10924876471603448</v>
      </c>
      <c r="W31" s="4">
        <f>SUMIFS('Modeling - Base Estimates'!AK:AK,'Modeling - Base Estimates'!A:A,A31)</f>
        <v>156911448.54919684</v>
      </c>
      <c r="X31" s="4">
        <f>(W31*N31*(1-N$2))+(W31*O31*(1-'Modeling - Base Estimates'!$AA$51-N$2))+(W31*P31*(1-'Modeling - Base Estimates'!$AE$51))+(W31*Q31*(1-Q$2))+(W31*R31*(1-R$2))+(W31*S31*(1-S$2))+(W31*T31*(1-T$2))+(W31*U31*(1-U$2))+(W31*V31*(1-V$2))</f>
        <v>145345978.77119103</v>
      </c>
      <c r="Y31" s="5">
        <f>X31*N31*SUMIFS('Modeling - Base Estimates'!AN:AN,'Modeling - Base Estimates'!A:A,A31)</f>
        <v>394823.57704797207</v>
      </c>
      <c r="Z31" s="4">
        <f t="shared" si="4"/>
        <v>144951155.19414306</v>
      </c>
      <c r="AA31" s="4">
        <f>(((W31*N31*(1-N$2))/X31)*X31)-Y31-(((SUMIFS('Modeling - Base Estimates'!X:X,'Modeling - Base Estimates'!A:A,A31)*N31*(1-N$2))/SUMIFS('Modeling - Base Estimates'!Z:Z,'Modeling - Base Estimates'!A:A,A31))*SUMIFS('Modeling - Base Estimates'!Z:Z,'Modeling - Base Estimates'!A:A,A31))</f>
        <v>1257.3238666169345</v>
      </c>
      <c r="AB31" s="4"/>
      <c r="AC31" s="18">
        <f>1-((((W31*O31*(1-N$2-'Modeling - Base Estimates'!$AA$51))/X31)*X31)/('Modeling - Base Estimates'!X31*'Modeling - Base Estimates'!P31))</f>
        <v>-0.11991448851097264</v>
      </c>
      <c r="AD31" s="18">
        <f t="shared" si="22"/>
        <v>-0.19691448851097265</v>
      </c>
      <c r="AE31" s="18">
        <f>1-((((W31*P31*(1-'Modeling - Base Estimates'!$AE$51))/X31)*X31)/(SUMIFS('Modeling - Base Estimates'!X:X,'Modeling - Base Estimates'!A:A,A31)*'Modeling - Base Estimates'!Q31))</f>
        <v>0.153071774859175</v>
      </c>
      <c r="AF31" s="18">
        <f t="shared" si="23"/>
        <v>7.6071774859175004E-2</v>
      </c>
      <c r="AG31" s="18">
        <f>$N31*(1-$N$2)+$O31*(1-$N$2-'Modeling - Base Estimates'!$AA$51)+$P31*(1-'Modeling - Base Estimates'!$AE$51)+$Q31*(1-$Q$2)+$R31*(1-$R$2)+$S31*(1-$S$2)+$T31*(1-$T$2)+$U31*(1-$U$2)+$V31*(1-$V$2)</f>
        <v>0.92629301504166761</v>
      </c>
      <c r="AH31" s="18" t="e">
        <f>$O31*(1-$N$2-#REF!)+$P31*(1-#REF!)+$Q31*(1-$Q$2)+$R31*(1-$R$2)+$S31*(1-$S$2)+$T31*(1-$T$2)+$U31*(1-$U$2)+$V31*(1-$V$2)</f>
        <v>#REF!</v>
      </c>
      <c r="AJ31" s="7">
        <f>(SUMIFS('Modeling - Base Estimates'!$X:$X,'Modeling - Base Estimates'!$A:$A,$A31)*SUMIFS('Modeling - Base Estimates'!O:O,'Modeling - Base Estimates'!$A:$A,$A31)*($N$2))</f>
        <v>2850509.3077642908</v>
      </c>
      <c r="AK31" s="7">
        <f>(SUMIFS('Modeling - Base Estimates'!$X:$X,'Modeling - Base Estimates'!$A:$A,$A31)*SUMIFS('Modeling - Base Estimates'!P:P,'Modeling - Base Estimates'!$A:$A,$A31)*($N$2))</f>
        <v>849121.11622786988</v>
      </c>
      <c r="AL31" s="7">
        <f>(SUMIFS('Modeling - Base Estimates'!$X:$X,'Modeling - Base Estimates'!$A:$A,$A31)*SUMIFS('Modeling - Base Estimates'!Q:Q,'Modeling - Base Estimates'!$A:$A,$A31)*($N$2))</f>
        <v>950793.23321868503</v>
      </c>
      <c r="AM31" s="7">
        <f>(SUMIFS('Modeling - Base Estimates'!$X:$X,'Modeling - Base Estimates'!$A:$A,$A31)*SUMIFS('Modeling - Base Estimates'!R:R,'Modeling - Base Estimates'!$A:$A,$A31)*($N$2))</f>
        <v>4264791.6162121948</v>
      </c>
      <c r="AN31" s="7">
        <f>(SUMIFS('Modeling - Base Estimates'!X:X,'Modeling - Base Estimates'!A:A,$A31)*$R31*($R$2))+(SUMIFS('Modeling - Base Estimates'!X:X,'Modeling - Base Estimates'!A:A,$A31)*$S31*($S$2))+(SUMIFS('Modeling - Base Estimates'!X:X,'Modeling - Base Estimates'!A:A,$A31)*$T31*($T$2))+(SUMIFS('Modeling - Base Estimates'!X:X,'Modeling - Base Estimates'!A:A,$A31)*$U31*($U$2))+(SUMIFS('Modeling - Base Estimates'!X:X,'Modeling - Base Estimates'!A:A,$A31)*$V31*($V$2))</f>
        <v>666743.7656808804</v>
      </c>
      <c r="AO31" s="7">
        <f>SUM(AJ31:AN31)-(SUMIFS('Modeling - Base Estimates'!X:X,'Modeling - Base Estimates'!A:A,A31)-SUMIFS('Modeling - Base Estimates'!Z:Z,'Modeling - Base Estimates'!A:A,A31))</f>
        <v>-3.3527612686157227E-8</v>
      </c>
      <c r="AQ31" s="7">
        <f t="shared" si="5"/>
        <v>2651030.6269302103</v>
      </c>
      <c r="AR31" s="7">
        <f>(W31*$O31*($N$2+'Modeling - Base Estimates'!$AA$51))</f>
        <v>2932229.9689036431</v>
      </c>
      <c r="AS31" s="7">
        <f>(W31*P31*('Modeling - Base Estimates'!$AE$51))</f>
        <v>988431.24604430492</v>
      </c>
      <c r="AT31" s="7">
        <f t="shared" si="6"/>
        <v>4318618.9748165458</v>
      </c>
      <c r="AU31" s="7">
        <f t="shared" si="7"/>
        <v>675158.961311094</v>
      </c>
      <c r="AV31" s="5">
        <f t="shared" si="12"/>
        <v>0</v>
      </c>
      <c r="AX31" s="7">
        <f>SUMIFS('Modeling - Base Estimates'!X:X,'Modeling - Base Estimates'!A:A,A31)</f>
        <v>154955700.92259717</v>
      </c>
      <c r="AY31" s="5">
        <f t="shared" si="13"/>
        <v>2850509.3077642908</v>
      </c>
      <c r="AZ31" s="5">
        <f t="shared" si="13"/>
        <v>849121.11622786988</v>
      </c>
      <c r="BA31" s="5">
        <f t="shared" si="13"/>
        <v>950793.23321868503</v>
      </c>
      <c r="BB31" s="5">
        <f t="shared" si="13"/>
        <v>4264791.6162121948</v>
      </c>
      <c r="BC31" s="5">
        <f t="shared" si="13"/>
        <v>666743.7656808804</v>
      </c>
      <c r="BD31" s="5">
        <f t="shared" si="14"/>
        <v>145373741.88349324</v>
      </c>
      <c r="BF31" s="5">
        <f t="shared" si="15"/>
        <v>156911448.54919684</v>
      </c>
      <c r="BG31" s="5">
        <f t="shared" si="16"/>
        <v>2651030.6269302103</v>
      </c>
      <c r="BH31" s="5">
        <f t="shared" si="17"/>
        <v>394823.57704797207</v>
      </c>
      <c r="BI31" s="5">
        <f t="shared" si="18"/>
        <v>2932229.9689036431</v>
      </c>
      <c r="BJ31" s="5">
        <f t="shared" si="18"/>
        <v>988431.24604430492</v>
      </c>
      <c r="BK31" s="5">
        <f t="shared" si="18"/>
        <v>4318618.9748165458</v>
      </c>
      <c r="BL31" s="5">
        <f t="shared" si="18"/>
        <v>675158.961311094</v>
      </c>
      <c r="BM31" s="5">
        <f t="shared" si="19"/>
        <v>144951155.19414306</v>
      </c>
      <c r="BO31" s="5">
        <f t="shared" si="20"/>
        <v>-422586.68935018778</v>
      </c>
      <c r="BP31" s="1">
        <f t="shared" si="21"/>
        <v>-2.9068983426791136E-3</v>
      </c>
    </row>
    <row r="32" spans="1:68" x14ac:dyDescent="0.25">
      <c r="A32" s="1">
        <v>39</v>
      </c>
      <c r="B32" s="1">
        <v>210039</v>
      </c>
      <c r="C32" s="4">
        <v>197883196</v>
      </c>
      <c r="D32" s="4">
        <f>SUM('Modeling - Base Estimates'!E32:G32)-SUM('Scenario 3 - increase MA &amp; QP %'!E32:F32)</f>
        <v>72734334.589999989</v>
      </c>
      <c r="E32" s="4">
        <f>((SUM('Modeling - Base Estimates'!F32:G32)/SUM('Modeling - Base Estimates'!E32:G32)+$E$61))*SUM('Modeling - Base Estimates'!E32:G32)*('Modeling - Base Estimates'!F32/SUM('Modeling - Base Estimates'!F32:G32)+$E$73)</f>
        <v>10103260.192628723</v>
      </c>
      <c r="F32" s="4">
        <f>((SUM('Modeling - Base Estimates'!F32:G32)/SUM('Modeling - Base Estimates'!E32:G32)+$E$61))*SUM('Modeling - Base Estimates'!E32:G32)*('Modeling - Base Estimates'!G32/SUM('Modeling - Base Estimates'!F32:G32)-$E$73)</f>
        <v>12572183.417371277</v>
      </c>
      <c r="G32" s="4">
        <v>4620170.6000000006</v>
      </c>
      <c r="H32" s="4">
        <v>21027433.5</v>
      </c>
      <c r="I32" s="4">
        <v>10527193</v>
      </c>
      <c r="J32" s="4">
        <v>21988651</v>
      </c>
      <c r="K32" s="4">
        <v>802847.8</v>
      </c>
      <c r="L32" s="4">
        <v>4752502.9000000004</v>
      </c>
      <c r="M32" s="4">
        <f t="shared" si="0"/>
        <v>38754619</v>
      </c>
      <c r="N32" s="12">
        <f t="shared" si="1"/>
        <v>0.36756195604400888</v>
      </c>
      <c r="O32" s="12">
        <f t="shared" si="2"/>
        <v>5.1056685948354719E-2</v>
      </c>
      <c r="P32" s="12">
        <f t="shared" si="2"/>
        <v>6.3533355390981636E-2</v>
      </c>
      <c r="Q32" s="12">
        <f t="shared" si="9"/>
        <v>0.12960981335676428</v>
      </c>
      <c r="R32" s="12">
        <f t="shared" si="10"/>
        <v>5.3199024539708768E-2</v>
      </c>
      <c r="S32" s="12">
        <f t="shared" si="10"/>
        <v>0.11111934436312622</v>
      </c>
      <c r="T32" s="12">
        <f t="shared" si="10"/>
        <v>4.0571802771974634E-3</v>
      </c>
      <c r="U32" s="12">
        <f t="shared" si="10"/>
        <v>2.4016707815857189E-2</v>
      </c>
      <c r="V32" s="12">
        <f t="shared" si="11"/>
        <v>0.19584593226400082</v>
      </c>
      <c r="W32" s="4">
        <f>SUMIFS('Modeling - Base Estimates'!AK:AK,'Modeling - Base Estimates'!A:A,A32)</f>
        <v>105543825.80119239</v>
      </c>
      <c r="X32" s="4">
        <f>(W32*N32*(1-N$2))+(W32*O32*(1-'Modeling - Base Estimates'!$AA$51-N$2))+(W32*P32*(1-'Modeling - Base Estimates'!$AE$51))+(W32*Q32*(1-Q$2))+(W32*R32*(1-R$2))+(W32*S32*(1-S$2))+(W32*T32*(1-T$2))+(W32*U32*(1-U$2))+(W32*V32*(1-V$2))</f>
        <v>99107508.69956851</v>
      </c>
      <c r="Y32" s="5">
        <f>X32*N32*SUMIFS('Modeling - Base Estimates'!AN:AN,'Modeling - Base Estimates'!A:A,A32)</f>
        <v>254141.13774967249</v>
      </c>
      <c r="Z32" s="4">
        <f t="shared" si="4"/>
        <v>98853367.561818838</v>
      </c>
      <c r="AA32" s="4">
        <f>(((W32*N32*(1-N$2))/X32)*X32)-Y32-(((SUMIFS('Modeling - Base Estimates'!X:X,'Modeling - Base Estimates'!A:A,A32)*N32*(1-N$2))/SUMIFS('Modeling - Base Estimates'!Z:Z,'Modeling - Base Estimates'!A:A,A32))*SUMIFS('Modeling - Base Estimates'!Z:Z,'Modeling - Base Estimates'!A:A,A32))</f>
        <v>626.18848861753941</v>
      </c>
      <c r="AB32" s="4"/>
      <c r="AC32" s="18">
        <f>1-((((W32*O32*(1-N$2-'Modeling - Base Estimates'!$AA$51))/X32)*X32)/('Modeling - Base Estimates'!X32*'Modeling - Base Estimates'!P32))</f>
        <v>-0.32906468935930899</v>
      </c>
      <c r="AD32" s="18">
        <f t="shared" si="22"/>
        <v>-0.40606468935930901</v>
      </c>
      <c r="AE32" s="18">
        <f>1-((((W32*P32*(1-'Modeling - Base Estimates'!$AE$51))/X32)*X32)/(SUMIFS('Modeling - Base Estimates'!X:X,'Modeling - Base Estimates'!A:A,A32)*'Modeling - Base Estimates'!Q32))</f>
        <v>1.2706281312093282E-2</v>
      </c>
      <c r="AF32" s="18">
        <f t="shared" si="23"/>
        <v>-6.4293718687906717E-2</v>
      </c>
      <c r="AG32" s="18">
        <f>$N32*(1-$N$2)+$O32*(1-$N$2-'Modeling - Base Estimates'!$AA$51)+$P32*(1-'Modeling - Base Estimates'!$AE$51)+$Q32*(1-$Q$2)+$R32*(1-$R$2)+$S32*(1-$S$2)+$T32*(1-$T$2)+$U32*(1-$U$2)+$V32*(1-$V$2)</f>
        <v>0.93901758769150911</v>
      </c>
      <c r="AH32" s="18" t="e">
        <f>$O32*(1-$N$2-#REF!)+$P32*(1-#REF!)+$Q32*(1-$Q$2)+$R32*(1-$R$2)+$S32*(1-$S$2)+$T32*(1-$T$2)+$U32*(1-$U$2)+$V32*(1-$V$2)</f>
        <v>#REF!</v>
      </c>
      <c r="AJ32" s="7">
        <f>(SUMIFS('Modeling - Base Estimates'!$X:$X,'Modeling - Base Estimates'!$A:$A,$A32)*SUMIFS('Modeling - Base Estimates'!O:O,'Modeling - Base Estimates'!$A:$A,$A32)*($N$2))</f>
        <v>3160401.7692510365</v>
      </c>
      <c r="AK32" s="7">
        <f>(SUMIFS('Modeling - Base Estimates'!$X:$X,'Modeling - Base Estimates'!$A:$A,$A32)*SUMIFS('Modeling - Base Estimates'!P:P,'Modeling - Base Estimates'!$A:$A,$A32)*($N$2))</f>
        <v>252295.60008420373</v>
      </c>
      <c r="AL32" s="7">
        <f>(SUMIFS('Modeling - Base Estimates'!$X:$X,'Modeling - Base Estimates'!$A:$A,$A32)*SUMIFS('Modeling - Base Estimates'!Q:Q,'Modeling - Base Estimates'!$A:$A,$A32)*($N$2))</f>
        <v>477811.86880435719</v>
      </c>
      <c r="AM32" s="7">
        <f>(SUMIFS('Modeling - Base Estimates'!$X:$X,'Modeling - Base Estimates'!$A:$A,$A32)*SUMIFS('Modeling - Base Estimates'!R:R,'Modeling - Base Estimates'!$A:$A,$A32)*($N$2))</f>
        <v>1045828.2428665895</v>
      </c>
      <c r="AN32" s="7">
        <f>(SUMIFS('Modeling - Base Estimates'!X:X,'Modeling - Base Estimates'!A:A,$A32)*$R32*($R$2))+(SUMIFS('Modeling - Base Estimates'!X:X,'Modeling - Base Estimates'!A:A,$A32)*$S32*($S$2))+(SUMIFS('Modeling - Base Estimates'!X:X,'Modeling - Base Estimates'!A:A,$A32)*$T32*($T$2))+(SUMIFS('Modeling - Base Estimates'!X:X,'Modeling - Base Estimates'!A:A,$A32)*$U32*($U$2))+(SUMIFS('Modeling - Base Estimates'!X:X,'Modeling - Base Estimates'!A:A,$A32)*$V32*($V$2))</f>
        <v>777293.52050612657</v>
      </c>
      <c r="AO32" s="7">
        <f>SUM(AJ32:AN32)-(SUMIFS('Modeling - Base Estimates'!X:X,'Modeling - Base Estimates'!A:A,A32)-SUMIFS('Modeling - Base Estimates'!Z:Z,'Modeling - Base Estimates'!A:A,A32))</f>
        <v>9.3132257461547852E-9</v>
      </c>
      <c r="AQ32" s="7">
        <f t="shared" si="5"/>
        <v>2987129.919608789</v>
      </c>
      <c r="AR32" s="7">
        <f>(W32*$O32*($N$2+'Modeling - Base Estimates'!$AA$51))</f>
        <v>1033949.4826202126</v>
      </c>
      <c r="AS32" s="7">
        <f>(W32*P32*('Modeling - Base Estimates'!$AE$51))</f>
        <v>579051.35778124572</v>
      </c>
      <c r="AT32" s="7">
        <f t="shared" si="6"/>
        <v>1053322.6983549569</v>
      </c>
      <c r="AU32" s="7">
        <f t="shared" si="7"/>
        <v>782863.64325865638</v>
      </c>
      <c r="AV32" s="5">
        <f t="shared" si="12"/>
        <v>-1.7695128917694092E-8</v>
      </c>
      <c r="AX32" s="7">
        <f>SUMIFS('Modeling - Base Estimates'!X:X,'Modeling - Base Estimates'!A:A,A32)</f>
        <v>104792875.01870723</v>
      </c>
      <c r="AY32" s="5">
        <f t="shared" si="13"/>
        <v>3160401.7692510365</v>
      </c>
      <c r="AZ32" s="5">
        <f t="shared" si="13"/>
        <v>252295.60008420373</v>
      </c>
      <c r="BA32" s="5">
        <f t="shared" si="13"/>
        <v>477811.86880435719</v>
      </c>
      <c r="BB32" s="5">
        <f t="shared" si="13"/>
        <v>1045828.2428665895</v>
      </c>
      <c r="BC32" s="5">
        <f t="shared" si="13"/>
        <v>777293.52050612657</v>
      </c>
      <c r="BD32" s="5">
        <f t="shared" si="14"/>
        <v>99079244.017194912</v>
      </c>
      <c r="BF32" s="5">
        <f t="shared" si="15"/>
        <v>105543825.80119239</v>
      </c>
      <c r="BG32" s="5">
        <f t="shared" si="16"/>
        <v>2987129.919608789</v>
      </c>
      <c r="BH32" s="5">
        <f t="shared" si="17"/>
        <v>254141.13774967249</v>
      </c>
      <c r="BI32" s="5">
        <f t="shared" si="18"/>
        <v>1033949.4826202126</v>
      </c>
      <c r="BJ32" s="5">
        <f t="shared" si="18"/>
        <v>579051.35778124572</v>
      </c>
      <c r="BK32" s="5">
        <f t="shared" si="18"/>
        <v>1053322.6983549569</v>
      </c>
      <c r="BL32" s="5">
        <f t="shared" si="18"/>
        <v>782863.64325865638</v>
      </c>
      <c r="BM32" s="5">
        <f t="shared" si="19"/>
        <v>98853367.561818853</v>
      </c>
      <c r="BO32" s="5">
        <f t="shared" si="20"/>
        <v>-225876.45537605882</v>
      </c>
      <c r="BP32" s="1">
        <f t="shared" si="21"/>
        <v>-2.2797555392818562E-3</v>
      </c>
    </row>
    <row r="33" spans="1:68" x14ac:dyDescent="0.25">
      <c r="A33" s="1">
        <v>40</v>
      </c>
      <c r="B33" s="1">
        <v>210040</v>
      </c>
      <c r="C33" s="4">
        <v>322316790.09999996</v>
      </c>
      <c r="D33" s="4">
        <f>SUM('Modeling - Base Estimates'!E33:G33)-SUM('Scenario 3 - increase MA &amp; QP %'!E33:F33)</f>
        <v>110029585.57000001</v>
      </c>
      <c r="E33" s="4">
        <f>((SUM('Modeling - Base Estimates'!F33:G33)/SUM('Modeling - Base Estimates'!E33:G33)+$E$61))*SUM('Modeling - Base Estimates'!E33:G33)*('Modeling - Base Estimates'!F33/SUM('Modeling - Base Estimates'!F33:G33)+$E$73)</f>
        <v>33565907.632011473</v>
      </c>
      <c r="F33" s="4">
        <f>((SUM('Modeling - Base Estimates'!F33:G33)/SUM('Modeling - Base Estimates'!E33:G33)+$E$61))*SUM('Modeling - Base Estimates'!E33:G33)*('Modeling - Base Estimates'!G33/SUM('Modeling - Base Estimates'!F33:G33)-$E$73)</f>
        <v>28428165.397988513</v>
      </c>
      <c r="G33" s="4">
        <v>12438049.6</v>
      </c>
      <c r="H33" s="4">
        <v>52220886.200000003</v>
      </c>
      <c r="I33" s="4">
        <v>7924276</v>
      </c>
      <c r="J33" s="4">
        <v>18569972.099999998</v>
      </c>
      <c r="K33" s="4">
        <v>0</v>
      </c>
      <c r="L33" s="4">
        <v>14047800</v>
      </c>
      <c r="M33" s="4">
        <f t="shared" si="0"/>
        <v>45092147.599999964</v>
      </c>
      <c r="N33" s="12">
        <f t="shared" si="1"/>
        <v>0.34137093986280681</v>
      </c>
      <c r="O33" s="12">
        <f t="shared" si="2"/>
        <v>0.10413949463072503</v>
      </c>
      <c r="P33" s="12">
        <f t="shared" si="2"/>
        <v>8.819945553928038E-2</v>
      </c>
      <c r="Q33" s="12">
        <f t="shared" si="9"/>
        <v>0.20060678744020544</v>
      </c>
      <c r="R33" s="12">
        <f t="shared" si="10"/>
        <v>2.4585365216442695E-2</v>
      </c>
      <c r="S33" s="12">
        <f t="shared" si="10"/>
        <v>5.7614038952915225E-2</v>
      </c>
      <c r="T33" s="12">
        <f t="shared" si="10"/>
        <v>0</v>
      </c>
      <c r="U33" s="12">
        <f t="shared" si="10"/>
        <v>4.3583829423349679E-2</v>
      </c>
      <c r="V33" s="12">
        <f t="shared" si="11"/>
        <v>0.13990008893427475</v>
      </c>
      <c r="W33" s="4">
        <f>SUMIFS('Modeling - Base Estimates'!AK:AK,'Modeling - Base Estimates'!A:A,A33)</f>
        <v>177715610.87865826</v>
      </c>
      <c r="X33" s="4">
        <f>(W33*N33*(1-N$2))+(W33*O33*(1-'Modeling - Base Estimates'!$AA$51-N$2))+(W33*P33*(1-'Modeling - Base Estimates'!$AE$51))+(W33*Q33*(1-Q$2))+(W33*R33*(1-R$2))+(W33*S33*(1-S$2))+(W33*T33*(1-T$2))+(W33*U33*(1-U$2))+(W33*V33*(1-V$2))</f>
        <v>164594214.87761167</v>
      </c>
      <c r="Y33" s="5">
        <f>X33*N33*SUMIFS('Modeling - Base Estimates'!AN:AN,'Modeling - Base Estimates'!A:A,A33)</f>
        <v>865244.26257308887</v>
      </c>
      <c r="Z33" s="4">
        <f t="shared" si="4"/>
        <v>163728970.61503857</v>
      </c>
      <c r="AA33" s="4">
        <f>(((W33*N33*(1-N$2))/X33)*X33)-Y33-(((SUMIFS('Modeling - Base Estimates'!X:X,'Modeling - Base Estimates'!A:A,A33)*N33*(1-N$2))/SUMIFS('Modeling - Base Estimates'!Z:Z,'Modeling - Base Estimates'!A:A,A33))*SUMIFS('Modeling - Base Estimates'!Z:Z,'Modeling - Base Estimates'!A:A,A33))</f>
        <v>3290.4847455695271</v>
      </c>
      <c r="AB33" s="4"/>
      <c r="AC33" s="18">
        <f>1-((((W33*O33*(1-N$2-'Modeling - Base Estimates'!$AA$51))/X33)*X33)/('Modeling - Base Estimates'!X33*'Modeling - Base Estimates'!P33))</f>
        <v>-0.16900002753602328</v>
      </c>
      <c r="AD33" s="18">
        <f t="shared" si="22"/>
        <v>-0.24600002753602329</v>
      </c>
      <c r="AE33" s="18">
        <f>1-((((W33*P33*(1-'Modeling - Base Estimates'!$AE$51))/X33)*X33)/(SUMIFS('Modeling - Base Estimates'!X:X,'Modeling - Base Estimates'!A:A,A33)*'Modeling - Base Estimates'!Q33))</f>
        <v>0.11537234324257684</v>
      </c>
      <c r="AF33" s="18">
        <f t="shared" si="23"/>
        <v>3.8372343242576837E-2</v>
      </c>
      <c r="AG33" s="18">
        <f>$N33*(1-$N$2)+$O33*(1-$N$2-'Modeling - Base Estimates'!$AA$51)+$P33*(1-'Modeling - Base Estimates'!$AE$51)+$Q33*(1-$Q$2)+$R33*(1-$R$2)+$S33*(1-$S$2)+$T33*(1-$T$2)+$U33*(1-$U$2)+$V33*(1-$V$2)</f>
        <v>0.92616632868563409</v>
      </c>
      <c r="AH33" s="18" t="e">
        <f>$O33*(1-$N$2-#REF!)+$P33*(1-#REF!)+$Q33*(1-$Q$2)+$R33*(1-$R$2)+$S33*(1-$S$2)+$T33*(1-$T$2)+$U33*(1-$U$2)+$V33*(1-$V$2)</f>
        <v>#REF!</v>
      </c>
      <c r="AJ33" s="7">
        <f>(SUMIFS('Modeling - Base Estimates'!$X:$X,'Modeling - Base Estimates'!$A:$A,$A33)*SUMIFS('Modeling - Base Estimates'!O:O,'Modeling - Base Estimates'!$A:$A,$A33)*($N$2))</f>
        <v>4958401.4699586695</v>
      </c>
      <c r="AK33" s="7">
        <f>(SUMIFS('Modeling - Base Estimates'!$X:$X,'Modeling - Base Estimates'!$A:$A,$A33)*SUMIFS('Modeling - Base Estimates'!P:P,'Modeling - Base Estimates'!$A:$A,$A33)*($N$2))</f>
        <v>985137.53227108147</v>
      </c>
      <c r="AL33" s="7">
        <f>(SUMIFS('Modeling - Base Estimates'!$X:$X,'Modeling - Base Estimates'!$A:$A,$A33)*SUMIFS('Modeling - Base Estimates'!Q:Q,'Modeling - Base Estimates'!$A:$A,$A33)*($N$2))</f>
        <v>1246521.1521045633</v>
      </c>
      <c r="AM33" s="7">
        <f>(SUMIFS('Modeling - Base Estimates'!$X:$X,'Modeling - Base Estimates'!$A:$A,$A33)*SUMIFS('Modeling - Base Estimates'!R:R,'Modeling - Base Estimates'!$A:$A,$A33)*($N$2))</f>
        <v>2702544.7644864852</v>
      </c>
      <c r="AN33" s="7">
        <f>(SUMIFS('Modeling - Base Estimates'!X:X,'Modeling - Base Estimates'!A:A,$A33)*$R33*($R$2))+(SUMIFS('Modeling - Base Estimates'!X:X,'Modeling - Base Estimates'!A:A,$A33)*$S33*($S$2))+(SUMIFS('Modeling - Base Estimates'!X:X,'Modeling - Base Estimates'!A:A,$A33)*$T33*($T$2))+(SUMIFS('Modeling - Base Estimates'!X:X,'Modeling - Base Estimates'!A:A,$A33)*$U33*($U$2))+(SUMIFS('Modeling - Base Estimates'!X:X,'Modeling - Base Estimates'!A:A,$A33)*$V33*($V$2))</f>
        <v>787920.15368029778</v>
      </c>
      <c r="AO33" s="7">
        <f>SUM(AJ33:AN33)-(SUMIFS('Modeling - Base Estimates'!X:X,'Modeling - Base Estimates'!A:A,A33)-SUMIFS('Modeling - Base Estimates'!Z:Z,'Modeling - Base Estimates'!A:A,A33))</f>
        <v>0</v>
      </c>
      <c r="AQ33" s="7">
        <f t="shared" si="5"/>
        <v>4671354.7737734122</v>
      </c>
      <c r="AR33" s="7">
        <f>(W33*$O33*($N$2+'Modeling - Base Estimates'!$AA$51))</f>
        <v>3551034.6535737365</v>
      </c>
      <c r="AS33" s="7">
        <f>(W33*P33*('Modeling - Base Estimates'!$AE$51))</f>
        <v>1353548.8750708275</v>
      </c>
      <c r="AT33" s="7">
        <f t="shared" si="6"/>
        <v>2745123.7487782771</v>
      </c>
      <c r="AU33" s="7">
        <f t="shared" si="7"/>
        <v>800333.94985033618</v>
      </c>
      <c r="AV33" s="5">
        <f t="shared" si="12"/>
        <v>0</v>
      </c>
      <c r="AX33" s="7">
        <f>SUMIFS('Modeling - Base Estimates'!X:X,'Modeling - Base Estimates'!A:A,A33)</f>
        <v>174959104.83503228</v>
      </c>
      <c r="AY33" s="5">
        <f t="shared" si="13"/>
        <v>4958401.4699586695</v>
      </c>
      <c r="AZ33" s="5">
        <f t="shared" si="13"/>
        <v>985137.53227108147</v>
      </c>
      <c r="BA33" s="5">
        <f t="shared" si="13"/>
        <v>1246521.1521045633</v>
      </c>
      <c r="BB33" s="5">
        <f t="shared" si="13"/>
        <v>2702544.7644864852</v>
      </c>
      <c r="BC33" s="5">
        <f t="shared" si="13"/>
        <v>787920.15368029778</v>
      </c>
      <c r="BD33" s="5">
        <f t="shared" si="14"/>
        <v>164278579.76253119</v>
      </c>
      <c r="BF33" s="5">
        <f t="shared" si="15"/>
        <v>177715610.87865826</v>
      </c>
      <c r="BG33" s="5">
        <f t="shared" si="16"/>
        <v>4671354.7737734122</v>
      </c>
      <c r="BH33" s="5">
        <f t="shared" si="17"/>
        <v>865244.26257308887</v>
      </c>
      <c r="BI33" s="5">
        <f t="shared" si="18"/>
        <v>3551034.6535737365</v>
      </c>
      <c r="BJ33" s="5">
        <f t="shared" si="18"/>
        <v>1353548.8750708275</v>
      </c>
      <c r="BK33" s="5">
        <f t="shared" si="18"/>
        <v>2745123.7487782771</v>
      </c>
      <c r="BL33" s="5">
        <f t="shared" si="18"/>
        <v>800333.94985033618</v>
      </c>
      <c r="BM33" s="5">
        <f t="shared" si="19"/>
        <v>163728970.61503857</v>
      </c>
      <c r="BO33" s="5">
        <f t="shared" si="20"/>
        <v>-549609.14749261737</v>
      </c>
      <c r="BP33" s="1">
        <f t="shared" si="21"/>
        <v>-3.3455922755546777E-3</v>
      </c>
    </row>
    <row r="34" spans="1:68" x14ac:dyDescent="0.25">
      <c r="A34" s="1">
        <v>43</v>
      </c>
      <c r="B34" s="1">
        <v>210043</v>
      </c>
      <c r="C34" s="4">
        <v>554612092.60000002</v>
      </c>
      <c r="D34" s="4">
        <f>SUM('Modeling - Base Estimates'!E34:G34)-SUM('Scenario 3 - increase MA &amp; QP %'!E34:F34)</f>
        <v>168958562.13499999</v>
      </c>
      <c r="E34" s="4">
        <f>((SUM('Modeling - Base Estimates'!F34:G34)/SUM('Modeling - Base Estimates'!E34:G34)+$E$61))*SUM('Modeling - Base Estimates'!E34:G34)*('Modeling - Base Estimates'!F34/SUM('Modeling - Base Estimates'!F34:G34)+$E$73)</f>
        <v>59461992.357943729</v>
      </c>
      <c r="F34" s="4">
        <f>((SUM('Modeling - Base Estimates'!F34:G34)/SUM('Modeling - Base Estimates'!E34:G34)+$E$61))*SUM('Modeling - Base Estimates'!E34:G34)*('Modeling - Base Estimates'!G34/SUM('Modeling - Base Estimates'!F34:G34)-$E$73)</f>
        <v>37560736.807056278</v>
      </c>
      <c r="G34" s="4">
        <v>18505678.899999999</v>
      </c>
      <c r="H34" s="4">
        <v>85056373.900000006</v>
      </c>
      <c r="I34" s="4">
        <v>30316916.300000001</v>
      </c>
      <c r="J34" s="4">
        <v>35822698.199999996</v>
      </c>
      <c r="K34" s="4">
        <v>2113631.4000000004</v>
      </c>
      <c r="L34" s="4">
        <v>23635000</v>
      </c>
      <c r="M34" s="4">
        <f t="shared" si="0"/>
        <v>93180502.600000024</v>
      </c>
      <c r="N34" s="12">
        <f t="shared" si="1"/>
        <v>0.30464276633949466</v>
      </c>
      <c r="O34" s="12">
        <f t="shared" si="2"/>
        <v>0.10721366005416184</v>
      </c>
      <c r="P34" s="12">
        <f t="shared" si="2"/>
        <v>6.7724337980033938E-2</v>
      </c>
      <c r="Q34" s="12">
        <f t="shared" si="9"/>
        <v>0.18672880411695519</v>
      </c>
      <c r="R34" s="12">
        <f t="shared" si="10"/>
        <v>5.4663280344060781E-2</v>
      </c>
      <c r="S34" s="12">
        <f t="shared" si="10"/>
        <v>6.4590546578356361E-2</v>
      </c>
      <c r="T34" s="12">
        <f t="shared" si="10"/>
        <v>3.8110085016202552E-3</v>
      </c>
      <c r="U34" s="12">
        <f t="shared" si="10"/>
        <v>4.2615370842709242E-2</v>
      </c>
      <c r="V34" s="12">
        <f t="shared" si="11"/>
        <v>0.16801022524260772</v>
      </c>
      <c r="W34" s="4">
        <f>SUMIFS('Modeling - Base Estimates'!AK:AK,'Modeling - Base Estimates'!A:A,A34)</f>
        <v>323343570.61005765</v>
      </c>
      <c r="X34" s="4">
        <f>(W34*N34*(1-N$2))+(W34*O34*(1-'Modeling - Base Estimates'!$AA$51-N$2))+(W34*P34*(1-'Modeling - Base Estimates'!$AE$51))+(W34*Q34*(1-Q$2))+(W34*R34*(1-R$2))+(W34*S34*(1-S$2))+(W34*T34*(1-T$2))+(W34*U34*(1-U$2))+(W34*V34*(1-V$2))</f>
        <v>300640504.7874859</v>
      </c>
      <c r="Y34" s="5">
        <f>X34*N34*SUMIFS('Modeling - Base Estimates'!AN:AN,'Modeling - Base Estimates'!A:A,A34)</f>
        <v>1362054.6089109278</v>
      </c>
      <c r="Z34" s="4">
        <f t="shared" si="4"/>
        <v>299278450.17857498</v>
      </c>
      <c r="AA34" s="4">
        <f>(((W34*N34*(1-N$2))/X34)*X34)-Y34-(((SUMIFS('Modeling - Base Estimates'!X:X,'Modeling - Base Estimates'!A:A,A34)*N34*(1-N$2))/SUMIFS('Modeling - Base Estimates'!Z:Z,'Modeling - Base Estimates'!A:A,A34))*SUMIFS('Modeling - Base Estimates'!Z:Z,'Modeling - Base Estimates'!A:A,A34))</f>
        <v>4933.68267403543</v>
      </c>
      <c r="AB34" s="4"/>
      <c r="AC34" s="18">
        <f>1-((((W34*O34*(1-N$2-'Modeling - Base Estimates'!$AA$51))/X34)*X34)/('Modeling - Base Estimates'!X34*'Modeling - Base Estimates'!P34))</f>
        <v>-0.13617617868441179</v>
      </c>
      <c r="AD34" s="18">
        <f t="shared" si="22"/>
        <v>-0.2131761786844118</v>
      </c>
      <c r="AE34" s="18">
        <f>1-((((W34*P34*(1-'Modeling - Base Estimates'!$AE$51))/X34)*X34)/(SUMIFS('Modeling - Base Estimates'!X:X,'Modeling - Base Estimates'!A:A,A34)*'Modeling - Base Estimates'!Q34))</f>
        <v>0.14572988292602096</v>
      </c>
      <c r="AF34" s="18">
        <f t="shared" si="23"/>
        <v>6.872988292602096E-2</v>
      </c>
      <c r="AG34" s="18">
        <f>$N34*(1-$N$2)+$O34*(1-$N$2-'Modeling - Base Estimates'!$AA$51)+$P34*(1-'Modeling - Base Estimates'!$AE$51)+$Q34*(1-$Q$2)+$R34*(1-$R$2)+$S34*(1-$S$2)+$T34*(1-$T$2)+$U34*(1-$U$2)+$V34*(1-$V$2)</f>
        <v>0.92978655558316026</v>
      </c>
      <c r="AH34" s="18" t="e">
        <f>$O34*(1-$N$2-#REF!)+$P34*(1-#REF!)+$Q34*(1-$Q$2)+$R34*(1-$R$2)+$S34*(1-$S$2)+$T34*(1-$T$2)+$U34*(1-$U$2)+$V34*(1-$V$2)</f>
        <v>#REF!</v>
      </c>
      <c r="AJ34" s="7">
        <f>(SUMIFS('Modeling - Base Estimates'!$X:$X,'Modeling - Base Estimates'!$A:$A,$A34)*SUMIFS('Modeling - Base Estimates'!O:O,'Modeling - Base Estimates'!$A:$A,$A34)*($N$2))</f>
        <v>8058831.215159189</v>
      </c>
      <c r="AK34" s="7">
        <f>(SUMIFS('Modeling - Base Estimates'!$X:$X,'Modeling - Base Estimates'!$A:$A,$A34)*SUMIFS('Modeling - Base Estimates'!P:P,'Modeling - Base Estimates'!$A:$A,$A34)*($N$2))</f>
        <v>1898624.2112741363</v>
      </c>
      <c r="AL34" s="7">
        <f>(SUMIFS('Modeling - Base Estimates'!$X:$X,'Modeling - Base Estimates'!$A:$A,$A34)*SUMIFS('Modeling - Base Estimates'!Q:Q,'Modeling - Base Estimates'!$A:$A,$A34)*($N$2))</f>
        <v>1803360.1388051817</v>
      </c>
      <c r="AM34" s="7">
        <f>(SUMIFS('Modeling - Base Estimates'!$X:$X,'Modeling - Base Estimates'!$A:$A,$A34)*SUMIFS('Modeling - Base Estimates'!R:R,'Modeling - Base Estimates'!$A:$A,$A34)*($N$2))</f>
        <v>4579172.4545187671</v>
      </c>
      <c r="AN34" s="7">
        <f>(SUMIFS('Modeling - Base Estimates'!X:X,'Modeling - Base Estimates'!A:A,$A34)*$R34*($R$2))+(SUMIFS('Modeling - Base Estimates'!X:X,'Modeling - Base Estimates'!A:A,$A34)*$S34*($S$2))+(SUMIFS('Modeling - Base Estimates'!X:X,'Modeling - Base Estimates'!A:A,$A34)*$T34*($T$2))+(SUMIFS('Modeling - Base Estimates'!X:X,'Modeling - Base Estimates'!A:A,$A34)*$U34*($U$2))+(SUMIFS('Modeling - Base Estimates'!X:X,'Modeling - Base Estimates'!A:A,$A34)*$V34*($V$2))</f>
        <v>1897566.8183132194</v>
      </c>
      <c r="AO34" s="7">
        <f>SUM(AJ34:AN34)-(SUMIFS('Modeling - Base Estimates'!X:X,'Modeling - Base Estimates'!A:A,A34)-SUMIFS('Modeling - Base Estimates'!Z:Z,'Modeling - Base Estimates'!A:A,A34))</f>
        <v>4.0978193283081055E-8</v>
      </c>
      <c r="AQ34" s="7">
        <f t="shared" si="5"/>
        <v>7584829.5468128026</v>
      </c>
      <c r="AR34" s="7">
        <f>(W34*$O34*($N$2+'Modeling - Base Estimates'!$AA$51))</f>
        <v>6651632.0610836046</v>
      </c>
      <c r="AS34" s="7">
        <f>(W34*P34*('Modeling - Base Estimates'!$AE$51))</f>
        <v>1890999.6894892422</v>
      </c>
      <c r="AT34" s="7">
        <f t="shared" si="6"/>
        <v>4649071.9859370189</v>
      </c>
      <c r="AU34" s="7">
        <f t="shared" si="7"/>
        <v>1926532.5392491117</v>
      </c>
      <c r="AV34" s="5">
        <f t="shared" si="12"/>
        <v>0</v>
      </c>
      <c r="AX34" s="7">
        <f>SUMIFS('Modeling - Base Estimates'!X:X,'Modeling - Base Estimates'!A:A,A34)</f>
        <v>318482048.96850967</v>
      </c>
      <c r="AY34" s="5">
        <f t="shared" si="13"/>
        <v>8058831.215159189</v>
      </c>
      <c r="AZ34" s="5">
        <f t="shared" si="13"/>
        <v>1898624.2112741363</v>
      </c>
      <c r="BA34" s="5">
        <f t="shared" si="13"/>
        <v>1803360.1388051817</v>
      </c>
      <c r="BB34" s="5">
        <f t="shared" si="13"/>
        <v>4579172.4545187671</v>
      </c>
      <c r="BC34" s="5">
        <f t="shared" si="13"/>
        <v>1897566.8183132194</v>
      </c>
      <c r="BD34" s="5">
        <f t="shared" si="14"/>
        <v>300244494.13043916</v>
      </c>
      <c r="BF34" s="5">
        <f t="shared" si="15"/>
        <v>323343570.61005765</v>
      </c>
      <c r="BG34" s="5">
        <f t="shared" si="16"/>
        <v>7584829.5468128026</v>
      </c>
      <c r="BH34" s="5">
        <f t="shared" si="17"/>
        <v>1362054.6089109278</v>
      </c>
      <c r="BI34" s="5">
        <f t="shared" si="18"/>
        <v>6651632.0610836046</v>
      </c>
      <c r="BJ34" s="5">
        <f t="shared" si="18"/>
        <v>1890999.6894892422</v>
      </c>
      <c r="BK34" s="5">
        <f t="shared" si="18"/>
        <v>4649071.9859370189</v>
      </c>
      <c r="BL34" s="5">
        <f t="shared" si="18"/>
        <v>1926532.5392491117</v>
      </c>
      <c r="BM34" s="5">
        <f t="shared" si="19"/>
        <v>299278450.17857492</v>
      </c>
      <c r="BO34" s="5">
        <f t="shared" si="20"/>
        <v>-966043.95186424255</v>
      </c>
      <c r="BP34" s="1">
        <f t="shared" si="21"/>
        <v>-3.2175242868718564E-3</v>
      </c>
    </row>
    <row r="35" spans="1:68" x14ac:dyDescent="0.25">
      <c r="A35" s="1">
        <v>44</v>
      </c>
      <c r="B35" s="1">
        <v>210044</v>
      </c>
      <c r="C35" s="4">
        <v>534931449</v>
      </c>
      <c r="D35" s="4">
        <f>SUM('Modeling - Base Estimates'!E35:G35)-SUM('Scenario 3 - increase MA &amp; QP %'!E35:F35)</f>
        <v>153097321.19499999</v>
      </c>
      <c r="E35" s="4">
        <f>((SUM('Modeling - Base Estimates'!F35:G35)/SUM('Modeling - Base Estimates'!E35:G35)+$E$61))*SUM('Modeling - Base Estimates'!E35:G35)*('Modeling - Base Estimates'!F35/SUM('Modeling - Base Estimates'!F35:G35)+$E$73)</f>
        <v>60795984.837549955</v>
      </c>
      <c r="F35" s="4">
        <f>((SUM('Modeling - Base Estimates'!F35:G35)/SUM('Modeling - Base Estimates'!E35:G35)+$E$61))*SUM('Modeling - Base Estimates'!E35:G35)*('Modeling - Base Estimates'!G35/SUM('Modeling - Base Estimates'!F35:G35)-$E$73)</f>
        <v>10005230.067450045</v>
      </c>
      <c r="G35" s="4">
        <v>8366954.4000000004</v>
      </c>
      <c r="H35" s="4">
        <v>64426934</v>
      </c>
      <c r="I35" s="4">
        <v>15686420.6</v>
      </c>
      <c r="J35" s="4">
        <v>21793004.899999999</v>
      </c>
      <c r="K35" s="4">
        <v>110224.8</v>
      </c>
      <c r="L35" s="4">
        <v>15175889.300000001</v>
      </c>
      <c r="M35" s="4">
        <f t="shared" si="0"/>
        <v>185473484.89999998</v>
      </c>
      <c r="N35" s="12">
        <f t="shared" si="1"/>
        <v>0.28619988875434393</v>
      </c>
      <c r="O35" s="12">
        <f t="shared" si="2"/>
        <v>0.11365191736474248</v>
      </c>
      <c r="P35" s="12">
        <f t="shared" si="2"/>
        <v>1.8703761175668035E-2</v>
      </c>
      <c r="Q35" s="12">
        <f t="shared" si="9"/>
        <v>0.13608077920279466</v>
      </c>
      <c r="R35" s="12">
        <f t="shared" si="10"/>
        <v>2.9324169721791773E-2</v>
      </c>
      <c r="S35" s="12">
        <f t="shared" si="10"/>
        <v>4.0739808700235906E-2</v>
      </c>
      <c r="T35" s="12">
        <f t="shared" si="10"/>
        <v>2.0605406581731934E-4</v>
      </c>
      <c r="U35" s="12">
        <f t="shared" si="10"/>
        <v>2.8369783321526121E-2</v>
      </c>
      <c r="V35" s="12">
        <f t="shared" si="11"/>
        <v>0.34672383769307974</v>
      </c>
      <c r="W35" s="4">
        <f>SUMIFS('Modeling - Base Estimates'!AK:AK,'Modeling - Base Estimates'!A:A,A35)</f>
        <v>305469675.66167933</v>
      </c>
      <c r="X35" s="4">
        <f>(W35*N35*(1-N$2))+(W35*O35*(1-'Modeling - Base Estimates'!$AA$51-N$2))+(W35*P35*(1-'Modeling - Base Estimates'!$AE$51))+(W35*Q35*(1-Q$2))+(W35*R35*(1-R$2))+(W35*S35*(1-S$2))+(W35*T35*(1-T$2))+(W35*U35*(1-U$2))+(W35*V35*(1-V$2))</f>
        <v>285812494.86523718</v>
      </c>
      <c r="Y35" s="5">
        <f>X35*N35*SUMIFS('Modeling - Base Estimates'!AN:AN,'Modeling - Base Estimates'!A:A,A35)</f>
        <v>1208493.0968896404</v>
      </c>
      <c r="Z35" s="4">
        <f t="shared" si="4"/>
        <v>284604001.76834756</v>
      </c>
      <c r="AA35" s="4">
        <f>(((W35*N35*(1-N$2))/X35)*X35)-Y35-(((SUMIFS('Modeling - Base Estimates'!X:X,'Modeling - Base Estimates'!A:A,A35)*N35*(1-N$2))/SUMIFS('Modeling - Base Estimates'!Z:Z,'Modeling - Base Estimates'!A:A,A35))*SUMIFS('Modeling - Base Estimates'!Z:Z,'Modeling - Base Estimates'!A:A,A35))</f>
        <v>4220.6569844335318</v>
      </c>
      <c r="AB35" s="4"/>
      <c r="AC35" s="18">
        <f>1-((((W35*O35*(1-N$2-'Modeling - Base Estimates'!$AA$51))/X35)*X35)/('Modeling - Base Estimates'!X35*'Modeling - Base Estimates'!P35))</f>
        <v>-0.10300371357763161</v>
      </c>
      <c r="AD35" s="18">
        <f t="shared" si="22"/>
        <v>-0.18000371357763162</v>
      </c>
      <c r="AE35" s="18">
        <f>1-((((W35*P35*(1-'Modeling - Base Estimates'!$AE$51))/X35)*X35)/(SUMIFS('Modeling - Base Estimates'!X:X,'Modeling - Base Estimates'!A:A,A35)*'Modeling - Base Estimates'!Q35))</f>
        <v>0.35478250144655843</v>
      </c>
      <c r="AF35" s="18">
        <f t="shared" si="23"/>
        <v>0.27778250144655842</v>
      </c>
      <c r="AG35" s="18">
        <f>$N35*(1-$N$2)+$O35*(1-$N$2-'Modeling - Base Estimates'!$AA$51)+$P35*(1-'Modeling - Base Estimates'!$AE$51)+$Q35*(1-$Q$2)+$R35*(1-$R$2)+$S35*(1-$S$2)+$T35*(1-$T$2)+$U35*(1-$U$2)+$V35*(1-$V$2)</f>
        <v>0.93564932180628846</v>
      </c>
      <c r="AH35" s="18" t="e">
        <f>$O35*(1-$N$2-#REF!)+$P35*(1-#REF!)+$Q35*(1-$Q$2)+$R35*(1-$R$2)+$S35*(1-$S$2)+$T35*(1-$T$2)+$U35*(1-$U$2)+$V35*(1-$V$2)</f>
        <v>#REF!</v>
      </c>
      <c r="AJ35" s="7">
        <f>(SUMIFS('Modeling - Base Estimates'!$X:$X,'Modeling - Base Estimates'!$A:$A,$A35)*SUMIFS('Modeling - Base Estimates'!O:O,'Modeling - Base Estimates'!$A:$A,$A35)*($N$2))</f>
        <v>7115433.799745122</v>
      </c>
      <c r="AK35" s="7">
        <f>(SUMIFS('Modeling - Base Estimates'!$X:$X,'Modeling - Base Estimates'!$A:$A,$A35)*SUMIFS('Modeling - Base Estimates'!P:P,'Modeling - Base Estimates'!$A:$A,$A35)*($N$2))</f>
        <v>1958566.122813951</v>
      </c>
      <c r="AL35" s="7">
        <f>(SUMIFS('Modeling - Base Estimates'!$X:$X,'Modeling - Base Estimates'!$A:$A,$A35)*SUMIFS('Modeling - Base Estimates'!Q:Q,'Modeling - Base Estimates'!$A:$A,$A35)*($N$2))</f>
        <v>622959.1906876663</v>
      </c>
      <c r="AM35" s="7">
        <f>(SUMIFS('Modeling - Base Estimates'!$X:$X,'Modeling - Base Estimates'!$A:$A,$A35)*SUMIFS('Modeling - Base Estimates'!R:R,'Modeling - Base Estimates'!$A:$A,$A35)*($N$2))</f>
        <v>3152675.1885227989</v>
      </c>
      <c r="AN35" s="7">
        <f>(SUMIFS('Modeling - Base Estimates'!X:X,'Modeling - Base Estimates'!A:A,$A35)*$R35*($R$2))+(SUMIFS('Modeling - Base Estimates'!X:X,'Modeling - Base Estimates'!A:A,$A35)*$S35*($S$2))+(SUMIFS('Modeling - Base Estimates'!X:X,'Modeling - Base Estimates'!A:A,$A35)*$T35*($T$2))+(SUMIFS('Modeling - Base Estimates'!X:X,'Modeling - Base Estimates'!A:A,$A35)*$U35*($U$2))+(SUMIFS('Modeling - Base Estimates'!X:X,'Modeling - Base Estimates'!A:A,$A35)*$V35*($V$2))</f>
        <v>2531350.6039174809</v>
      </c>
      <c r="AO35" s="7">
        <f>SUM(AJ35:AN35)-(SUMIFS('Modeling - Base Estimates'!X:X,'Modeling - Base Estimates'!A:A,A35)-SUMIFS('Modeling - Base Estimates'!Z:Z,'Modeling - Base Estimates'!A:A,A35))</f>
        <v>-1.4901161193847656E-8</v>
      </c>
      <c r="AQ35" s="7">
        <f t="shared" si="5"/>
        <v>6731754.8137992565</v>
      </c>
      <c r="AR35" s="7">
        <f>(W35*$O35*($N$2+'Modeling - Base Estimates'!$AA$51))</f>
        <v>6661296.0662406478</v>
      </c>
      <c r="AS35" s="7">
        <f>(W35*P35*('Modeling - Base Estimates'!$AE$51))</f>
        <v>493377.69483712956</v>
      </c>
      <c r="AT35" s="7">
        <f t="shared" si="6"/>
        <v>3200778.4644887038</v>
      </c>
      <c r="AU35" s="7">
        <f t="shared" si="7"/>
        <v>2569973.7570764194</v>
      </c>
      <c r="AV35" s="5">
        <f t="shared" si="12"/>
        <v>0</v>
      </c>
      <c r="AX35" s="7">
        <f>SUMIFS('Modeling - Base Estimates'!X:X,'Modeling - Base Estimates'!A:A,A35)</f>
        <v>300878888.67951423</v>
      </c>
      <c r="AY35" s="5">
        <f t="shared" si="13"/>
        <v>7115433.799745122</v>
      </c>
      <c r="AZ35" s="5">
        <f t="shared" si="13"/>
        <v>1958566.122813951</v>
      </c>
      <c r="BA35" s="5">
        <f t="shared" si="13"/>
        <v>622959.1906876663</v>
      </c>
      <c r="BB35" s="5">
        <f t="shared" si="13"/>
        <v>3152675.1885227989</v>
      </c>
      <c r="BC35" s="5">
        <f t="shared" si="13"/>
        <v>2531350.6039174809</v>
      </c>
      <c r="BD35" s="5">
        <f t="shared" si="14"/>
        <v>285497903.7738272</v>
      </c>
      <c r="BF35" s="5">
        <f t="shared" si="15"/>
        <v>305469675.66167933</v>
      </c>
      <c r="BG35" s="5">
        <f t="shared" si="16"/>
        <v>6731754.8137992565</v>
      </c>
      <c r="BH35" s="5">
        <f t="shared" si="17"/>
        <v>1208493.0968896404</v>
      </c>
      <c r="BI35" s="5">
        <f t="shared" si="18"/>
        <v>6661296.0662406478</v>
      </c>
      <c r="BJ35" s="5">
        <f t="shared" si="18"/>
        <v>493377.69483712956</v>
      </c>
      <c r="BK35" s="5">
        <f t="shared" si="18"/>
        <v>3200778.4644887038</v>
      </c>
      <c r="BL35" s="5">
        <f t="shared" si="18"/>
        <v>2569973.7570764194</v>
      </c>
      <c r="BM35" s="5">
        <f t="shared" si="19"/>
        <v>284604001.7683475</v>
      </c>
      <c r="BO35" s="5">
        <f t="shared" si="20"/>
        <v>-893902.00547969341</v>
      </c>
      <c r="BP35" s="1">
        <f t="shared" si="21"/>
        <v>-3.1310282620773526E-3</v>
      </c>
    </row>
    <row r="36" spans="1:68" x14ac:dyDescent="0.25">
      <c r="A36" s="1">
        <v>48</v>
      </c>
      <c r="B36" s="1">
        <v>210048</v>
      </c>
      <c r="C36" s="4">
        <v>401343341.20000005</v>
      </c>
      <c r="D36" s="4">
        <f>SUM('Modeling - Base Estimates'!E36:G36)-SUM('Scenario 3 - increase MA &amp; QP %'!E36:F36)</f>
        <v>113734503.43999997</v>
      </c>
      <c r="E36" s="4">
        <f>((SUM('Modeling - Base Estimates'!F36:G36)/SUM('Modeling - Base Estimates'!E36:G36)+$E$61))*SUM('Modeling - Base Estimates'!E36:G36)*('Modeling - Base Estimates'!F36/SUM('Modeling - Base Estimates'!F36:G36)+$E$73)</f>
        <v>23547990.903778296</v>
      </c>
      <c r="F36" s="4">
        <f>((SUM('Modeling - Base Estimates'!F36:G36)/SUM('Modeling - Base Estimates'!E36:G36)+$E$61))*SUM('Modeling - Base Estimates'!E36:G36)*('Modeling - Base Estimates'!G36/SUM('Modeling - Base Estimates'!F36:G36)-$E$73)</f>
        <v>16186690.856221715</v>
      </c>
      <c r="G36" s="4">
        <v>19432638.5</v>
      </c>
      <c r="H36" s="4">
        <v>40638411.200000003</v>
      </c>
      <c r="I36" s="4">
        <v>26725304.5</v>
      </c>
      <c r="J36" s="4">
        <v>22983880.800000001</v>
      </c>
      <c r="K36" s="4">
        <v>2006012</v>
      </c>
      <c r="L36" s="4">
        <v>17983000</v>
      </c>
      <c r="M36" s="4">
        <f t="shared" si="0"/>
        <v>118104909.00000006</v>
      </c>
      <c r="N36" s="12">
        <f t="shared" si="1"/>
        <v>0.28338455323548783</v>
      </c>
      <c r="O36" s="12">
        <f t="shared" si="2"/>
        <v>5.8672932839425651E-2</v>
      </c>
      <c r="P36" s="12">
        <f t="shared" si="2"/>
        <v>4.0331280463814789E-2</v>
      </c>
      <c r="Q36" s="12">
        <f t="shared" si="9"/>
        <v>0.14967496288935564</v>
      </c>
      <c r="R36" s="12">
        <f t="shared" si="10"/>
        <v>6.6589629767102754E-2</v>
      </c>
      <c r="S36" s="12">
        <f t="shared" si="10"/>
        <v>5.7267377929528233E-2</v>
      </c>
      <c r="T36" s="12">
        <f t="shared" si="10"/>
        <v>4.9982441318251521E-3</v>
      </c>
      <c r="U36" s="12">
        <f t="shared" si="10"/>
        <v>4.4807022202564946E-2</v>
      </c>
      <c r="V36" s="12">
        <f t="shared" si="11"/>
        <v>0.29427399654089503</v>
      </c>
      <c r="W36" s="4">
        <f>SUMIFS('Modeling - Base Estimates'!AK:AK,'Modeling - Base Estimates'!A:A,A36)</f>
        <v>225531119.54353765</v>
      </c>
      <c r="X36" s="4">
        <f>(W36*N36*(1-N$2))+(W36*O36*(1-'Modeling - Base Estimates'!$AA$51-N$2))+(W36*P36*(1-'Modeling - Base Estimates'!$AE$51))+(W36*Q36*(1-Q$2))+(W36*R36*(1-R$2))+(W36*S36*(1-S$2))+(W36*T36*(1-T$2))+(W36*U36*(1-U$2))+(W36*V36*(1-V$2))</f>
        <v>212740085.82887161</v>
      </c>
      <c r="Y36" s="5">
        <f>X36*N36*SUMIFS('Modeling - Base Estimates'!AN:AN,'Modeling - Base Estimates'!A:A,A36)</f>
        <v>430703.93873717525</v>
      </c>
      <c r="Z36" s="4">
        <f t="shared" si="4"/>
        <v>212309381.89013442</v>
      </c>
      <c r="AA36" s="4">
        <f>(((W36*N36*(1-N$2))/X36)*X36)-Y36-(((SUMIFS('Modeling - Base Estimates'!X:X,'Modeling - Base Estimates'!A:A,A36)*N36*(1-N$2))/SUMIFS('Modeling - Base Estimates'!Z:Z,'Modeling - Base Estimates'!A:A,A36))*SUMIFS('Modeling - Base Estimates'!Z:Z,'Modeling - Base Estimates'!A:A,A36))</f>
        <v>1012.4606584981084</v>
      </c>
      <c r="AB36" s="4"/>
      <c r="AC36" s="18">
        <f>1-((((W36*O36*(1-N$2-'Modeling - Base Estimates'!$AA$51))/X36)*X36)/('Modeling - Base Estimates'!X36*'Modeling - Base Estimates'!P36))</f>
        <v>-0.21372967208196103</v>
      </c>
      <c r="AD36" s="18">
        <f t="shared" si="22"/>
        <v>-0.29072967208196104</v>
      </c>
      <c r="AE36" s="18">
        <f>1-((((W36*P36*(1-'Modeling - Base Estimates'!$AE$51))/X36)*X36)/(SUMIFS('Modeling - Base Estimates'!X:X,'Modeling - Base Estimates'!A:A,A36)*'Modeling - Base Estimates'!Q36))</f>
        <v>8.4155481404856847E-2</v>
      </c>
      <c r="AF36" s="18">
        <f t="shared" si="23"/>
        <v>7.1554814048568477E-3</v>
      </c>
      <c r="AG36" s="18">
        <f>$N36*(1-$N$2)+$O36*(1-$N$2-'Modeling - Base Estimates'!$AA$51)+$P36*(1-'Modeling - Base Estimates'!$AE$51)+$Q36*(1-$Q$2)+$R36*(1-$R$2)+$S36*(1-$S$2)+$T36*(1-$T$2)+$U36*(1-$U$2)+$V36*(1-$V$2)</f>
        <v>0.94328483918071093</v>
      </c>
      <c r="AH36" s="18" t="e">
        <f>$O36*(1-$N$2-#REF!)+$P36*(1-#REF!)+$Q36*(1-$Q$2)+$R36*(1-$R$2)+$S36*(1-$S$2)+$T36*(1-$T$2)+$U36*(1-$U$2)+$V36*(1-$V$2)</f>
        <v>#REF!</v>
      </c>
      <c r="AJ36" s="7">
        <f>(SUMIFS('Modeling - Base Estimates'!$X:$X,'Modeling - Base Estimates'!$A:$A,$A36)*SUMIFS('Modeling - Base Estimates'!O:O,'Modeling - Base Estimates'!$A:$A,$A36)*($N$2))</f>
        <v>5214807.6852541836</v>
      </c>
      <c r="AK36" s="7">
        <f>(SUMIFS('Modeling - Base Estimates'!$X:$X,'Modeling - Base Estimates'!$A:$A,$A36)*SUMIFS('Modeling - Base Estimates'!P:P,'Modeling - Base Estimates'!$A:$A,$A36)*($N$2))</f>
        <v>678410.63305653352</v>
      </c>
      <c r="AL36" s="7">
        <f>(SUMIFS('Modeling - Base Estimates'!$X:$X,'Modeling - Base Estimates'!$A:$A,$A36)*SUMIFS('Modeling - Base Estimates'!Q:Q,'Modeling - Base Estimates'!$A:$A,$A36)*($N$2))</f>
        <v>698707.52108612179</v>
      </c>
      <c r="AM36" s="7">
        <f>(SUMIFS('Modeling - Base Estimates'!$X:$X,'Modeling - Base Estimates'!$A:$A,$A36)*SUMIFS('Modeling - Base Estimates'!R:R,'Modeling - Base Estimates'!$A:$A,$A36)*($N$2))</f>
        <v>2580217.6782334396</v>
      </c>
      <c r="AN36" s="7">
        <f>(SUMIFS('Modeling - Base Estimates'!X:X,'Modeling - Base Estimates'!A:A,$A36)*$R36*($R$2))+(SUMIFS('Modeling - Base Estimates'!X:X,'Modeling - Base Estimates'!A:A,$A36)*$S36*($S$2))+(SUMIFS('Modeling - Base Estimates'!X:X,'Modeling - Base Estimates'!A:A,$A36)*$T36*($T$2))+(SUMIFS('Modeling - Base Estimates'!X:X,'Modeling - Base Estimates'!A:A,$A36)*$U36*($U$2))+(SUMIFS('Modeling - Base Estimates'!X:X,'Modeling - Base Estimates'!A:A,$A36)*$V36*($V$2))</f>
        <v>1931878.9157084243</v>
      </c>
      <c r="AO36" s="7">
        <f>SUM(AJ36:AN36)-(SUMIFS('Modeling - Base Estimates'!X:X,'Modeling - Base Estimates'!A:A,A36)-SUMIFS('Modeling - Base Estimates'!Z:Z,'Modeling - Base Estimates'!A:A,A36))</f>
        <v>3.166496753692627E-8</v>
      </c>
      <c r="AQ36" s="7">
        <f t="shared" si="5"/>
        <v>4921226.7375459513</v>
      </c>
      <c r="AR36" s="7">
        <f>(W36*$O36*($N$2+'Modeling - Base Estimates'!$AA$51))</f>
        <v>2538973.3315210324</v>
      </c>
      <c r="AS36" s="7">
        <f>(W36*P36*('Modeling - Base Estimates'!$AE$51))</f>
        <v>785472.42929186847</v>
      </c>
      <c r="AT36" s="7">
        <f t="shared" si="6"/>
        <v>2599239.8700016844</v>
      </c>
      <c r="AU36" s="7">
        <f t="shared" si="7"/>
        <v>1946121.3463055184</v>
      </c>
      <c r="AV36" s="5">
        <f t="shared" si="12"/>
        <v>1.4901161193847656E-8</v>
      </c>
      <c r="AX36" s="7">
        <f>SUMIFS('Modeling - Base Estimates'!X:X,'Modeling - Base Estimates'!A:A,A36)</f>
        <v>223880599.99927512</v>
      </c>
      <c r="AY36" s="5">
        <f t="shared" si="13"/>
        <v>5214807.6852541836</v>
      </c>
      <c r="AZ36" s="5">
        <f t="shared" si="13"/>
        <v>678410.63305653352</v>
      </c>
      <c r="BA36" s="5">
        <f t="shared" si="13"/>
        <v>698707.52108612179</v>
      </c>
      <c r="BB36" s="5">
        <f t="shared" si="13"/>
        <v>2580217.6782334396</v>
      </c>
      <c r="BC36" s="5">
        <f t="shared" si="13"/>
        <v>1931878.9157084243</v>
      </c>
      <c r="BD36" s="5">
        <f t="shared" si="14"/>
        <v>212776577.56593642</v>
      </c>
      <c r="BF36" s="5">
        <f t="shared" si="15"/>
        <v>225531119.54353765</v>
      </c>
      <c r="BG36" s="5">
        <f t="shared" si="16"/>
        <v>4921226.7375459513</v>
      </c>
      <c r="BH36" s="5">
        <f t="shared" si="17"/>
        <v>430703.93873717525</v>
      </c>
      <c r="BI36" s="5">
        <f t="shared" si="18"/>
        <v>2538973.3315210324</v>
      </c>
      <c r="BJ36" s="5">
        <f t="shared" si="18"/>
        <v>785472.42929186847</v>
      </c>
      <c r="BK36" s="5">
        <f t="shared" si="18"/>
        <v>2599239.8700016844</v>
      </c>
      <c r="BL36" s="5">
        <f t="shared" si="18"/>
        <v>1946121.3463055184</v>
      </c>
      <c r="BM36" s="5">
        <f t="shared" si="19"/>
        <v>212309381.89013442</v>
      </c>
      <c r="BO36" s="5">
        <f t="shared" si="20"/>
        <v>-467195.67580199242</v>
      </c>
      <c r="BP36" s="1">
        <f t="shared" si="21"/>
        <v>-2.1957100783671323E-3</v>
      </c>
    </row>
    <row r="37" spans="1:68" x14ac:dyDescent="0.25">
      <c r="A37" s="1">
        <v>49</v>
      </c>
      <c r="B37" s="1">
        <v>210049</v>
      </c>
      <c r="C37" s="4">
        <v>459407671.19999999</v>
      </c>
      <c r="D37" s="4">
        <f>SUM('Modeling - Base Estimates'!E37:G37)-SUM('Scenario 3 - increase MA &amp; QP %'!E37:F37)</f>
        <v>168773343.18000001</v>
      </c>
      <c r="E37" s="4">
        <f>((SUM('Modeling - Base Estimates'!F37:G37)/SUM('Modeling - Base Estimates'!E37:G37)+$E$61))*SUM('Modeling - Base Estimates'!E37:G37)*('Modeling - Base Estimates'!F37/SUM('Modeling - Base Estimates'!F37:G37)+$E$73)</f>
        <v>37555061.941859968</v>
      </c>
      <c r="F37" s="4">
        <f>((SUM('Modeling - Base Estimates'!F37:G37)/SUM('Modeling - Base Estimates'!E37:G37)+$E$61))*SUM('Modeling - Base Estimates'!E37:G37)*('Modeling - Base Estimates'!G37/SUM('Modeling - Base Estimates'!F37:G37)-$E$73)</f>
        <v>40701143.278140023</v>
      </c>
      <c r="G37" s="4">
        <v>6358302</v>
      </c>
      <c r="H37" s="4">
        <v>52144893.399999999</v>
      </c>
      <c r="I37" s="4">
        <v>28312462.800000001</v>
      </c>
      <c r="J37" s="4">
        <v>39426214.299999997</v>
      </c>
      <c r="K37" s="4">
        <v>1299337.2999999998</v>
      </c>
      <c r="L37" s="4">
        <v>17703000</v>
      </c>
      <c r="M37" s="4">
        <f t="shared" si="0"/>
        <v>67133913</v>
      </c>
      <c r="N37" s="12">
        <f t="shared" si="1"/>
        <v>0.36737162603130691</v>
      </c>
      <c r="O37" s="12">
        <f t="shared" si="2"/>
        <v>8.1746701886287465E-2</v>
      </c>
      <c r="P37" s="12">
        <f t="shared" si="2"/>
        <v>8.859482727362003E-2</v>
      </c>
      <c r="Q37" s="12">
        <f t="shared" si="9"/>
        <v>0.12734483785868483</v>
      </c>
      <c r="R37" s="12">
        <f t="shared" si="10"/>
        <v>6.1628189024458768E-2</v>
      </c>
      <c r="S37" s="12">
        <f t="shared" si="10"/>
        <v>8.581966904691947E-2</v>
      </c>
      <c r="T37" s="12">
        <f t="shared" si="10"/>
        <v>2.82828820991616E-3</v>
      </c>
      <c r="U37" s="12">
        <f t="shared" si="10"/>
        <v>3.8534402252706657E-2</v>
      </c>
      <c r="V37" s="12">
        <f t="shared" si="11"/>
        <v>0.1461314584160997</v>
      </c>
      <c r="W37" s="4">
        <f>SUMIFS('Modeling - Base Estimates'!AK:AK,'Modeling - Base Estimates'!A:A,A37)</f>
        <v>267138408.62125391</v>
      </c>
      <c r="X37" s="4">
        <f>(W37*N37*(1-N$2))+(W37*O37*(1-'Modeling - Base Estimates'!$AA$51-N$2))+(W37*P37*(1-'Modeling - Base Estimates'!$AE$51))+(W37*Q37*(1-Q$2))+(W37*R37*(1-R$2))+(W37*S37*(1-S$2))+(W37*T37*(1-T$2))+(W37*U37*(1-U$2))+(W37*V37*(1-V$2))</f>
        <v>249103656.11894596</v>
      </c>
      <c r="Y37" s="5">
        <f>X37*N37*SUMIFS('Modeling - Base Estimates'!AN:AN,'Modeling - Base Estimates'!A:A,A37)</f>
        <v>1109433.8992092051</v>
      </c>
      <c r="Z37" s="4">
        <f t="shared" si="4"/>
        <v>247994222.21973675</v>
      </c>
      <c r="AA37" s="4">
        <f>(((W37*N37*(1-N$2))/X37)*X37)-Y37-(((SUMIFS('Modeling - Base Estimates'!X:X,'Modeling - Base Estimates'!A:A,A37)*N37*(1-N$2))/SUMIFS('Modeling - Base Estimates'!Z:Z,'Modeling - Base Estimates'!A:A,A37))*SUMIFS('Modeling - Base Estimates'!Z:Z,'Modeling - Base Estimates'!A:A,A37))</f>
        <v>3719.970400929451</v>
      </c>
      <c r="AB37" s="4"/>
      <c r="AC37" s="18">
        <f>1-((((W37*O37*(1-N$2-'Modeling - Base Estimates'!$AA$51))/X37)*X37)/('Modeling - Base Estimates'!X37*'Modeling - Base Estimates'!P37))</f>
        <v>-0.22725161259204385</v>
      </c>
      <c r="AD37" s="18">
        <f t="shared" si="22"/>
        <v>-0.30425161259204386</v>
      </c>
      <c r="AE37" s="18">
        <f>1-((((W37*P37*(1-'Modeling - Base Estimates'!$AE$51))/X37)*X37)/(SUMIFS('Modeling - Base Estimates'!X:X,'Modeling - Base Estimates'!A:A,A37)*'Modeling - Base Estimates'!Q37))</f>
        <v>7.8754250098918233E-2</v>
      </c>
      <c r="AF37" s="18">
        <f t="shared" si="23"/>
        <v>1.7542500989182336E-3</v>
      </c>
      <c r="AG37" s="18">
        <f>$N37*(1-$N$2)+$O37*(1-$N$2-'Modeling - Base Estimates'!$AA$51)+$P37*(1-'Modeling - Base Estimates'!$AE$51)+$Q37*(1-$Q$2)+$R37*(1-$R$2)+$S37*(1-$S$2)+$T37*(1-$T$2)+$U37*(1-$U$2)+$V37*(1-$V$2)</f>
        <v>0.93248910706854782</v>
      </c>
      <c r="AH37" s="18" t="e">
        <f>$O37*(1-$N$2-#REF!)+$P37*(1-#REF!)+$Q37*(1-$Q$2)+$R37*(1-$R$2)+$S37*(1-$S$2)+$T37*(1-$T$2)+$U37*(1-$U$2)+$V37*(1-$V$2)</f>
        <v>#REF!</v>
      </c>
      <c r="AJ37" s="7">
        <f>(SUMIFS('Modeling - Base Estimates'!$X:$X,'Modeling - Base Estimates'!$A:$A,$A37)*SUMIFS('Modeling - Base Estimates'!O:O,'Modeling - Base Estimates'!$A:$A,$A37)*($N$2))</f>
        <v>8010077.8638210883</v>
      </c>
      <c r="AK37" s="7">
        <f>(SUMIFS('Modeling - Base Estimates'!$X:$X,'Modeling - Base Estimates'!$A:$A,$A37)*SUMIFS('Modeling - Base Estimates'!P:P,'Modeling - Base Estimates'!$A:$A,$A37)*($N$2))</f>
        <v>1107243.9223547592</v>
      </c>
      <c r="AL37" s="7">
        <f>(SUMIFS('Modeling - Base Estimates'!$X:$X,'Modeling - Base Estimates'!$A:$A,$A37)*SUMIFS('Modeling - Base Estimates'!Q:Q,'Modeling - Base Estimates'!$A:$A,$A37)*($N$2))</f>
        <v>1807331.7803191699</v>
      </c>
      <c r="AM37" s="7">
        <f>(SUMIFS('Modeling - Base Estimates'!$X:$X,'Modeling - Base Estimates'!$A:$A,$A37)*SUMIFS('Modeling - Base Estimates'!R:R,'Modeling - Base Estimates'!$A:$A,$A37)*($N$2))</f>
        <v>2587249.7699872931</v>
      </c>
      <c r="AN37" s="7">
        <f>(SUMIFS('Modeling - Base Estimates'!X:X,'Modeling - Base Estimates'!A:A,$A37)*$R37*($R$2))+(SUMIFS('Modeling - Base Estimates'!X:X,'Modeling - Base Estimates'!A:A,$A37)*$S37*($S$2))+(SUMIFS('Modeling - Base Estimates'!X:X,'Modeling - Base Estimates'!A:A,$A37)*$T37*($T$2))+(SUMIFS('Modeling - Base Estimates'!X:X,'Modeling - Base Estimates'!A:A,$A37)*$U37*($U$2))+(SUMIFS('Modeling - Base Estimates'!X:X,'Modeling - Base Estimates'!A:A,$A37)*$V37*($V$2))</f>
        <v>1604828.3777940138</v>
      </c>
      <c r="AO37" s="7">
        <f>SUM(AJ37:AN37)-(SUMIFS('Modeling - Base Estimates'!X:X,'Modeling - Base Estimates'!A:A,A37)-SUMIFS('Modeling - Base Estimates'!Z:Z,'Modeling - Base Estimates'!A:A,A37))</f>
        <v>-5.029141902923584E-8</v>
      </c>
      <c r="AQ37" s="7">
        <f t="shared" si="5"/>
        <v>7556708.5093966424</v>
      </c>
      <c r="AR37" s="7">
        <f>(W37*$O37*($N$2+'Modeling - Base Estimates'!$AA$51))</f>
        <v>4190061.9137230706</v>
      </c>
      <c r="AS37" s="7">
        <f>(W37*P37*('Modeling - Base Estimates'!$AE$51))</f>
        <v>2043747.1273498379</v>
      </c>
      <c r="AT37" s="7">
        <f t="shared" si="6"/>
        <v>2619439.6945409519</v>
      </c>
      <c r="AU37" s="7">
        <f t="shared" si="7"/>
        <v>1624795.2572975005</v>
      </c>
      <c r="AV37" s="5">
        <f t="shared" si="12"/>
        <v>5.2154064178466797E-8</v>
      </c>
      <c r="AX37" s="7">
        <f>SUMIFS('Modeling - Base Estimates'!X:X,'Modeling - Base Estimates'!A:A,A37)</f>
        <v>263855582.43639317</v>
      </c>
      <c r="AY37" s="5">
        <f t="shared" si="13"/>
        <v>8010077.8638210883</v>
      </c>
      <c r="AZ37" s="5">
        <f t="shared" si="13"/>
        <v>1107243.9223547592</v>
      </c>
      <c r="BA37" s="5">
        <f t="shared" si="13"/>
        <v>1807331.7803191699</v>
      </c>
      <c r="BB37" s="5">
        <f t="shared" si="13"/>
        <v>2587249.7699872931</v>
      </c>
      <c r="BC37" s="5">
        <f t="shared" si="13"/>
        <v>1604828.3777940138</v>
      </c>
      <c r="BD37" s="5">
        <f t="shared" si="14"/>
        <v>248738850.72211686</v>
      </c>
      <c r="BF37" s="5">
        <f t="shared" si="15"/>
        <v>267138408.62125391</v>
      </c>
      <c r="BG37" s="5">
        <f t="shared" si="16"/>
        <v>7556708.5093966424</v>
      </c>
      <c r="BH37" s="5">
        <f t="shared" si="17"/>
        <v>1109433.8992092051</v>
      </c>
      <c r="BI37" s="5">
        <f t="shared" si="18"/>
        <v>4190061.9137230706</v>
      </c>
      <c r="BJ37" s="5">
        <f t="shared" si="18"/>
        <v>2043747.1273498379</v>
      </c>
      <c r="BK37" s="5">
        <f t="shared" si="18"/>
        <v>2619439.6945409519</v>
      </c>
      <c r="BL37" s="5">
        <f t="shared" si="18"/>
        <v>1624795.2572975005</v>
      </c>
      <c r="BM37" s="5">
        <f t="shared" si="19"/>
        <v>247994222.2197367</v>
      </c>
      <c r="BO37" s="5">
        <f t="shared" si="20"/>
        <v>-744628.50238016248</v>
      </c>
      <c r="BP37" s="1">
        <f t="shared" si="21"/>
        <v>-2.9936155940996842E-3</v>
      </c>
    </row>
    <row r="38" spans="1:68" x14ac:dyDescent="0.25">
      <c r="A38" s="1">
        <v>51</v>
      </c>
      <c r="B38" s="1">
        <v>210051</v>
      </c>
      <c r="C38" s="4">
        <v>326288289.5</v>
      </c>
      <c r="D38" s="4">
        <f>SUM('Modeling - Base Estimates'!E38:G38)-SUM('Scenario 3 - increase MA &amp; QP %'!E38:F38)</f>
        <v>86405757.480000019</v>
      </c>
      <c r="E38" s="4">
        <f>((SUM('Modeling - Base Estimates'!F38:G38)/SUM('Modeling - Base Estimates'!E38:G38)+$E$61))*SUM('Modeling - Base Estimates'!E38:G38)*('Modeling - Base Estimates'!F38/SUM('Modeling - Base Estimates'!F38:G38)+$E$73)</f>
        <v>46509363.291097984</v>
      </c>
      <c r="F38" s="4">
        <f>((SUM('Modeling - Base Estimates'!F38:G38)/SUM('Modeling - Base Estimates'!E38:G38)+$E$61))*SUM('Modeling - Base Estimates'!E38:G38)*('Modeling - Base Estimates'!G38/SUM('Modeling - Base Estimates'!F38:G38)-$E$73)</f>
        <v>6026091.6289020116</v>
      </c>
      <c r="G38" s="4">
        <v>14672785.5</v>
      </c>
      <c r="H38" s="4">
        <v>52534663.399999999</v>
      </c>
      <c r="I38" s="4">
        <v>10446850.700000001</v>
      </c>
      <c r="J38" s="4">
        <v>14459044.700000001</v>
      </c>
      <c r="K38" s="4">
        <v>1010147.2</v>
      </c>
      <c r="L38" s="4">
        <v>17527323</v>
      </c>
      <c r="M38" s="4">
        <f t="shared" si="0"/>
        <v>76696262.600000024</v>
      </c>
      <c r="N38" s="12">
        <f t="shared" si="1"/>
        <v>0.2648141544166574</v>
      </c>
      <c r="O38" s="12">
        <f t="shared" si="2"/>
        <v>0.14254070644817912</v>
      </c>
      <c r="P38" s="12">
        <f t="shared" si="2"/>
        <v>1.8468611417640262E-2</v>
      </c>
      <c r="Q38" s="12">
        <f t="shared" si="9"/>
        <v>0.20597566956199329</v>
      </c>
      <c r="R38" s="12">
        <f t="shared" si="10"/>
        <v>3.2017240692298894E-2</v>
      </c>
      <c r="S38" s="12">
        <f t="shared" si="10"/>
        <v>4.4313710192164284E-2</v>
      </c>
      <c r="T38" s="12">
        <f t="shared" si="10"/>
        <v>3.0958732890718713E-3</v>
      </c>
      <c r="U38" s="12">
        <f t="shared" si="10"/>
        <v>5.3717291009305439E-2</v>
      </c>
      <c r="V38" s="12">
        <f t="shared" si="11"/>
        <v>0.23505674297268955</v>
      </c>
      <c r="W38" s="4">
        <f>SUMIFS('Modeling - Base Estimates'!AK:AK,'Modeling - Base Estimates'!A:A,A38)</f>
        <v>177734486.27772069</v>
      </c>
      <c r="X38" s="4">
        <f>(W38*N38*(1-N$2))+(W38*O38*(1-'Modeling - Base Estimates'!$AA$51-N$2))+(W38*P38*(1-'Modeling - Base Estimates'!$AE$51))+(W38*Q38*(1-Q$2))+(W38*R38*(1-R$2))+(W38*S38*(1-S$2))+(W38*T38*(1-T$2))+(W38*U38*(1-U$2))+(W38*V38*(1-V$2))</f>
        <v>165014903.13442838</v>
      </c>
      <c r="Y38" s="5">
        <f>X38*N38*SUMIFS('Modeling - Base Estimates'!AN:AN,'Modeling - Base Estimates'!A:A,A38)</f>
        <v>822256.49666301196</v>
      </c>
      <c r="Z38" s="4">
        <f t="shared" si="4"/>
        <v>164192646.63776538</v>
      </c>
      <c r="AA38" s="4">
        <f>(((W38*N38*(1-N$2))/X38)*X38)-Y38-(((SUMIFS('Modeling - Base Estimates'!X:X,'Modeling - Base Estimates'!A:A,A38)*N38*(1-N$2))/SUMIFS('Modeling - Base Estimates'!Z:Z,'Modeling - Base Estimates'!A:A,A38))*SUMIFS('Modeling - Base Estimates'!Z:Z,'Modeling - Base Estimates'!A:A,A38))</f>
        <v>3243.5341216996312</v>
      </c>
      <c r="AB38" s="4"/>
      <c r="AC38" s="18">
        <f>1-((((W38*O38*(1-N$2-'Modeling - Base Estimates'!$AA$51))/X38)*X38)/('Modeling - Base Estimates'!X38*'Modeling - Base Estimates'!P38))</f>
        <v>-7.0200012728026451E-2</v>
      </c>
      <c r="AD38" s="18">
        <f t="shared" si="22"/>
        <v>-0.14720001272802646</v>
      </c>
      <c r="AE38" s="18">
        <f>1-((((W38*P38*(1-'Modeling - Base Estimates'!$AE$51))/X38)*X38)/(SUMIFS('Modeling - Base Estimates'!X:X,'Modeling - Base Estimates'!A:A,A38)*'Modeling - Base Estimates'!Q38))</f>
        <v>0.42661186606691226</v>
      </c>
      <c r="AF38" s="18">
        <f t="shared" si="23"/>
        <v>0.34961186606691225</v>
      </c>
      <c r="AG38" s="18">
        <f>$N38*(1-$N$2)+$O38*(1-$N$2-'Modeling - Base Estimates'!$AA$51)+$P38*(1-'Modeling - Base Estimates'!$AE$51)+$Q38*(1-$Q$2)+$R38*(1-$R$2)+$S38*(1-$S$2)+$T38*(1-$T$2)+$U38*(1-$U$2)+$V38*(1-$V$2)</f>
        <v>0.9284349176702984</v>
      </c>
      <c r="AH38" s="18" t="e">
        <f>$O38*(1-$N$2-#REF!)+$P38*(1-#REF!)+$Q38*(1-$Q$2)+$R38*(1-$R$2)+$S38*(1-$S$2)+$T38*(1-$T$2)+$U38*(1-$U$2)+$V38*(1-$V$2)</f>
        <v>#REF!</v>
      </c>
      <c r="AJ38" s="7">
        <f>(SUMIFS('Modeling - Base Estimates'!$X:$X,'Modeling - Base Estimates'!$A:$A,$A38)*SUMIFS('Modeling - Base Estimates'!O:O,'Modeling - Base Estimates'!$A:$A,$A38)*($N$2))</f>
        <v>3841107.2571396055</v>
      </c>
      <c r="AK38" s="7">
        <f>(SUMIFS('Modeling - Base Estimates'!$X:$X,'Modeling - Base Estimates'!$A:$A,$A38)*SUMIFS('Modeling - Base Estimates'!P:P,'Modeling - Base Estimates'!$A:$A,$A38)*($N$2))</f>
        <v>1473044.9533713711</v>
      </c>
      <c r="AL38" s="7">
        <f>(SUMIFS('Modeling - Base Estimates'!$X:$X,'Modeling - Base Estimates'!$A:$A,$A38)*SUMIFS('Modeling - Base Estimates'!Q:Q,'Modeling - Base Estimates'!$A:$A,$A38)*($N$2))</f>
        <v>402741.07806362212</v>
      </c>
      <c r="AM38" s="7">
        <f>(SUMIFS('Modeling - Base Estimates'!$X:$X,'Modeling - Base Estimates'!$A:$A,$A38)*SUMIFS('Modeling - Base Estimates'!R:R,'Modeling - Base Estimates'!$A:$A,$A38)*($N$2))</f>
        <v>2765326.4781690533</v>
      </c>
      <c r="AN38" s="7">
        <f>(SUMIFS('Modeling - Base Estimates'!X:X,'Modeling - Base Estimates'!A:A,$A38)*$R38*($R$2))+(SUMIFS('Modeling - Base Estimates'!X:X,'Modeling - Base Estimates'!A:A,$A38)*$S38*($S$2))+(SUMIFS('Modeling - Base Estimates'!X:X,'Modeling - Base Estimates'!A:A,$A38)*$T38*($T$2))+(SUMIFS('Modeling - Base Estimates'!X:X,'Modeling - Base Estimates'!A:A,$A38)*$U38*($U$2))+(SUMIFS('Modeling - Base Estimates'!X:X,'Modeling - Base Estimates'!A:A,$A38)*$V38*($V$2))</f>
        <v>1110605.2621764014</v>
      </c>
      <c r="AO38" s="7">
        <f>SUM(AJ38:AN38)-(SUMIFS('Modeling - Base Estimates'!X:X,'Modeling - Base Estimates'!A:A,A38)-SUMIFS('Modeling - Base Estimates'!Z:Z,'Modeling - Base Estimates'!A:A,A38))</f>
        <v>2.9802322387695313E-8</v>
      </c>
      <c r="AQ38" s="7">
        <f t="shared" si="5"/>
        <v>3624128.7924621473</v>
      </c>
      <c r="AR38" s="7">
        <f>(W38*$O38*($N$2+'Modeling - Base Estimates'!$AA$51))</f>
        <v>4860987.1842695102</v>
      </c>
      <c r="AS38" s="7">
        <f>(W38*P38*('Modeling - Base Estimates'!$AE$51))</f>
        <v>283457.79622518626</v>
      </c>
      <c r="AT38" s="7">
        <f t="shared" si="6"/>
        <v>2818891.4457789026</v>
      </c>
      <c r="AU38" s="7">
        <f t="shared" si="7"/>
        <v>1132117.9245565757</v>
      </c>
      <c r="AV38" s="5">
        <f t="shared" si="12"/>
        <v>1.4901161193847656E-8</v>
      </c>
      <c r="AX38" s="7">
        <f>SUMIFS('Modeling - Base Estimates'!X:X,'Modeling - Base Estimates'!A:A,A38)</f>
        <v>174357150.83088201</v>
      </c>
      <c r="AY38" s="5">
        <f t="shared" si="13"/>
        <v>3841107.2571396055</v>
      </c>
      <c r="AZ38" s="5">
        <f t="shared" si="13"/>
        <v>1473044.9533713711</v>
      </c>
      <c r="BA38" s="5">
        <f t="shared" si="13"/>
        <v>402741.07806362212</v>
      </c>
      <c r="BB38" s="5">
        <f t="shared" si="13"/>
        <v>2765326.4781690533</v>
      </c>
      <c r="BC38" s="5">
        <f t="shared" si="13"/>
        <v>1110605.2621764014</v>
      </c>
      <c r="BD38" s="5">
        <f t="shared" si="14"/>
        <v>164764325.80196196</v>
      </c>
      <c r="BF38" s="5">
        <f t="shared" si="15"/>
        <v>177734486.27772069</v>
      </c>
      <c r="BG38" s="5">
        <f t="shared" si="16"/>
        <v>3624128.7924621473</v>
      </c>
      <c r="BH38" s="5">
        <f t="shared" si="17"/>
        <v>822256.49666301196</v>
      </c>
      <c r="BI38" s="5">
        <f t="shared" si="18"/>
        <v>4860987.1842695102</v>
      </c>
      <c r="BJ38" s="5">
        <f t="shared" si="18"/>
        <v>283457.79622518626</v>
      </c>
      <c r="BK38" s="5">
        <f t="shared" si="18"/>
        <v>2818891.4457789026</v>
      </c>
      <c r="BL38" s="5">
        <f t="shared" si="18"/>
        <v>1132117.9245565757</v>
      </c>
      <c r="BM38" s="5">
        <f t="shared" si="19"/>
        <v>164192646.63776535</v>
      </c>
      <c r="BO38" s="5">
        <f t="shared" si="20"/>
        <v>-571679.16419661045</v>
      </c>
      <c r="BP38" s="1">
        <f t="shared" si="21"/>
        <v>-3.4696780471989955E-3</v>
      </c>
    </row>
    <row r="39" spans="1:68" x14ac:dyDescent="0.25">
      <c r="A39" s="1">
        <v>55</v>
      </c>
      <c r="B39" s="1">
        <v>210055</v>
      </c>
      <c r="C39" s="4">
        <v>44865831.899999999</v>
      </c>
      <c r="D39" s="4">
        <f>SUM('Modeling - Base Estimates'!E39:G39)-SUM('Scenario 3 - increase MA &amp; QP %'!E39:F39)</f>
        <v>5259864.3000000007</v>
      </c>
      <c r="E39" s="4">
        <f>((SUM('Modeling - Base Estimates'!F39:G39)/SUM('Modeling - Base Estimates'!E39:G39)+$E$61))*SUM('Modeling - Base Estimates'!E39:G39)*('Modeling - Base Estimates'!F39/SUM('Modeling - Base Estimates'!F39:G39)+$E$73)</f>
        <v>1532563.2845033032</v>
      </c>
      <c r="F39" s="4">
        <f>((SUM('Modeling - Base Estimates'!F39:G39)/SUM('Modeling - Base Estimates'!E39:G39)+$E$61))*SUM('Modeling - Base Estimates'!E39:G39)*('Modeling - Base Estimates'!G39/SUM('Modeling - Base Estimates'!F39:G39)-$E$73)</f>
        <v>1519212.4154966965</v>
      </c>
      <c r="G39" s="4">
        <v>-659389</v>
      </c>
      <c r="H39" s="4">
        <v>10444154.399999999</v>
      </c>
      <c r="I39" s="4">
        <v>0</v>
      </c>
      <c r="J39" s="4">
        <v>7020203.4000000004</v>
      </c>
      <c r="K39" s="4">
        <v>124797.3</v>
      </c>
      <c r="L39" s="4">
        <v>7309000</v>
      </c>
      <c r="M39" s="4">
        <f t="shared" si="0"/>
        <v>12315425.800000001</v>
      </c>
      <c r="N39" s="12">
        <f t="shared" si="1"/>
        <v>0.11723541227817957</v>
      </c>
      <c r="O39" s="12">
        <f t="shared" si="2"/>
        <v>3.4158806815823319E-2</v>
      </c>
      <c r="P39" s="12">
        <f t="shared" si="2"/>
        <v>3.3861233619446082E-2</v>
      </c>
      <c r="Q39" s="12">
        <f t="shared" si="9"/>
        <v>0.21808946776711832</v>
      </c>
      <c r="R39" s="12">
        <f t="shared" si="10"/>
        <v>0</v>
      </c>
      <c r="S39" s="12">
        <f t="shared" si="10"/>
        <v>0.15647104049351196</v>
      </c>
      <c r="T39" s="12">
        <f t="shared" si="10"/>
        <v>2.7815666112723969E-3</v>
      </c>
      <c r="U39" s="12">
        <f t="shared" si="10"/>
        <v>0.16290793440074383</v>
      </c>
      <c r="V39" s="12">
        <f t="shared" si="11"/>
        <v>0.27449453801390455</v>
      </c>
      <c r="W39" s="4">
        <f>SUMIFS('Modeling - Base Estimates'!AK:AK,'Modeling - Base Estimates'!A:A,A39)</f>
        <v>24469056.935375791</v>
      </c>
      <c r="X39" s="4">
        <f>(W39*N39*(1-N$2))+(W39*O39*(1-'Modeling - Base Estimates'!$AA$51-N$2))+(W39*P39*(1-'Modeling - Base Estimates'!$AE$51))+(W39*Q39*(1-Q$2))+(W39*R39*(1-R$2))+(W39*S39*(1-S$2))+(W39*T39*(1-T$2))+(W39*U39*(1-U$2))+(W39*V39*(1-V$2))</f>
        <v>23393075.072679557</v>
      </c>
      <c r="Y39" s="5">
        <f>X39*N39*SUMIFS('Modeling - Base Estimates'!AN:AN,'Modeling - Base Estimates'!A:A,A39)</f>
        <v>9559.0829202327768</v>
      </c>
      <c r="Z39" s="4">
        <f t="shared" si="4"/>
        <v>23383515.989759326</v>
      </c>
      <c r="AA39" s="4">
        <f>(((W39*N39*(1-N$2))/X39)*X39)-Y39-(((SUMIFS('Modeling - Base Estimates'!X:X,'Modeling - Base Estimates'!A:A,A39)*N39*(1-N$2))/SUMIFS('Modeling - Base Estimates'!Z:Z,'Modeling - Base Estimates'!A:A,A39))*SUMIFS('Modeling - Base Estimates'!Z:Z,'Modeling - Base Estimates'!A:A,A39))</f>
        <v>11.97333514271304</v>
      </c>
      <c r="AB39" s="4"/>
      <c r="AC39" s="18">
        <f>1-((((W39*O39*(1-N$2-'Modeling - Base Estimates'!$AA$51))/X39)*X39)/('Modeling - Base Estimates'!X39*'Modeling - Base Estimates'!P39))</f>
        <v>-0.17237078302061559</v>
      </c>
      <c r="AD39" s="18">
        <f t="shared" si="22"/>
        <v>-0.24937078302061561</v>
      </c>
      <c r="AE39" s="18">
        <f>1-((((W39*P39*(1-'Modeling - Base Estimates'!$AE$51))/X39)*X39)/(SUMIFS('Modeling - Base Estimates'!X:X,'Modeling - Base Estimates'!A:A,A39)*'Modeling - Base Estimates'!Q39))</f>
        <v>0.11605184142535063</v>
      </c>
      <c r="AF39" s="18">
        <f t="shared" si="23"/>
        <v>3.9051841425350634E-2</v>
      </c>
      <c r="AG39" s="18">
        <f>$N39*(1-$N$2)+$O39*(1-$N$2-'Modeling - Base Estimates'!$AA$51)+$P39*(1-'Modeling - Base Estimates'!$AE$51)+$Q39*(1-$Q$2)+$R39*(1-$R$2)+$S39*(1-$S$2)+$T39*(1-$T$2)+$U39*(1-$U$2)+$V39*(1-$V$2)</f>
        <v>0.95602683562599222</v>
      </c>
      <c r="AH39" s="18" t="e">
        <f>$O39*(1-$N$2-#REF!)+$P39*(1-#REF!)+$Q39*(1-$Q$2)+$R39*(1-$R$2)+$S39*(1-$S$2)+$T39*(1-$T$2)+$U39*(1-$U$2)+$V39*(1-$V$2)</f>
        <v>#REF!</v>
      </c>
      <c r="AJ39" s="7">
        <f>(SUMIFS('Modeling - Base Estimates'!$X:$X,'Modeling - Base Estimates'!$A:$A,$A39)*SUMIFS('Modeling - Base Estimates'!O:O,'Modeling - Base Estimates'!$A:$A,$A39)*($N$2))</f>
        <v>237475.89137408082</v>
      </c>
      <c r="AK39" s="7">
        <f>(SUMIFS('Modeling - Base Estimates'!$X:$X,'Modeling - Base Estimates'!$A:$A,$A39)*SUMIFS('Modeling - Base Estimates'!P:P,'Modeling - Base Estimates'!$A:$A,$A39)*($N$2))</f>
        <v>44363.446596558846</v>
      </c>
      <c r="AL39" s="7">
        <f>(SUMIFS('Modeling - Base Estimates'!$X:$X,'Modeling - Base Estimates'!$A:$A,$A39)*SUMIFS('Modeling - Base Estimates'!Q:Q,'Modeling - Base Estimates'!$A:$A,$A39)*($N$2))</f>
        <v>65941.96651998075</v>
      </c>
      <c r="AM39" s="7">
        <f>(SUMIFS('Modeling - Base Estimates'!$X:$X,'Modeling - Base Estimates'!$A:$A,$A39)*SUMIFS('Modeling - Base Estimates'!R:R,'Modeling - Base Estimates'!$A:$A,$A39)*($N$2))</f>
        <v>409420.82127554697</v>
      </c>
      <c r="AN39" s="7">
        <f>(SUMIFS('Modeling - Base Estimates'!X:X,'Modeling - Base Estimates'!A:A,$A39)*$R39*($R$2))+(SUMIFS('Modeling - Base Estimates'!X:X,'Modeling - Base Estimates'!A:A,$A39)*$S39*($S$2))+(SUMIFS('Modeling - Base Estimates'!X:X,'Modeling - Base Estimates'!A:A,$A39)*$T39*($T$2))+(SUMIFS('Modeling - Base Estimates'!X:X,'Modeling - Base Estimates'!A:A,$A39)*$U39*($U$2))+(SUMIFS('Modeling - Base Estimates'!X:X,'Modeling - Base Estimates'!A:A,$A39)*$V39*($V$2))</f>
        <v>211500.37041196052</v>
      </c>
      <c r="AO39" s="7">
        <f>SUM(AJ39:AN39)-(SUMIFS('Modeling - Base Estimates'!X:X,'Modeling - Base Estimates'!A:A,A39)-SUMIFS('Modeling - Base Estimates'!Z:Z,'Modeling - Base Estimates'!A:A,A39))</f>
        <v>3.8417056202888489E-9</v>
      </c>
      <c r="AQ39" s="7">
        <f t="shared" si="5"/>
        <v>220885.27829653132</v>
      </c>
      <c r="AR39" s="7">
        <f>(W39*$O39*($N$2+'Modeling - Base Estimates'!$AA$51))</f>
        <v>160373.93656242936</v>
      </c>
      <c r="AS39" s="7">
        <f>(W39*P39*('Modeling - Base Estimates'!$AE$51))</f>
        <v>71548.818555401725</v>
      </c>
      <c r="AT39" s="7">
        <f t="shared" si="6"/>
        <v>410906.15749255545</v>
      </c>
      <c r="AU39" s="7">
        <f t="shared" si="7"/>
        <v>212267.67178931809</v>
      </c>
      <c r="AV39" s="5">
        <f t="shared" si="12"/>
        <v>1.862645149230957E-9</v>
      </c>
      <c r="AX39" s="7">
        <f>SUMIFS('Modeling - Base Estimates'!X:X,'Modeling - Base Estimates'!A:A,A39)</f>
        <v>24380606.626711786</v>
      </c>
      <c r="AY39" s="5">
        <f t="shared" si="13"/>
        <v>237475.89137408082</v>
      </c>
      <c r="AZ39" s="5">
        <f t="shared" si="13"/>
        <v>44363.446596558846</v>
      </c>
      <c r="BA39" s="5">
        <f t="shared" si="13"/>
        <v>65941.96651998075</v>
      </c>
      <c r="BB39" s="5">
        <f t="shared" si="13"/>
        <v>409420.82127554697</v>
      </c>
      <c r="BC39" s="5">
        <f t="shared" si="13"/>
        <v>211500.37041196052</v>
      </c>
      <c r="BD39" s="5">
        <f t="shared" si="14"/>
        <v>23411904.130533658</v>
      </c>
      <c r="BF39" s="5">
        <f t="shared" si="15"/>
        <v>24469056.935375791</v>
      </c>
      <c r="BG39" s="5">
        <f t="shared" si="16"/>
        <v>220885.27829653132</v>
      </c>
      <c r="BH39" s="5">
        <f t="shared" si="17"/>
        <v>9559.0829202327768</v>
      </c>
      <c r="BI39" s="5">
        <f t="shared" si="18"/>
        <v>160373.93656242936</v>
      </c>
      <c r="BJ39" s="5">
        <f t="shared" si="18"/>
        <v>71548.818555401725</v>
      </c>
      <c r="BK39" s="5">
        <f t="shared" si="18"/>
        <v>410906.15749255545</v>
      </c>
      <c r="BL39" s="5">
        <f t="shared" si="18"/>
        <v>212267.67178931809</v>
      </c>
      <c r="BM39" s="5">
        <f t="shared" si="19"/>
        <v>23383515.989759322</v>
      </c>
      <c r="BO39" s="5">
        <f t="shared" si="20"/>
        <v>-28388.140774335712</v>
      </c>
      <c r="BP39" s="1">
        <f t="shared" si="21"/>
        <v>-1.2125515556554872E-3</v>
      </c>
    </row>
    <row r="40" spans="1:68" x14ac:dyDescent="0.25">
      <c r="A40" s="1">
        <v>2004</v>
      </c>
      <c r="B40" s="1">
        <v>210056</v>
      </c>
      <c r="C40" s="4">
        <v>328543892.10000002</v>
      </c>
      <c r="D40" s="4">
        <f>SUM('Modeling - Base Estimates'!E40:G40)-SUM('Scenario 3 - increase MA &amp; QP %'!E40:F40)</f>
        <v>112642782.70500001</v>
      </c>
      <c r="E40" s="4">
        <f>((SUM('Modeling - Base Estimates'!F40:G40)/SUM('Modeling - Base Estimates'!E40:G40)+$E$61))*SUM('Modeling - Base Estimates'!E40:G40)*('Modeling - Base Estimates'!F40/SUM('Modeling - Base Estimates'!F40:G40)+$E$73)</f>
        <v>37775909.361254364</v>
      </c>
      <c r="F40" s="4">
        <f>((SUM('Modeling - Base Estimates'!F40:G40)/SUM('Modeling - Base Estimates'!E40:G40)+$E$61))*SUM('Modeling - Base Estimates'!E40:G40)*('Modeling - Base Estimates'!G40/SUM('Modeling - Base Estimates'!F40:G40)-$E$73)</f>
        <v>38926829.833745629</v>
      </c>
      <c r="G40" s="4">
        <v>14512319.600000001</v>
      </c>
      <c r="H40" s="4">
        <v>56449240.799999997</v>
      </c>
      <c r="I40" s="4">
        <v>8904352.6999999993</v>
      </c>
      <c r="J40" s="4">
        <v>14951033.699999999</v>
      </c>
      <c r="K40" s="4">
        <v>2970682.3</v>
      </c>
      <c r="L40" s="4">
        <v>17450430.300000001</v>
      </c>
      <c r="M40" s="4">
        <f t="shared" si="0"/>
        <v>23960310.800000012</v>
      </c>
      <c r="N40" s="12">
        <f t="shared" si="1"/>
        <v>0.34285459390221912</v>
      </c>
      <c r="O40" s="12">
        <f t="shared" si="2"/>
        <v>0.11497979499724312</v>
      </c>
      <c r="P40" s="12">
        <f t="shared" si="2"/>
        <v>0.11848289001792593</v>
      </c>
      <c r="Q40" s="12">
        <f t="shared" si="9"/>
        <v>0.21598806767164369</v>
      </c>
      <c r="R40" s="12">
        <f t="shared" si="10"/>
        <v>2.7102475237280477E-2</v>
      </c>
      <c r="S40" s="12">
        <f t="shared" si="10"/>
        <v>4.5506959829432175E-2</v>
      </c>
      <c r="T40" s="12">
        <f t="shared" si="10"/>
        <v>9.0419647767970169E-3</v>
      </c>
      <c r="U40" s="12">
        <f t="shared" si="10"/>
        <v>5.3114456605659721E-2</v>
      </c>
      <c r="V40" s="12">
        <f t="shared" si="11"/>
        <v>7.2928796961798728E-2</v>
      </c>
      <c r="W40" s="4">
        <f>SUMIFS('Modeling - Base Estimates'!AK:AK,'Modeling - Base Estimates'!A:A,A40)</f>
        <v>180434177.19137433</v>
      </c>
      <c r="X40" s="4">
        <f>(W40*N40*(1-N$2))+(W40*O40*(1-'Modeling - Base Estimates'!$AA$51-N$2))+(W40*P40*(1-'Modeling - Base Estimates'!$AE$51))+(W40*Q40*(1-Q$2))+(W40*R40*(1-R$2))+(W40*S40*(1-S$2))+(W40*T40*(1-T$2))+(W40*U40*(1-U$2))+(W40*V40*(1-V$2))</f>
        <v>166273119.30494806</v>
      </c>
      <c r="Y40" s="5">
        <f>X40*N40*SUMIFS('Modeling - Base Estimates'!AN:AN,'Modeling - Base Estimates'!A:A,A40)</f>
        <v>999658.45253564732</v>
      </c>
      <c r="Z40" s="4">
        <f t="shared" si="4"/>
        <v>165273460.8524124</v>
      </c>
      <c r="AA40" s="4">
        <f>(((W40*N40*(1-N$2))/X40)*X40)-Y40-(((SUMIFS('Modeling - Base Estimates'!X:X,'Modeling - Base Estimates'!A:A,A40)*N40*(1-N$2))/SUMIFS('Modeling - Base Estimates'!Z:Z,'Modeling - Base Estimates'!A:A,A40))*SUMIFS('Modeling - Base Estimates'!Z:Z,'Modeling - Base Estimates'!A:A,A40))</f>
        <v>4259.4056402444839</v>
      </c>
      <c r="AB40" s="4"/>
      <c r="AC40" s="18">
        <f>1-((((W40*O40*(1-N$2-'Modeling - Base Estimates'!$AA$51))/X40)*X40)/('Modeling - Base Estimates'!X40*'Modeling - Base Estimates'!P40))</f>
        <v>-0.17750537495837992</v>
      </c>
      <c r="AD40" s="18">
        <f t="shared" si="22"/>
        <v>-0.25450537495837994</v>
      </c>
      <c r="AE40" s="18">
        <f>1-((((W40*P40*(1-'Modeling - Base Estimates'!$AE$51))/X40)*X40)/(SUMIFS('Modeling - Base Estimates'!X:X,'Modeling - Base Estimates'!A:A,A40)*'Modeling - Base Estimates'!Q40))</f>
        <v>0.11369291359772316</v>
      </c>
      <c r="AF40" s="18">
        <f t="shared" si="23"/>
        <v>3.6692913597723156E-2</v>
      </c>
      <c r="AG40" s="18">
        <f>$N40*(1-$N$2)+$O40*(1-$N$2-'Modeling - Base Estimates'!$AA$51)+$P40*(1-'Modeling - Base Estimates'!$AE$51)+$Q40*(1-$Q$2)+$R40*(1-$R$2)+$S40*(1-$S$2)+$T40*(1-$T$2)+$U40*(1-$U$2)+$V40*(1-$V$2)</f>
        <v>0.9215167652444991</v>
      </c>
      <c r="AH40" s="18" t="e">
        <f>$O40*(1-$N$2-#REF!)+$P40*(1-#REF!)+$Q40*(1-$Q$2)+$R40*(1-$R$2)+$S40*(1-$S$2)+$T40*(1-$T$2)+$U40*(1-$U$2)+$V40*(1-$V$2)</f>
        <v>#REF!</v>
      </c>
      <c r="AJ40" s="7">
        <f>(SUMIFS('Modeling - Base Estimates'!$X:$X,'Modeling - Base Estimates'!$A:$A,$A40)*SUMIFS('Modeling - Base Estimates'!O:O,'Modeling - Base Estimates'!$A:$A,$A40)*($N$2))</f>
        <v>5072988.6734302938</v>
      </c>
      <c r="AK40" s="7">
        <f>(SUMIFS('Modeling - Base Estimates'!$X:$X,'Modeling - Base Estimates'!$A:$A,$A40)*SUMIFS('Modeling - Base Estimates'!P:P,'Modeling - Base Estimates'!$A:$A,$A40)*($N$2))</f>
        <v>1096346.356045597</v>
      </c>
      <c r="AL40" s="7">
        <f>(SUMIFS('Modeling - Base Estimates'!$X:$X,'Modeling - Base Estimates'!$A:$A,$A40)*SUMIFS('Modeling - Base Estimates'!Q:Q,'Modeling - Base Estimates'!$A:$A,$A40)*($N$2))</f>
        <v>1696910.3675285999</v>
      </c>
      <c r="AM40" s="7">
        <f>(SUMIFS('Modeling - Base Estimates'!$X:$X,'Modeling - Base Estimates'!$A:$A,$A40)*SUMIFS('Modeling - Base Estimates'!R:R,'Modeling - Base Estimates'!$A:$A,$A40)*($N$2))</f>
        <v>2948055.1864097519</v>
      </c>
      <c r="AN40" s="7">
        <f>(SUMIFS('Modeling - Base Estimates'!X:X,'Modeling - Base Estimates'!A:A,$A40)*$R40*($R$2))+(SUMIFS('Modeling - Base Estimates'!X:X,'Modeling - Base Estimates'!A:A,$A40)*$S40*($S$2))+(SUMIFS('Modeling - Base Estimates'!X:X,'Modeling - Base Estimates'!A:A,$A40)*$T40*($T$2))+(SUMIFS('Modeling - Base Estimates'!X:X,'Modeling - Base Estimates'!A:A,$A40)*$U40*($U$2))+(SUMIFS('Modeling - Base Estimates'!X:X,'Modeling - Base Estimates'!A:A,$A40)*$V40*($V$2))</f>
        <v>560033.82353039505</v>
      </c>
      <c r="AO40" s="7">
        <f>SUM(AJ40:AN40)-(SUMIFS('Modeling - Base Estimates'!X:X,'Modeling - Base Estimates'!A:A,A40)-SUMIFS('Modeling - Base Estimates'!Z:Z,'Modeling - Base Estimates'!A:A,A40))</f>
        <v>0</v>
      </c>
      <c r="AQ40" s="7">
        <f t="shared" si="5"/>
        <v>4763426.8641212862</v>
      </c>
      <c r="AR40" s="7">
        <f>(W40*$O40*($N$2+'Modeling - Base Estimates'!$AA$51))</f>
        <v>3980651.8850030056</v>
      </c>
      <c r="AS40" s="7">
        <f>(W40*P40*('Modeling - Base Estimates'!$AE$51))</f>
        <v>1846107.1387822493</v>
      </c>
      <c r="AT40" s="7">
        <f t="shared" si="6"/>
        <v>3000815.4540585689</v>
      </c>
      <c r="AU40" s="7">
        <f t="shared" si="7"/>
        <v>570056.54446115135</v>
      </c>
      <c r="AV40" s="5">
        <f t="shared" si="12"/>
        <v>0</v>
      </c>
      <c r="AX40" s="7">
        <f>SUMIFS('Modeling - Base Estimates'!X:X,'Modeling - Base Estimates'!A:A,A40)</f>
        <v>177261787.67680568</v>
      </c>
      <c r="AY40" s="5">
        <f t="shared" si="13"/>
        <v>5072988.6734302938</v>
      </c>
      <c r="AZ40" s="5">
        <f t="shared" si="13"/>
        <v>1096346.356045597</v>
      </c>
      <c r="BA40" s="5">
        <f t="shared" si="13"/>
        <v>1696910.3675285999</v>
      </c>
      <c r="BB40" s="5">
        <f t="shared" si="13"/>
        <v>2948055.1864097519</v>
      </c>
      <c r="BC40" s="5">
        <f t="shared" si="13"/>
        <v>560033.82353039505</v>
      </c>
      <c r="BD40" s="5">
        <f t="shared" si="14"/>
        <v>165887453.26986104</v>
      </c>
      <c r="BF40" s="5">
        <f t="shared" si="15"/>
        <v>180434177.19137433</v>
      </c>
      <c r="BG40" s="5">
        <f t="shared" si="16"/>
        <v>4763426.8641212862</v>
      </c>
      <c r="BH40" s="5">
        <f t="shared" si="17"/>
        <v>999658.45253564732</v>
      </c>
      <c r="BI40" s="5">
        <f t="shared" si="18"/>
        <v>3980651.8850030056</v>
      </c>
      <c r="BJ40" s="5">
        <f t="shared" si="18"/>
        <v>1846107.1387822493</v>
      </c>
      <c r="BK40" s="5">
        <f t="shared" si="18"/>
        <v>3000815.4540585689</v>
      </c>
      <c r="BL40" s="5">
        <f t="shared" si="18"/>
        <v>570056.54446115135</v>
      </c>
      <c r="BM40" s="5">
        <f t="shared" si="19"/>
        <v>165273460.85241243</v>
      </c>
      <c r="BO40" s="5">
        <f t="shared" si="20"/>
        <v>-613992.41744861007</v>
      </c>
      <c r="BP40" s="1">
        <f t="shared" si="21"/>
        <v>-3.7012589279418525E-3</v>
      </c>
    </row>
    <row r="41" spans="1:68" x14ac:dyDescent="0.25">
      <c r="A41" s="1">
        <v>2001</v>
      </c>
      <c r="B41" s="1">
        <v>210058</v>
      </c>
      <c r="C41" s="4">
        <v>156242273.30000001</v>
      </c>
      <c r="D41" s="4">
        <f>SUM('Modeling - Base Estimates'!E41:G41)-SUM('Scenario 3 - increase MA &amp; QP %'!E41:F41)</f>
        <v>44877274.785000004</v>
      </c>
      <c r="E41" s="4">
        <f>((SUM('Modeling - Base Estimates'!F41:G41)/SUM('Modeling - Base Estimates'!E41:G41)+$E$61))*SUM('Modeling - Base Estimates'!E41:G41)*('Modeling - Base Estimates'!F41/SUM('Modeling - Base Estimates'!F41:G41)+$E$73)</f>
        <v>7698153.9044481758</v>
      </c>
      <c r="F41" s="4">
        <f>((SUM('Modeling - Base Estimates'!F41:G41)/SUM('Modeling - Base Estimates'!E41:G41)+$E$61))*SUM('Modeling - Base Estimates'!E41:G41)*('Modeling - Base Estimates'!G41/SUM('Modeling - Base Estimates'!F41:G41)-$E$73)</f>
        <v>7742847.6105518229</v>
      </c>
      <c r="G41" s="4">
        <v>3676701.8</v>
      </c>
      <c r="H41" s="4">
        <v>32997858.800000001</v>
      </c>
      <c r="I41" s="4">
        <v>11239838.799999999</v>
      </c>
      <c r="J41" s="4">
        <v>13550906.300000001</v>
      </c>
      <c r="K41" s="4">
        <v>407449.59999999998</v>
      </c>
      <c r="L41" s="4">
        <v>5372000</v>
      </c>
      <c r="M41" s="4">
        <f t="shared" si="0"/>
        <v>28679241.700000033</v>
      </c>
      <c r="N41" s="12">
        <f t="shared" si="1"/>
        <v>0.28722876233905897</v>
      </c>
      <c r="O41" s="12">
        <f t="shared" si="2"/>
        <v>4.9270621464057869E-2</v>
      </c>
      <c r="P41" s="12">
        <f t="shared" si="2"/>
        <v>4.9556675328736546E-2</v>
      </c>
      <c r="Q41" s="12">
        <f t="shared" si="9"/>
        <v>0.23472879538549316</v>
      </c>
      <c r="R41" s="12">
        <f t="shared" si="10"/>
        <v>7.1938525743403897E-2</v>
      </c>
      <c r="S41" s="12">
        <f t="shared" si="10"/>
        <v>8.6730089199233376E-2</v>
      </c>
      <c r="T41" s="12">
        <f t="shared" si="10"/>
        <v>2.6078063983212664E-3</v>
      </c>
      <c r="U41" s="12">
        <f t="shared" si="10"/>
        <v>3.4382500244893706E-2</v>
      </c>
      <c r="V41" s="12">
        <f t="shared" si="11"/>
        <v>0.18355622389680137</v>
      </c>
      <c r="W41" s="4">
        <f>SUMIFS('Modeling - Base Estimates'!AK:AK,'Modeling - Base Estimates'!A:A,A41)</f>
        <v>85276562.660868511</v>
      </c>
      <c r="X41" s="4">
        <f>(W41*N41*(1-N$2))+(W41*O41*(1-'Modeling - Base Estimates'!$AA$51-N$2))+(W41*P41*(1-'Modeling - Base Estimates'!$AE$51))+(W41*Q41*(1-Q$2))+(W41*R41*(1-R$2))+(W41*S41*(1-S$2))+(W41*T41*(1-T$2))+(W41*U41*(1-U$2))+(W41*V41*(1-V$2))</f>
        <v>80074662.469807133</v>
      </c>
      <c r="Y41" s="5">
        <f>X41*N41*SUMIFS('Modeling - Base Estimates'!AN:AN,'Modeling - Base Estimates'!A:A,A41)</f>
        <v>139571.19551708252</v>
      </c>
      <c r="Z41" s="4">
        <f t="shared" si="4"/>
        <v>79935091.274290055</v>
      </c>
      <c r="AA41" s="4">
        <f>(((W41*N41*(1-N$2))/X41)*X41)-Y41-(((SUMIFS('Modeling - Base Estimates'!X:X,'Modeling - Base Estimates'!A:A,A41)*N41*(1-N$2))/SUMIFS('Modeling - Base Estimates'!Z:Z,'Modeling - Base Estimates'!A:A,A41))*SUMIFS('Modeling - Base Estimates'!Z:Z,'Modeling - Base Estimates'!A:A,A41))</f>
        <v>302.50119252875447</v>
      </c>
      <c r="AB41" s="4"/>
      <c r="AC41" s="18">
        <f>1-((((W41*O41*(1-N$2-'Modeling - Base Estimates'!$AA$51))/X41)*X41)/('Modeling - Base Estimates'!X41*'Modeling - Base Estimates'!P41))</f>
        <v>-0.26408485915989344</v>
      </c>
      <c r="AD41" s="18">
        <f t="shared" si="22"/>
        <v>-0.34108485915989345</v>
      </c>
      <c r="AE41" s="18">
        <f>1-((((W41*P41*(1-'Modeling - Base Estimates'!$AE$51))/X41)*X41)/(SUMIFS('Modeling - Base Estimates'!X:X,'Modeling - Base Estimates'!A:A,A41)*'Modeling - Base Estimates'!Q41))</f>
        <v>4.7473702280334318E-2</v>
      </c>
      <c r="AF41" s="18">
        <f t="shared" si="23"/>
        <v>-2.9526297719665681E-2</v>
      </c>
      <c r="AG41" s="18">
        <f>$N41*(1-$N$2)+$O41*(1-$N$2-'Modeling - Base Estimates'!$AA$51)+$P41*(1-'Modeling - Base Estimates'!$AE$51)+$Q41*(1-$Q$2)+$R41*(1-$R$2)+$S41*(1-$S$2)+$T41*(1-$T$2)+$U41*(1-$U$2)+$V41*(1-$V$2)</f>
        <v>0.9389996497425851</v>
      </c>
      <c r="AH41" s="18" t="e">
        <f>$O41*(1-$N$2-#REF!)+$P41*(1-#REF!)+$Q41*(1-$Q$2)+$R41*(1-$R$2)+$S41*(1-$S$2)+$T41*(1-$T$2)+$U41*(1-$U$2)+$V41*(1-$V$2)</f>
        <v>#REF!</v>
      </c>
      <c r="AJ41" s="7">
        <f>(SUMIFS('Modeling - Base Estimates'!$X:$X,'Modeling - Base Estimates'!$A:$A,$A41)*SUMIFS('Modeling - Base Estimates'!O:O,'Modeling - Base Estimates'!$A:$A,$A41)*($N$2))</f>
        <v>2000323.831011062</v>
      </c>
      <c r="AK41" s="7">
        <f>(SUMIFS('Modeling - Base Estimates'!$X:$X,'Modeling - Base Estimates'!$A:$A,$A41)*SUMIFS('Modeling - Base Estimates'!P:P,'Modeling - Base Estimates'!$A:$A,$A41)*($N$2))</f>
        <v>206829.19390083037</v>
      </c>
      <c r="AL41" s="7">
        <f>(SUMIFS('Modeling - Base Estimates'!$X:$X,'Modeling - Base Estimates'!$A:$A,$A41)*SUMIFS('Modeling - Base Estimates'!Q:Q,'Modeling - Base Estimates'!$A:$A,$A41)*($N$2))</f>
        <v>312121.40753631061</v>
      </c>
      <c r="AM41" s="7">
        <f>(SUMIFS('Modeling - Base Estimates'!$X:$X,'Modeling - Base Estimates'!$A:$A,$A41)*SUMIFS('Modeling - Base Estimates'!R:R,'Modeling - Base Estimates'!$A:$A,$A41)*($N$2))</f>
        <v>1531762.6515274316</v>
      </c>
      <c r="AN41" s="7">
        <f>(SUMIFS('Modeling - Base Estimates'!X:X,'Modeling - Base Estimates'!A:A,$A41)*$R41*($R$2))+(SUMIFS('Modeling - Base Estimates'!X:X,'Modeling - Base Estimates'!A:A,$A41)*$S41*($S$2))+(SUMIFS('Modeling - Base Estimates'!X:X,'Modeling - Base Estimates'!A:A,$A41)*$T41*($T$2))+(SUMIFS('Modeling - Base Estimates'!X:X,'Modeling - Base Estimates'!A:A,$A41)*$U41*($U$2))+(SUMIFS('Modeling - Base Estimates'!X:X,'Modeling - Base Estimates'!A:A,$A41)*$V41*($V$2))</f>
        <v>599725.95400697482</v>
      </c>
      <c r="AO41" s="7">
        <f>SUM(AJ41:AN41)-(SUMIFS('Modeling - Base Estimates'!X:X,'Modeling - Base Estimates'!A:A,A41)-SUMIFS('Modeling - Base Estimates'!Z:Z,'Modeling - Base Estimates'!A:A,A41))</f>
        <v>0</v>
      </c>
      <c r="AQ41" s="7">
        <f t="shared" si="5"/>
        <v>1886028.8793200064</v>
      </c>
      <c r="AR41" s="7">
        <f>(W41*$O41*($N$2+'Modeling - Base Estimates'!$AA$51))</f>
        <v>806179.20690167078</v>
      </c>
      <c r="AS41" s="7">
        <f>(W41*P41*('Modeling - Base Estimates'!$AE$51))</f>
        <v>364933.98400528048</v>
      </c>
      <c r="AT41" s="7">
        <f t="shared" si="6"/>
        <v>1541298.5917560917</v>
      </c>
      <c r="AU41" s="7">
        <f t="shared" si="7"/>
        <v>603459.52907833713</v>
      </c>
      <c r="AV41" s="5">
        <f t="shared" si="12"/>
        <v>9.3132257461547852E-9</v>
      </c>
      <c r="AX41" s="7">
        <f>SUMIFS('Modeling - Base Estimates'!X:X,'Modeling - Base Estimates'!A:A,A41)</f>
        <v>84748960.67070961</v>
      </c>
      <c r="AY41" s="5">
        <f t="shared" si="13"/>
        <v>2000323.831011062</v>
      </c>
      <c r="AZ41" s="5">
        <f t="shared" si="13"/>
        <v>206829.19390083037</v>
      </c>
      <c r="BA41" s="5">
        <f t="shared" si="13"/>
        <v>312121.40753631061</v>
      </c>
      <c r="BB41" s="5">
        <f t="shared" si="13"/>
        <v>1531762.6515274316</v>
      </c>
      <c r="BC41" s="5">
        <f t="shared" si="13"/>
        <v>599725.95400697482</v>
      </c>
      <c r="BD41" s="5">
        <f t="shared" si="14"/>
        <v>80098197.632726997</v>
      </c>
      <c r="BF41" s="5">
        <f t="shared" si="15"/>
        <v>85276562.660868511</v>
      </c>
      <c r="BG41" s="5">
        <f t="shared" si="16"/>
        <v>1886028.8793200064</v>
      </c>
      <c r="BH41" s="5">
        <f t="shared" si="17"/>
        <v>139571.19551708252</v>
      </c>
      <c r="BI41" s="5">
        <f t="shared" si="18"/>
        <v>806179.20690167078</v>
      </c>
      <c r="BJ41" s="5">
        <f t="shared" si="18"/>
        <v>364933.98400528048</v>
      </c>
      <c r="BK41" s="5">
        <f t="shared" si="18"/>
        <v>1541298.5917560917</v>
      </c>
      <c r="BL41" s="5">
        <f t="shared" si="18"/>
        <v>603459.52907833713</v>
      </c>
      <c r="BM41" s="5">
        <f t="shared" si="19"/>
        <v>79935091.27429004</v>
      </c>
      <c r="BO41" s="5">
        <f t="shared" si="20"/>
        <v>-163106.358436957</v>
      </c>
      <c r="BP41" s="1">
        <f t="shared" si="21"/>
        <v>-2.0363299457104643E-3</v>
      </c>
    </row>
    <row r="42" spans="1:68" x14ac:dyDescent="0.25">
      <c r="A42" s="1">
        <v>61</v>
      </c>
      <c r="B42" s="1">
        <v>210061</v>
      </c>
      <c r="C42" s="4">
        <v>140018931</v>
      </c>
      <c r="D42" s="4">
        <f>SUM('Modeling - Base Estimates'!E42:G42)-SUM('Scenario 3 - increase MA &amp; QP %'!E42:F42)</f>
        <v>53018087.200000003</v>
      </c>
      <c r="E42" s="4">
        <f>((SUM('Modeling - Base Estimates'!F42:G42)/SUM('Modeling - Base Estimates'!E42:G42)+$E$61))*SUM('Modeling - Base Estimates'!E42:G42)*('Modeling - Base Estimates'!F42/SUM('Modeling - Base Estimates'!F42:G42)+$E$73)</f>
        <v>10809213.344172526</v>
      </c>
      <c r="F42" s="4">
        <f>((SUM('Modeling - Base Estimates'!F42:G42)/SUM('Modeling - Base Estimates'!E42:G42)+$E$61))*SUM('Modeling - Base Estimates'!E42:G42)*('Modeling - Base Estimates'!G42/SUM('Modeling - Base Estimates'!F42:G42)-$E$73)</f>
        <v>12995595.455827475</v>
      </c>
      <c r="G42" s="4">
        <v>2058348</v>
      </c>
      <c r="H42" s="4">
        <v>14009632</v>
      </c>
      <c r="I42" s="4">
        <v>4007551</v>
      </c>
      <c r="J42" s="4">
        <v>18777367</v>
      </c>
      <c r="K42" s="4">
        <v>1705777</v>
      </c>
      <c r="L42" s="4">
        <v>5700964</v>
      </c>
      <c r="M42" s="4">
        <f t="shared" si="0"/>
        <v>16936396</v>
      </c>
      <c r="N42" s="12">
        <f t="shared" si="1"/>
        <v>0.37864942134146135</v>
      </c>
      <c r="O42" s="12">
        <f t="shared" si="2"/>
        <v>7.7198227889431079E-2</v>
      </c>
      <c r="P42" s="12">
        <f t="shared" si="2"/>
        <v>9.2813131503107063E-2</v>
      </c>
      <c r="Q42" s="12">
        <f t="shared" si="9"/>
        <v>0.11475576827536271</v>
      </c>
      <c r="R42" s="12">
        <f t="shared" si="10"/>
        <v>2.8621494046401484E-2</v>
      </c>
      <c r="S42" s="12">
        <f t="shared" si="10"/>
        <v>0.13410591600645771</v>
      </c>
      <c r="T42" s="12">
        <f t="shared" si="10"/>
        <v>1.2182474097020494E-2</v>
      </c>
      <c r="U42" s="12">
        <f t="shared" si="10"/>
        <v>4.0715665798076978E-2</v>
      </c>
      <c r="V42" s="12">
        <f t="shared" si="11"/>
        <v>0.12095790104268116</v>
      </c>
      <c r="W42" s="4">
        <f>SUMIFS('Modeling - Base Estimates'!AK:AK,'Modeling - Base Estimates'!A:A,A42)</f>
        <v>78508921.646534726</v>
      </c>
      <c r="X42" s="4">
        <f>(W42*N42*(1-N$2))+(W42*O42*(1-'Modeling - Base Estimates'!$AA$51-N$2))+(W42*P42*(1-'Modeling - Base Estimates'!$AE$51))+(W42*Q42*(1-Q$2))+(W42*R42*(1-R$2))+(W42*S42*(1-S$2))+(W42*T42*(1-T$2))+(W42*U42*(1-U$2))+(W42*V42*(1-V$2))</f>
        <v>73263885.850333571</v>
      </c>
      <c r="Y42" s="5">
        <f>X42*N42*SUMIFS('Modeling - Base Estimates'!AN:AN,'Modeling - Base Estimates'!A:A,A42)</f>
        <v>321533.34949340776</v>
      </c>
      <c r="Z42" s="4">
        <f t="shared" si="4"/>
        <v>72942352.500840157</v>
      </c>
      <c r="AA42" s="4">
        <f>(((W42*N42*(1-N$2))/X42)*X42)-Y42-(((SUMIFS('Modeling - Base Estimates'!X:X,'Modeling - Base Estimates'!A:A,A42)*N42*(1-N$2))/SUMIFS('Modeling - Base Estimates'!Z:Z,'Modeling - Base Estimates'!A:A,A42))*SUMIFS('Modeling - Base Estimates'!Z:Z,'Modeling - Base Estimates'!A:A,A42))</f>
        <v>1059.6705352626741</v>
      </c>
      <c r="AB42" s="4"/>
      <c r="AC42" s="18">
        <f>1-((((W42*O42*(1-N$2-'Modeling - Base Estimates'!$AA$51))/X42)*X42)/('Modeling - Base Estimates'!X42*'Modeling - Base Estimates'!P42))</f>
        <v>-0.25046672829220729</v>
      </c>
      <c r="AD42" s="18">
        <f t="shared" si="22"/>
        <v>-0.3274667282922073</v>
      </c>
      <c r="AE42" s="18">
        <f>1-((((W42*P42*(1-'Modeling - Base Estimates'!$AE$51))/X42)*X42)/(SUMIFS('Modeling - Base Estimates'!X:X,'Modeling - Base Estimates'!A:A,A42)*'Modeling - Base Estimates'!Q42))</f>
        <v>6.8271631971838276E-2</v>
      </c>
      <c r="AF42" s="18">
        <f t="shared" si="23"/>
        <v>-8.7283680281617232E-3</v>
      </c>
      <c r="AG42" s="18">
        <f>$N42*(1-$N$2)+$O42*(1-$N$2-'Modeling - Base Estimates'!$AA$51)+$P42*(1-'Modeling - Base Estimates'!$AE$51)+$Q42*(1-$Q$2)+$R42*(1-$R$2)+$S42*(1-$S$2)+$T42*(1-$T$2)+$U42*(1-$U$2)+$V42*(1-$V$2)</f>
        <v>0.93319185022288931</v>
      </c>
      <c r="AH42" s="18" t="e">
        <f>$O42*(1-$N$2-#REF!)+$P42*(1-#REF!)+$Q42*(1-$Q$2)+$R42*(1-$R$2)+$S42*(1-$S$2)+$T42*(1-$T$2)+$U42*(1-$U$2)+$V42*(1-$V$2)</f>
        <v>#REF!</v>
      </c>
      <c r="AJ42" s="7">
        <f>(SUMIFS('Modeling - Base Estimates'!$X:$X,'Modeling - Base Estimates'!$A:$A,$A42)*SUMIFS('Modeling - Base Estimates'!O:O,'Modeling - Base Estimates'!$A:$A,$A42)*($N$2))</f>
        <v>2425982.7622734015</v>
      </c>
      <c r="AK42" s="7">
        <f>(SUMIFS('Modeling - Base Estimates'!$X:$X,'Modeling - Base Estimates'!$A:$A,$A42)*SUMIFS('Modeling - Base Estimates'!P:P,'Modeling - Base Estimates'!$A:$A,$A42)*($N$2))</f>
        <v>301595.28293181048</v>
      </c>
      <c r="AL42" s="7">
        <f>(SUMIFS('Modeling - Base Estimates'!$X:$X,'Modeling - Base Estimates'!$A:$A,$A42)*SUMIFS('Modeling - Base Estimates'!Q:Q,'Modeling - Base Estimates'!$A:$A,$A42)*($N$2))</f>
        <v>550183.80433792365</v>
      </c>
      <c r="AM42" s="7">
        <f>(SUMIFS('Modeling - Base Estimates'!$X:$X,'Modeling - Base Estimates'!$A:$A,$A42)*SUMIFS('Modeling - Base Estimates'!R:R,'Modeling - Base Estimates'!$A:$A,$A42)*($N$2))</f>
        <v>685563.99960790481</v>
      </c>
      <c r="AN42" s="7">
        <f>(SUMIFS('Modeling - Base Estimates'!X:X,'Modeling - Base Estimates'!A:A,$A42)*$R42*($R$2))+(SUMIFS('Modeling - Base Estimates'!X:X,'Modeling - Base Estimates'!A:A,$A42)*$S42*($S$2))+(SUMIFS('Modeling - Base Estimates'!X:X,'Modeling - Base Estimates'!A:A,$A42)*$T42*($T$2))+(SUMIFS('Modeling - Base Estimates'!X:X,'Modeling - Base Estimates'!A:A,$A42)*$U42*($U$2))+(SUMIFS('Modeling - Base Estimates'!X:X,'Modeling - Base Estimates'!A:A,$A42)*$V42*($V$2))</f>
        <v>464654.87688735605</v>
      </c>
      <c r="AO42" s="7">
        <f>SUM(AJ42:AN42)-(SUMIFS('Modeling - Base Estimates'!X:X,'Modeling - Base Estimates'!A:A,A42)-SUMIFS('Modeling - Base Estimates'!Z:Z,'Modeling - Base Estimates'!A:A,A42))</f>
        <v>0</v>
      </c>
      <c r="AQ42" s="7">
        <f t="shared" si="5"/>
        <v>2289006.546873393</v>
      </c>
      <c r="AR42" s="7">
        <f>(W42*$O42*($N$2+'Modeling - Base Estimates'!$AA$51))</f>
        <v>1162894.212725227</v>
      </c>
      <c r="AS42" s="7">
        <f>(W42*P42*('Modeling - Base Estimates'!$AE$51))</f>
        <v>629232.13996904553</v>
      </c>
      <c r="AT42" s="7">
        <f t="shared" si="6"/>
        <v>693720.07474141265</v>
      </c>
      <c r="AU42" s="7">
        <f t="shared" si="7"/>
        <v>470182.82189206977</v>
      </c>
      <c r="AV42" s="5">
        <f t="shared" si="12"/>
        <v>0</v>
      </c>
      <c r="AX42" s="7">
        <f>SUMIFS('Modeling - Base Estimates'!X:X,'Modeling - Base Estimates'!A:A,A42)</f>
        <v>77585891.325063199</v>
      </c>
      <c r="AY42" s="5">
        <f t="shared" si="13"/>
        <v>2425982.7622734015</v>
      </c>
      <c r="AZ42" s="5">
        <f t="shared" si="13"/>
        <v>301595.28293181048</v>
      </c>
      <c r="BA42" s="5">
        <f t="shared" si="13"/>
        <v>550183.80433792365</v>
      </c>
      <c r="BB42" s="5">
        <f t="shared" si="13"/>
        <v>685563.99960790481</v>
      </c>
      <c r="BC42" s="5">
        <f t="shared" si="13"/>
        <v>464654.87688735605</v>
      </c>
      <c r="BD42" s="5">
        <f t="shared" si="14"/>
        <v>73157910.599024802</v>
      </c>
      <c r="BF42" s="5">
        <f t="shared" si="15"/>
        <v>78508921.646534726</v>
      </c>
      <c r="BG42" s="5">
        <f t="shared" si="16"/>
        <v>2289006.546873393</v>
      </c>
      <c r="BH42" s="5">
        <f t="shared" si="17"/>
        <v>321533.34949340776</v>
      </c>
      <c r="BI42" s="5">
        <f t="shared" si="18"/>
        <v>1162894.212725227</v>
      </c>
      <c r="BJ42" s="5">
        <f t="shared" si="18"/>
        <v>629232.13996904553</v>
      </c>
      <c r="BK42" s="5">
        <f t="shared" si="18"/>
        <v>693720.07474141265</v>
      </c>
      <c r="BL42" s="5">
        <f t="shared" si="18"/>
        <v>470182.82189206977</v>
      </c>
      <c r="BM42" s="5">
        <f t="shared" si="19"/>
        <v>72942352.500840172</v>
      </c>
      <c r="BO42" s="5">
        <f t="shared" si="20"/>
        <v>-215558.09818463027</v>
      </c>
      <c r="BP42" s="1">
        <f t="shared" si="21"/>
        <v>-2.9464769622261967E-3</v>
      </c>
    </row>
    <row r="43" spans="1:68" x14ac:dyDescent="0.25">
      <c r="A43" s="1">
        <v>62</v>
      </c>
      <c r="B43" s="1">
        <v>210062</v>
      </c>
      <c r="C43" s="4">
        <v>361328376.89999998</v>
      </c>
      <c r="D43" s="4">
        <f>SUM('Modeling - Base Estimates'!E43:G43)-SUM('Scenario 3 - increase MA &amp; QP %'!E43:F43)</f>
        <v>97451718.275000021</v>
      </c>
      <c r="E43" s="4">
        <f>((SUM('Modeling - Base Estimates'!F43:G43)/SUM('Modeling - Base Estimates'!E43:G43)+$E$61))*SUM('Modeling - Base Estimates'!E43:G43)*('Modeling - Base Estimates'!F43/SUM('Modeling - Base Estimates'!F43:G43)+$E$73)</f>
        <v>35531598.399617396</v>
      </c>
      <c r="F43" s="4">
        <f>((SUM('Modeling - Base Estimates'!F43:G43)/SUM('Modeling - Base Estimates'!E43:G43)+$E$61))*SUM('Modeling - Base Estimates'!E43:G43)*('Modeling - Base Estimates'!G43/SUM('Modeling - Base Estimates'!F43:G43)-$E$73)</f>
        <v>25758983.825382587</v>
      </c>
      <c r="G43" s="4">
        <v>14412588.5</v>
      </c>
      <c r="H43" s="4">
        <v>54390583.200000003</v>
      </c>
      <c r="I43" s="4">
        <v>15232751.1</v>
      </c>
      <c r="J43" s="4">
        <v>17701477.599999998</v>
      </c>
      <c r="K43" s="4">
        <v>1726075.9000000001</v>
      </c>
      <c r="L43" s="4">
        <v>19159376.799999997</v>
      </c>
      <c r="M43" s="4">
        <f t="shared" si="0"/>
        <v>79963223.300000012</v>
      </c>
      <c r="N43" s="12">
        <f t="shared" si="1"/>
        <v>0.26970402687738648</v>
      </c>
      <c r="O43" s="12">
        <f t="shared" si="2"/>
        <v>9.8336030799626356E-2</v>
      </c>
      <c r="P43" s="12">
        <f t="shared" si="2"/>
        <v>7.1289678509007762E-2</v>
      </c>
      <c r="Q43" s="12">
        <f t="shared" si="9"/>
        <v>0.19041729379323488</v>
      </c>
      <c r="R43" s="12">
        <f t="shared" si="10"/>
        <v>4.2157638518980106E-2</v>
      </c>
      <c r="S43" s="12">
        <f t="shared" si="10"/>
        <v>4.8990001150391239E-2</v>
      </c>
      <c r="T43" s="12">
        <f t="shared" si="10"/>
        <v>4.7770283496933958E-3</v>
      </c>
      <c r="U43" s="12">
        <f t="shared" si="10"/>
        <v>5.3024832880209906E-2</v>
      </c>
      <c r="V43" s="12">
        <f t="shared" si="11"/>
        <v>0.22130346912146998</v>
      </c>
      <c r="W43" s="4">
        <f>SUMIFS('Modeling - Base Estimates'!AK:AK,'Modeling - Base Estimates'!A:A,A43)</f>
        <v>205568698.65455058</v>
      </c>
      <c r="X43" s="4">
        <f>(W43*N43*(1-N$2))+(W43*O43*(1-'Modeling - Base Estimates'!$AA$51-N$2))+(W43*P43*(1-'Modeling - Base Estimates'!$AE$51))+(W43*Q43*(1-Q$2))+(W43*R43*(1-R$2))+(W43*S43*(1-S$2))+(W43*T43*(1-T$2))+(W43*U43*(1-U$2))+(W43*V43*(1-V$2))</f>
        <v>191815438.02078816</v>
      </c>
      <c r="Y43" s="5">
        <f>X43*N43*SUMIFS('Modeling - Base Estimates'!AN:AN,'Modeling - Base Estimates'!A:A,A43)</f>
        <v>670469.4878205097</v>
      </c>
      <c r="Z43" s="4">
        <f t="shared" si="4"/>
        <v>191144968.53296766</v>
      </c>
      <c r="AA43" s="4">
        <f>(((W43*N43*(1-N$2))/X43)*X43)-Y43-(((SUMIFS('Modeling - Base Estimates'!X:X,'Modeling - Base Estimates'!A:A,A43)*N43*(1-N$2))/SUMIFS('Modeling - Base Estimates'!Z:Z,'Modeling - Base Estimates'!A:A,A43))*SUMIFS('Modeling - Base Estimates'!Z:Z,'Modeling - Base Estimates'!A:A,A43))</f>
        <v>2232.7203279882669</v>
      </c>
      <c r="AB43" s="4"/>
      <c r="AC43" s="18">
        <f>1-((((W43*O43*(1-N$2-'Modeling - Base Estimates'!$AA$51))/X43)*X43)/('Modeling - Base Estimates'!X43*'Modeling - Base Estimates'!P43))</f>
        <v>-0.13680893497305879</v>
      </c>
      <c r="AD43" s="18">
        <f t="shared" si="22"/>
        <v>-0.21380893497305881</v>
      </c>
      <c r="AE43" s="18">
        <f>1-((((W43*P43*(1-'Modeling - Base Estimates'!$AE$51))/X43)*X43)/(SUMIFS('Modeling - Base Estimates'!X:X,'Modeling - Base Estimates'!A:A,A43)*'Modeling - Base Estimates'!Q43))</f>
        <v>0.14087412710122105</v>
      </c>
      <c r="AF43" s="18">
        <f t="shared" si="23"/>
        <v>6.3874127101221048E-2</v>
      </c>
      <c r="AG43" s="18">
        <f>$N43*(1-$N$2)+$O43*(1-$N$2-'Modeling - Base Estimates'!$AA$51)+$P43*(1-'Modeling - Base Estimates'!$AE$51)+$Q43*(1-$Q$2)+$R43*(1-$R$2)+$S43*(1-$S$2)+$T43*(1-$T$2)+$U43*(1-$U$2)+$V43*(1-$V$2)</f>
        <v>0.93309652333367055</v>
      </c>
      <c r="AH43" s="18" t="e">
        <f>$O43*(1-$N$2-#REF!)+$P43*(1-#REF!)+$Q43*(1-$Q$2)+$R43*(1-$R$2)+$S43*(1-$S$2)+$T43*(1-$T$2)+$U43*(1-$U$2)+$V43*(1-$V$2)</f>
        <v>#REF!</v>
      </c>
      <c r="AJ43" s="7">
        <f>(SUMIFS('Modeling - Base Estimates'!$X:$X,'Modeling - Base Estimates'!$A:$A,$A43)*SUMIFS('Modeling - Base Estimates'!O:O,'Modeling - Base Estimates'!$A:$A,$A43)*($N$2))</f>
        <v>4556101.2739291489</v>
      </c>
      <c r="AK43" s="7">
        <f>(SUMIFS('Modeling - Base Estimates'!$X:$X,'Modeling - Base Estimates'!$A:$A,$A43)*SUMIFS('Modeling - Base Estimates'!P:P,'Modeling - Base Estimates'!$A:$A,$A43)*($N$2))</f>
        <v>1106502.8199262698</v>
      </c>
      <c r="AL43" s="7">
        <f>(SUMIFS('Modeling - Base Estimates'!$X:$X,'Modeling - Base Estimates'!$A:$A,$A43)*SUMIFS('Modeling - Base Estimates'!Q:Q,'Modeling - Base Estimates'!$A:$A,$A43)*($N$2))</f>
        <v>1200039.4603786499</v>
      </c>
      <c r="AM43" s="7">
        <f>(SUMIFS('Modeling - Base Estimates'!$X:$X,'Modeling - Base Estimates'!$A:$A,$A43)*SUMIFS('Modeling - Base Estimates'!R:R,'Modeling - Base Estimates'!$A:$A,$A43)*($N$2))</f>
        <v>2974453.8241580091</v>
      </c>
      <c r="AN43" s="7">
        <f>(SUMIFS('Modeling - Base Estimates'!X:X,'Modeling - Base Estimates'!A:A,$A43)*$R43*($R$2))+(SUMIFS('Modeling - Base Estimates'!X:X,'Modeling - Base Estimates'!A:A,$A43)*$S43*($S$2))+(SUMIFS('Modeling - Base Estimates'!X:X,'Modeling - Base Estimates'!A:A,$A43)*$T43*($T$2))+(SUMIFS('Modeling - Base Estimates'!X:X,'Modeling - Base Estimates'!A:A,$A43)*$U43*($U$2))+(SUMIFS('Modeling - Base Estimates'!X:X,'Modeling - Base Estimates'!A:A,$A43)*$V43*($V$2))</f>
        <v>1308479.5089991756</v>
      </c>
      <c r="AO43" s="7">
        <f>SUM(AJ43:AN43)-(SUMIFS('Modeling - Base Estimates'!X:X,'Modeling - Base Estimates'!A:A,A43)-SUMIFS('Modeling - Base Estimates'!Z:Z,'Modeling - Base Estimates'!A:A,A43))</f>
        <v>1.4901161193847656E-8</v>
      </c>
      <c r="AQ43" s="7">
        <f t="shared" si="5"/>
        <v>4269088.3486848725</v>
      </c>
      <c r="AR43" s="7">
        <f>(W43*$O43*($N$2+'Modeling - Base Estimates'!$AA$51))</f>
        <v>3878676.2165528792</v>
      </c>
      <c r="AS43" s="7">
        <f>(W43*P43*('Modeling - Base Estimates'!$AE$51))</f>
        <v>1265511.5176786922</v>
      </c>
      <c r="AT43" s="7">
        <f t="shared" si="6"/>
        <v>3014075.3170525325</v>
      </c>
      <c r="AU43" s="7">
        <f t="shared" si="7"/>
        <v>1325909.2337934799</v>
      </c>
      <c r="AV43" s="5">
        <f t="shared" si="12"/>
        <v>3.7252902984619141E-8</v>
      </c>
      <c r="AX43" s="7">
        <f>SUMIFS('Modeling - Base Estimates'!X:X,'Modeling - Base Estimates'!A:A,A43)</f>
        <v>202866397.65795752</v>
      </c>
      <c r="AY43" s="5">
        <f t="shared" si="13"/>
        <v>4556101.2739291489</v>
      </c>
      <c r="AZ43" s="5">
        <f t="shared" si="13"/>
        <v>1106502.8199262698</v>
      </c>
      <c r="BA43" s="5">
        <f t="shared" si="13"/>
        <v>1200039.4603786499</v>
      </c>
      <c r="BB43" s="5">
        <f t="shared" si="13"/>
        <v>2974453.8241580091</v>
      </c>
      <c r="BC43" s="5">
        <f t="shared" si="13"/>
        <v>1308479.5089991756</v>
      </c>
      <c r="BD43" s="5">
        <f t="shared" si="14"/>
        <v>191720820.77056628</v>
      </c>
      <c r="BF43" s="5">
        <f t="shared" si="15"/>
        <v>205568698.65455058</v>
      </c>
      <c r="BG43" s="5">
        <f t="shared" si="16"/>
        <v>4269088.3486848725</v>
      </c>
      <c r="BH43" s="5">
        <f t="shared" si="17"/>
        <v>670469.4878205097</v>
      </c>
      <c r="BI43" s="5">
        <f t="shared" si="18"/>
        <v>3878676.2165528792</v>
      </c>
      <c r="BJ43" s="5">
        <f t="shared" si="18"/>
        <v>1265511.5176786922</v>
      </c>
      <c r="BK43" s="5">
        <f t="shared" si="18"/>
        <v>3014075.3170525325</v>
      </c>
      <c r="BL43" s="5">
        <f t="shared" si="18"/>
        <v>1325909.2337934799</v>
      </c>
      <c r="BM43" s="5">
        <f t="shared" si="19"/>
        <v>191144968.53296763</v>
      </c>
      <c r="BO43" s="5">
        <f t="shared" si="20"/>
        <v>-575852.23759865761</v>
      </c>
      <c r="BP43" s="1">
        <f t="shared" si="21"/>
        <v>-3.0035978110472634E-3</v>
      </c>
    </row>
    <row r="44" spans="1:68" x14ac:dyDescent="0.25">
      <c r="A44" s="1">
        <v>63</v>
      </c>
      <c r="B44" s="1">
        <v>210063</v>
      </c>
      <c r="C44" s="4">
        <v>506646499.30000001</v>
      </c>
      <c r="D44" s="4">
        <f>SUM('Modeling - Base Estimates'!E44:G44)-SUM('Scenario 3 - increase MA &amp; QP %'!E44:F44)</f>
        <v>184906358.32499999</v>
      </c>
      <c r="E44" s="4">
        <f>((SUM('Modeling - Base Estimates'!F44:G44)/SUM('Modeling - Base Estimates'!E44:G44)+$E$61))*SUM('Modeling - Base Estimates'!E44:G44)*('Modeling - Base Estimates'!F44/SUM('Modeling - Base Estimates'!F44:G44)+$E$73)</f>
        <v>61376582.631895073</v>
      </c>
      <c r="F44" s="4">
        <f>((SUM('Modeling - Base Estimates'!F44:G44)/SUM('Modeling - Base Estimates'!E44:G44)+$E$61))*SUM('Modeling - Base Estimates'!E44:G44)*('Modeling - Base Estimates'!G44/SUM('Modeling - Base Estimates'!F44:G44)-$E$73)</f>
        <v>35147378.543104939</v>
      </c>
      <c r="G44" s="4">
        <v>5872375.2999999998</v>
      </c>
      <c r="H44" s="4">
        <v>48858997.899999999</v>
      </c>
      <c r="I44" s="4">
        <v>33098644.500000004</v>
      </c>
      <c r="J44" s="4">
        <v>36220367.599999994</v>
      </c>
      <c r="K44" s="4">
        <v>889040.20000000007</v>
      </c>
      <c r="L44" s="4">
        <v>16433809.099999998</v>
      </c>
      <c r="M44" s="4">
        <f t="shared" si="0"/>
        <v>83842945.200000048</v>
      </c>
      <c r="N44" s="12">
        <f t="shared" si="1"/>
        <v>0.36496128677583461</v>
      </c>
      <c r="O44" s="12">
        <f t="shared" si="2"/>
        <v>0.12114281400679772</v>
      </c>
      <c r="P44" s="12">
        <f t="shared" si="2"/>
        <v>6.9372587379298481E-2</v>
      </c>
      <c r="Q44" s="12">
        <f t="shared" si="9"/>
        <v>0.10802674700332227</v>
      </c>
      <c r="R44" s="12">
        <f t="shared" si="10"/>
        <v>6.5328872390769926E-2</v>
      </c>
      <c r="S44" s="12">
        <f t="shared" si="10"/>
        <v>7.1490413236928077E-2</v>
      </c>
      <c r="T44" s="12">
        <f t="shared" si="10"/>
        <v>1.7547544515324357E-3</v>
      </c>
      <c r="U44" s="12">
        <f t="shared" si="10"/>
        <v>3.2436440639983709E-2</v>
      </c>
      <c r="V44" s="12">
        <f t="shared" si="11"/>
        <v>0.16548608411553284</v>
      </c>
      <c r="W44" s="4">
        <f>SUMIFS('Modeling - Base Estimates'!AK:AK,'Modeling - Base Estimates'!A:A,A44)</f>
        <v>285571074.23979384</v>
      </c>
      <c r="X44" s="4">
        <f>(W44*N44*(1-N$2))+(W44*O44*(1-'Modeling - Base Estimates'!$AA$51-N$2))+(W44*P44*(1-'Modeling - Base Estimates'!$AE$51))+(W44*Q44*(1-Q$2))+(W44*R44*(1-R$2))+(W44*S44*(1-S$2))+(W44*T44*(1-T$2))+(W44*U44*(1-U$2))+(W44*V44*(1-V$2))</f>
        <v>265038731.37055978</v>
      </c>
      <c r="Y44" s="5">
        <f>X44*N44*SUMIFS('Modeling - Base Estimates'!AN:AN,'Modeling - Base Estimates'!A:A,A44)</f>
        <v>1777517.1644504056</v>
      </c>
      <c r="Z44" s="4">
        <f t="shared" si="4"/>
        <v>263261214.20610937</v>
      </c>
      <c r="AA44" s="4">
        <f>(((W44*N44*(1-N$2))/X44)*X44)-Y44-(((SUMIFS('Modeling - Base Estimates'!X:X,'Modeling - Base Estimates'!A:A,A44)*N44*(1-N$2))/SUMIFS('Modeling - Base Estimates'!Z:Z,'Modeling - Base Estimates'!A:A,A44))*SUMIFS('Modeling - Base Estimates'!Z:Z,'Modeling - Base Estimates'!A:A,A44))</f>
        <v>7355.4968651235104</v>
      </c>
      <c r="AB44" s="4"/>
      <c r="AC44" s="18">
        <f>1-((((W44*O44*(1-N$2-'Modeling - Base Estimates'!$AA$51))/X44)*X44)/('Modeling - Base Estimates'!X44*'Modeling - Base Estimates'!P44))</f>
        <v>-0.14381021544424066</v>
      </c>
      <c r="AD44" s="18">
        <f t="shared" si="22"/>
        <v>-0.22081021544424068</v>
      </c>
      <c r="AE44" s="18">
        <f>1-((((W44*P44*(1-'Modeling - Base Estimates'!$AE$51))/X44)*X44)/(SUMIFS('Modeling - Base Estimates'!X:X,'Modeling - Base Estimates'!A:A,A44)*'Modeling - Base Estimates'!Q44))</f>
        <v>0.14501127881491527</v>
      </c>
      <c r="AF44" s="18">
        <f t="shared" si="23"/>
        <v>6.8011278814915269E-2</v>
      </c>
      <c r="AG44" s="18">
        <f>$N44*(1-$N$2)+$O44*(1-$N$2-'Modeling - Base Estimates'!$AA$51)+$P44*(1-'Modeling - Base Estimates'!$AE$51)+$Q44*(1-$Q$2)+$R44*(1-$R$2)+$S44*(1-$S$2)+$T44*(1-$T$2)+$U44*(1-$U$2)+$V44*(1-$V$2)</f>
        <v>0.92810076117165452</v>
      </c>
      <c r="AH44" s="18" t="e">
        <f>$O44*(1-$N$2-#REF!)+$P44*(1-#REF!)+$Q44*(1-$Q$2)+$R44*(1-$R$2)+$S44*(1-$S$2)+$T44*(1-$T$2)+$U44*(1-$U$2)+$V44*(1-$V$2)</f>
        <v>#REF!</v>
      </c>
      <c r="AJ44" s="7">
        <f>(SUMIFS('Modeling - Base Estimates'!$X:$X,'Modeling - Base Estimates'!$A:$A,$A44)*SUMIFS('Modeling - Base Estimates'!O:O,'Modeling - Base Estimates'!$A:$A,$A44)*($N$2))</f>
        <v>8475609.8830608968</v>
      </c>
      <c r="AK44" s="7">
        <f>(SUMIFS('Modeling - Base Estimates'!$X:$X,'Modeling - Base Estimates'!$A:$A,$A44)*SUMIFS('Modeling - Base Estimates'!P:P,'Modeling - Base Estimates'!$A:$A,$A44)*($N$2))</f>
        <v>1882037.3766104591</v>
      </c>
      <c r="AL44" s="7">
        <f>(SUMIFS('Modeling - Base Estimates'!$X:$X,'Modeling - Base Estimates'!$A:$A,$A44)*SUMIFS('Modeling - Base Estimates'!Q:Q,'Modeling - Base Estimates'!$A:$A,$A44)*($N$2))</f>
        <v>1630085.5761456864</v>
      </c>
      <c r="AM44" s="7">
        <f>(SUMIFS('Modeling - Base Estimates'!$X:$X,'Modeling - Base Estimates'!$A:$A,$A44)*SUMIFS('Modeling - Base Estimates'!R:R,'Modeling - Base Estimates'!$A:$A,$A44)*($N$2))</f>
        <v>2331323.3656723928</v>
      </c>
      <c r="AN44" s="7">
        <f>(SUMIFS('Modeling - Base Estimates'!X:X,'Modeling - Base Estimates'!A:A,$A44)*$R44*($R$2))+(SUMIFS('Modeling - Base Estimates'!X:X,'Modeling - Base Estimates'!A:A,$A44)*$S44*($S$2))+(SUMIFS('Modeling - Base Estimates'!X:X,'Modeling - Base Estimates'!A:A,$A44)*$T44*($T$2))+(SUMIFS('Modeling - Base Estimates'!X:X,'Modeling - Base Estimates'!A:A,$A44)*$U44*($U$2))+(SUMIFS('Modeling - Base Estimates'!X:X,'Modeling - Base Estimates'!A:A,$A44)*$V44*($V$2))</f>
        <v>1750168.5609526099</v>
      </c>
      <c r="AO44" s="7">
        <f>SUM(AJ44:AN44)-(SUMIFS('Modeling - Base Estimates'!X:X,'Modeling - Base Estimates'!A:A,A44)-SUMIFS('Modeling - Base Estimates'!Z:Z,'Modeling - Base Estimates'!A:A,A44))</f>
        <v>0</v>
      </c>
      <c r="AQ44" s="7">
        <f t="shared" si="5"/>
        <v>8025123.777479467</v>
      </c>
      <c r="AR44" s="7">
        <f>(W44*$O44*($N$2+'Modeling - Base Estimates'!$AA$51))</f>
        <v>6637824.0880031232</v>
      </c>
      <c r="AS44" s="7">
        <f>(W44*P44*('Modeling - Base Estimates'!$AE$51))</f>
        <v>1710742.1945826679</v>
      </c>
      <c r="AT44" s="7">
        <f t="shared" si="6"/>
        <v>2375397.192504426</v>
      </c>
      <c r="AU44" s="7">
        <f t="shared" si="7"/>
        <v>1783255.6166644401</v>
      </c>
      <c r="AV44" s="5">
        <f t="shared" si="12"/>
        <v>6.7055225372314453E-8</v>
      </c>
      <c r="AX44" s="7">
        <f>SUMIFS('Modeling - Base Estimates'!X:X,'Modeling - Base Estimates'!A:A,A44)</f>
        <v>280272503.49381578</v>
      </c>
      <c r="AY44" s="5">
        <f t="shared" si="13"/>
        <v>8475609.8830608968</v>
      </c>
      <c r="AZ44" s="5">
        <f t="shared" si="13"/>
        <v>1882037.3766104591</v>
      </c>
      <c r="BA44" s="5">
        <f t="shared" si="13"/>
        <v>1630085.5761456864</v>
      </c>
      <c r="BB44" s="5">
        <f t="shared" si="13"/>
        <v>2331323.3656723928</v>
      </c>
      <c r="BC44" s="5">
        <f t="shared" si="13"/>
        <v>1750168.5609526099</v>
      </c>
      <c r="BD44" s="5">
        <f t="shared" si="14"/>
        <v>264203278.73137373</v>
      </c>
      <c r="BF44" s="5">
        <f t="shared" si="15"/>
        <v>285571074.23979384</v>
      </c>
      <c r="BG44" s="5">
        <f t="shared" si="16"/>
        <v>8025123.777479467</v>
      </c>
      <c r="BH44" s="5">
        <f t="shared" si="17"/>
        <v>1777517.1644504056</v>
      </c>
      <c r="BI44" s="5">
        <f t="shared" si="18"/>
        <v>6637824.0880031232</v>
      </c>
      <c r="BJ44" s="5">
        <f t="shared" si="18"/>
        <v>1710742.1945826679</v>
      </c>
      <c r="BK44" s="5">
        <f t="shared" si="18"/>
        <v>2375397.192504426</v>
      </c>
      <c r="BL44" s="5">
        <f t="shared" si="18"/>
        <v>1783255.6166644401</v>
      </c>
      <c r="BM44" s="5">
        <f t="shared" si="19"/>
        <v>263261214.20610932</v>
      </c>
      <c r="BO44" s="5">
        <f t="shared" si="20"/>
        <v>-942064.52526441216</v>
      </c>
      <c r="BP44" s="1">
        <f t="shared" si="21"/>
        <v>-3.5656806750768892E-3</v>
      </c>
    </row>
    <row r="45" spans="1:68" x14ac:dyDescent="0.25">
      <c r="A45" s="1">
        <v>5033</v>
      </c>
      <c r="B45" s="1">
        <v>210064</v>
      </c>
      <c r="C45" s="4">
        <v>70446050.799999997</v>
      </c>
      <c r="D45" s="4">
        <f>SUM('Modeling - Base Estimates'!E45:G45)-SUM('Scenario 3 - increase MA &amp; QP %'!E45:F45)</f>
        <v>42819854.725000001</v>
      </c>
      <c r="E45" s="4">
        <f>((SUM('Modeling - Base Estimates'!F45:G45)/SUM('Modeling - Base Estimates'!E45:G45)+$E$61))*SUM('Modeling - Base Estimates'!E45:G45)*('Modeling - Base Estimates'!F45/SUM('Modeling - Base Estimates'!F45:G45)+$E$73)</f>
        <v>6896034.7193008782</v>
      </c>
      <c r="F45" s="4">
        <f>((SUM('Modeling - Base Estimates'!F45:G45)/SUM('Modeling - Base Estimates'!E45:G45)+$E$61))*SUM('Modeling - Base Estimates'!E45:G45)*('Modeling - Base Estimates'!G45/SUM('Modeling - Base Estimates'!F45:G45)-$E$73)</f>
        <v>6690866.0556991221</v>
      </c>
      <c r="G45" s="4">
        <v>1873970.5</v>
      </c>
      <c r="H45" s="4">
        <v>3518260.3</v>
      </c>
      <c r="I45" s="4">
        <v>2853112.6</v>
      </c>
      <c r="J45" s="4">
        <v>2078.5</v>
      </c>
      <c r="K45" s="4">
        <v>0</v>
      </c>
      <c r="L45" s="4">
        <v>4253279</v>
      </c>
      <c r="M45" s="4">
        <f t="shared" si="0"/>
        <v>1538594.3999999911</v>
      </c>
      <c r="N45" s="12">
        <f t="shared" si="1"/>
        <v>0.60783896668058512</v>
      </c>
      <c r="O45" s="12">
        <f t="shared" si="2"/>
        <v>9.7891005116512206E-2</v>
      </c>
      <c r="P45" s="12">
        <f t="shared" si="2"/>
        <v>9.497858261345038E-2</v>
      </c>
      <c r="Q45" s="12">
        <f t="shared" si="9"/>
        <v>7.6544117644136267E-2</v>
      </c>
      <c r="R45" s="12">
        <f t="shared" si="10"/>
        <v>4.0500674879563305E-2</v>
      </c>
      <c r="S45" s="12">
        <f t="shared" si="10"/>
        <v>2.9504847701129046E-5</v>
      </c>
      <c r="T45" s="12">
        <f t="shared" si="10"/>
        <v>0</v>
      </c>
      <c r="U45" s="12">
        <f t="shared" si="10"/>
        <v>6.0376400830122905E-2</v>
      </c>
      <c r="V45" s="12">
        <f t="shared" si="11"/>
        <v>2.1840747387928679E-2</v>
      </c>
      <c r="W45" s="4">
        <f>SUMIFS('Modeling - Base Estimates'!AK:AK,'Modeling - Base Estimates'!A:A,A45)</f>
        <v>43667018.236346222</v>
      </c>
      <c r="X45" s="4">
        <f>(W45*N45*(1-N$2))+(W45*O45*(1-'Modeling - Base Estimates'!$AA$51-N$2))+(W45*P45*(1-'Modeling - Base Estimates'!$AE$51))+(W45*Q45*(1-Q$2))+(W45*R45*(1-R$2))+(W45*S45*(1-S$2))+(W45*T45*(1-T$2))+(W45*U45*(1-U$2))+(W45*V45*(1-V$2))</f>
        <v>40128654.025714673</v>
      </c>
      <c r="Y45" s="5">
        <f>X45*N45*SUMIFS('Modeling - Base Estimates'!AN:AN,'Modeling - Base Estimates'!A:A,A45)</f>
        <v>587488.29807365488</v>
      </c>
      <c r="Z45" s="4">
        <f t="shared" si="4"/>
        <v>39541165.727641016</v>
      </c>
      <c r="AA45" s="4">
        <f>(((W45*N45*(1-N$2))/X45)*X45)-Y45-(((SUMIFS('Modeling - Base Estimates'!X:X,'Modeling - Base Estimates'!A:A,A45)*N45*(1-N$2))/SUMIFS('Modeling - Base Estimates'!Z:Z,'Modeling - Base Estimates'!A:A,A45))*SUMIFS('Modeling - Base Estimates'!Z:Z,'Modeling - Base Estimates'!A:A,A45))</f>
        <v>2641.1177600994706</v>
      </c>
      <c r="AB45" s="4"/>
      <c r="AC45" s="18">
        <f>1-((((W45*O45*(1-N$2-'Modeling - Base Estimates'!$AA$51))/X45)*X45)/('Modeling - Base Estimates'!X45*'Modeling - Base Estimates'!P45))</f>
        <v>-0.30139828194180329</v>
      </c>
      <c r="AD45" s="18">
        <f t="shared" si="22"/>
        <v>-0.37839828194180331</v>
      </c>
      <c r="AE45" s="18">
        <f>1-((((W45*P45*(1-'Modeling - Base Estimates'!$AE$51))/X45)*X45)/(SUMIFS('Modeling - Base Estimates'!X:X,'Modeling - Base Estimates'!A:A,A45)*'Modeling - Base Estimates'!Q45))</f>
        <v>1.7978294447378307E-2</v>
      </c>
      <c r="AF45" s="18">
        <f t="shared" si="23"/>
        <v>-5.9021705552621692E-2</v>
      </c>
      <c r="AG45" s="18">
        <f>$N45*(1-$N$2)+$O45*(1-$N$2-'Modeling - Base Estimates'!$AA$51)+$P45*(1-'Modeling - Base Estimates'!$AE$51)+$Q45*(1-$Q$2)+$R45*(1-$R$2)+$S45*(1-$S$2)+$T45*(1-$T$2)+$U45*(1-$U$2)+$V45*(1-$V$2)</f>
        <v>0.91896941092977114</v>
      </c>
      <c r="AH45" s="18" t="e">
        <f>$O45*(1-$N$2-#REF!)+$P45*(1-#REF!)+$Q45*(1-$Q$2)+$R45*(1-$R$2)+$S45*(1-$S$2)+$T45*(1-$T$2)+$U45*(1-$U$2)+$V45*(1-$V$2)</f>
        <v>#REF!</v>
      </c>
      <c r="AJ45" s="7">
        <f>(SUMIFS('Modeling - Base Estimates'!$X:$X,'Modeling - Base Estimates'!$A:$A,$A45)*SUMIFS('Modeling - Base Estimates'!O:O,'Modeling - Base Estimates'!$A:$A,$A45)*($N$2))</f>
        <v>2125913.8879297823</v>
      </c>
      <c r="AK45" s="7">
        <f>(SUMIFS('Modeling - Base Estimates'!$X:$X,'Modeling - Base Estimates'!$A:$A,$A45)*SUMIFS('Modeling - Base Estimates'!P:P,'Modeling - Base Estimates'!$A:$A,$A45)*($N$2))</f>
        <v>204388.49153754924</v>
      </c>
      <c r="AL45" s="7">
        <f>(SUMIFS('Modeling - Base Estimates'!$X:$X,'Modeling - Base Estimates'!$A:$A,$A45)*SUMIFS('Modeling - Base Estimates'!Q:Q,'Modeling - Base Estimates'!$A:$A,$A45)*($N$2))</f>
        <v>297116.53184662998</v>
      </c>
      <c r="AM45" s="7">
        <f>(SUMIFS('Modeling - Base Estimates'!$X:$X,'Modeling - Base Estimates'!$A:$A,$A45)*SUMIFS('Modeling - Base Estimates'!R:R,'Modeling - Base Estimates'!$A:$A,$A45)*($N$2))</f>
        <v>251169.36885493458</v>
      </c>
      <c r="AN45" s="7">
        <f>(SUMIFS('Modeling - Base Estimates'!X:X,'Modeling - Base Estimates'!A:A,$A45)*$R45*($R$2))+(SUMIFS('Modeling - Base Estimates'!X:X,'Modeling - Base Estimates'!A:A,$A45)*$S45*($S$2))+(SUMIFS('Modeling - Base Estimates'!X:X,'Modeling - Base Estimates'!A:A,$A45)*$T45*($T$2))+(SUMIFS('Modeling - Base Estimates'!X:X,'Modeling - Base Estimates'!A:A,$A45)*$U45*($U$2))+(SUMIFS('Modeling - Base Estimates'!X:X,'Modeling - Base Estimates'!A:A,$A45)*$V45*($V$2))</f>
        <v>57473.798230571847</v>
      </c>
      <c r="AO45" s="7">
        <f>SUM(AJ45:AN45)-(SUMIFS('Modeling - Base Estimates'!X:X,'Modeling - Base Estimates'!A:A,A45)-SUMIFS('Modeling - Base Estimates'!Z:Z,'Modeling - Base Estimates'!A:A,A45))</f>
        <v>-4.6566128730773926E-9</v>
      </c>
      <c r="AQ45" s="7">
        <f t="shared" si="5"/>
        <v>2043773.6736958276</v>
      </c>
      <c r="AR45" s="7">
        <f>(W45*$O45*($N$2+'Modeling - Base Estimates'!$AA$51))</f>
        <v>820181.9194198132</v>
      </c>
      <c r="AS45" s="7">
        <f>(W45*P45*('Modeling - Base Estimates'!$AE$51))</f>
        <v>358147.29966843297</v>
      </c>
      <c r="AT45" s="7">
        <f t="shared" si="6"/>
        <v>257368.91034096773</v>
      </c>
      <c r="AU45" s="7">
        <f t="shared" si="7"/>
        <v>58892.407506514719</v>
      </c>
      <c r="AV45" s="5">
        <f t="shared" si="12"/>
        <v>6.9849193096160889E-9</v>
      </c>
      <c r="AX45" s="7">
        <f>SUMIFS('Modeling - Base Estimates'!X:X,'Modeling - Base Estimates'!A:A,A45)</f>
        <v>42615160.454577073</v>
      </c>
      <c r="AY45" s="5">
        <f t="shared" si="13"/>
        <v>2125913.8879297823</v>
      </c>
      <c r="AZ45" s="5">
        <f t="shared" si="13"/>
        <v>204388.49153754924</v>
      </c>
      <c r="BA45" s="5">
        <f t="shared" si="13"/>
        <v>297116.53184662998</v>
      </c>
      <c r="BB45" s="5">
        <f t="shared" si="13"/>
        <v>251169.36885493458</v>
      </c>
      <c r="BC45" s="5">
        <f t="shared" si="13"/>
        <v>57473.798230571847</v>
      </c>
      <c r="BD45" s="5">
        <f t="shared" si="14"/>
        <v>39679098.376177609</v>
      </c>
      <c r="BF45" s="5">
        <f t="shared" si="15"/>
        <v>43667018.236346222</v>
      </c>
      <c r="BG45" s="5">
        <f t="shared" si="16"/>
        <v>2043773.6736958276</v>
      </c>
      <c r="BH45" s="5">
        <f t="shared" si="17"/>
        <v>587488.29807365488</v>
      </c>
      <c r="BI45" s="5">
        <f t="shared" si="18"/>
        <v>820181.9194198132</v>
      </c>
      <c r="BJ45" s="5">
        <f t="shared" si="18"/>
        <v>358147.29966843297</v>
      </c>
      <c r="BK45" s="5">
        <f t="shared" si="18"/>
        <v>257368.91034096773</v>
      </c>
      <c r="BL45" s="5">
        <f t="shared" si="18"/>
        <v>58892.407506514719</v>
      </c>
      <c r="BM45" s="5">
        <f t="shared" si="19"/>
        <v>39541165.727641009</v>
      </c>
      <c r="BO45" s="5">
        <f t="shared" si="20"/>
        <v>-137932.64853660017</v>
      </c>
      <c r="BP45" s="1">
        <f t="shared" si="21"/>
        <v>-3.4762042027500217E-3</v>
      </c>
    </row>
    <row r="46" spans="1:68" x14ac:dyDescent="0.25">
      <c r="A46" s="1">
        <v>65</v>
      </c>
      <c r="B46" s="1">
        <v>210065</v>
      </c>
      <c r="C46" s="4">
        <v>180505379.09999999</v>
      </c>
      <c r="D46" s="4">
        <f>SUM('Modeling - Base Estimates'!E46:G46)-SUM('Scenario 3 - increase MA &amp; QP %'!E46:F46)</f>
        <v>50299951.835000001</v>
      </c>
      <c r="E46" s="4">
        <f>((SUM('Modeling - Base Estimates'!F46:G46)/SUM('Modeling - Base Estimates'!E46:G46)+$E$61))*SUM('Modeling - Base Estimates'!E46:G46)*('Modeling - Base Estimates'!F46/SUM('Modeling - Base Estimates'!F46:G46)+$E$73)</f>
        <v>17596848.659983203</v>
      </c>
      <c r="F46" s="4">
        <f>((SUM('Modeling - Base Estimates'!F46:G46)/SUM('Modeling - Base Estimates'!E46:G46)+$E$61))*SUM('Modeling - Base Estimates'!E46:G46)*('Modeling - Base Estimates'!G46/SUM('Modeling - Base Estimates'!F46:G46)-$E$73)</f>
        <v>8665898.8050167952</v>
      </c>
      <c r="G46" s="4">
        <v>8587628</v>
      </c>
      <c r="H46" s="4">
        <v>27615563.199999999</v>
      </c>
      <c r="I46" s="4">
        <v>8436535.0999999996</v>
      </c>
      <c r="J46" s="4">
        <v>14101959.800000001</v>
      </c>
      <c r="K46" s="4">
        <v>2123815.0999999996</v>
      </c>
      <c r="L46" s="4">
        <v>10863401.9</v>
      </c>
      <c r="M46" s="4">
        <f t="shared" si="0"/>
        <v>32213776.699999988</v>
      </c>
      <c r="N46" s="12">
        <f t="shared" si="1"/>
        <v>0.27866178883862414</v>
      </c>
      <c r="O46" s="12">
        <f t="shared" si="2"/>
        <v>9.7486561052757034E-2</v>
      </c>
      <c r="P46" s="12">
        <f t="shared" si="2"/>
        <v>4.8009088971336898E-2</v>
      </c>
      <c r="Q46" s="12">
        <f t="shared" si="9"/>
        <v>0.20056571931822281</v>
      </c>
      <c r="R46" s="12">
        <f t="shared" si="10"/>
        <v>4.6738413791680734E-2</v>
      </c>
      <c r="S46" s="12">
        <f t="shared" si="10"/>
        <v>7.8124872900255868E-2</v>
      </c>
      <c r="T46" s="12">
        <f t="shared" si="10"/>
        <v>1.1765938004669688E-2</v>
      </c>
      <c r="U46" s="12">
        <f t="shared" si="10"/>
        <v>6.0183258549772495E-2</v>
      </c>
      <c r="V46" s="12">
        <f t="shared" si="11"/>
        <v>0.17846435857268028</v>
      </c>
      <c r="W46" s="4">
        <f>SUMIFS('Modeling - Base Estimates'!AK:AK,'Modeling - Base Estimates'!A:A,A46)</f>
        <v>105695024.99776249</v>
      </c>
      <c r="X46" s="4">
        <f>(W46*N46*(1-N$2))+(W46*O46*(1-'Modeling - Base Estimates'!$AA$51-N$2))+(W46*P46*(1-'Modeling - Base Estimates'!$AE$51))+(W46*Q46*(1-Q$2))+(W46*R46*(1-R$2))+(W46*S46*(1-S$2))+(W46*T46*(1-T$2))+(W46*U46*(1-U$2))+(W46*V46*(1-V$2))</f>
        <v>98701179.737065181</v>
      </c>
      <c r="Y46" s="5">
        <f>X46*N46*SUMIFS('Modeling - Base Estimates'!AN:AN,'Modeling - Base Estimates'!A:A,A46)</f>
        <v>351206.26200811623</v>
      </c>
      <c r="Z46" s="4">
        <f t="shared" si="4"/>
        <v>98349973.475057065</v>
      </c>
      <c r="AA46" s="4">
        <f>(((W46*N46*(1-N$2))/X46)*X46)-Y46-(((SUMIFS('Modeling - Base Estimates'!X:X,'Modeling - Base Estimates'!A:A,A46)*N46*(1-N$2))/SUMIFS('Modeling - Base Estimates'!Z:Z,'Modeling - Base Estimates'!A:A,A46))*SUMIFS('Modeling - Base Estimates'!Z:Z,'Modeling - Base Estimates'!A:A,A46))</f>
        <v>1131.7625075429678</v>
      </c>
      <c r="AB46" s="4"/>
      <c r="AC46" s="18">
        <f>1-((((W46*O46*(1-N$2-'Modeling - Base Estimates'!$AA$51))/X46)*X46)/('Modeling - Base Estimates'!X46*'Modeling - Base Estimates'!P46))</f>
        <v>-0.1265829442565447</v>
      </c>
      <c r="AD46" s="18">
        <f t="shared" si="22"/>
        <v>-0.20358294425654472</v>
      </c>
      <c r="AE46" s="18">
        <f>1-((((W46*P46*(1-'Modeling - Base Estimates'!$AE$51))/X46)*X46)/(SUMIFS('Modeling - Base Estimates'!X:X,'Modeling - Base Estimates'!A:A,A46)*'Modeling - Base Estimates'!Q46))</f>
        <v>0.1684255598960186</v>
      </c>
      <c r="AF46" s="18">
        <f t="shared" si="23"/>
        <v>9.1425559896018596E-2</v>
      </c>
      <c r="AG46" s="18">
        <f>$N46*(1-$N$2)+$O46*(1-$N$2-'Modeling - Base Estimates'!$AA$51)+$P46*(1-'Modeling - Base Estimates'!$AE$51)+$Q46*(1-$Q$2)+$R46*(1-$R$2)+$S46*(1-$S$2)+$T46*(1-$T$2)+$U46*(1-$U$2)+$V46*(1-$V$2)</f>
        <v>0.93382994837415145</v>
      </c>
      <c r="AH46" s="18" t="e">
        <f>$O46*(1-$N$2-#REF!)+$P46*(1-#REF!)+$Q46*(1-$Q$2)+$R46*(1-$R$2)+$S46*(1-$S$2)+$T46*(1-$T$2)+$U46*(1-$U$2)+$V46*(1-$V$2)</f>
        <v>#REF!</v>
      </c>
      <c r="AJ46" s="7">
        <f>(SUMIFS('Modeling - Base Estimates'!$X:$X,'Modeling - Base Estimates'!$A:$A,$A46)*SUMIFS('Modeling - Base Estimates'!O:O,'Modeling - Base Estimates'!$A:$A,$A46)*($N$2))</f>
        <v>2408863.9850571281</v>
      </c>
      <c r="AK46" s="7">
        <f>(SUMIFS('Modeling - Base Estimates'!$X:$X,'Modeling - Base Estimates'!$A:$A,$A46)*SUMIFS('Modeling - Base Estimates'!P:P,'Modeling - Base Estimates'!$A:$A,$A46)*($N$2))</f>
        <v>569123.43155702157</v>
      </c>
      <c r="AL46" s="7">
        <f>(SUMIFS('Modeling - Base Estimates'!$X:$X,'Modeling - Base Estimates'!$A:$A,$A46)*SUMIFS('Modeling - Base Estimates'!Q:Q,'Modeling - Base Estimates'!$A:$A,$A46)*($N$2))</f>
        <v>429284.84896551236</v>
      </c>
      <c r="AM46" s="7">
        <f>(SUMIFS('Modeling - Base Estimates'!$X:$X,'Modeling - Base Estimates'!$A:$A,$A46)*SUMIFS('Modeling - Base Estimates'!R:R,'Modeling - Base Estimates'!$A:$A,$A46)*($N$2))</f>
        <v>1611151.7805542899</v>
      </c>
      <c r="AN46" s="7">
        <f>(SUMIFS('Modeling - Base Estimates'!X:X,'Modeling - Base Estimates'!A:A,$A46)*$R46*($R$2))+(SUMIFS('Modeling - Base Estimates'!X:X,'Modeling - Base Estimates'!A:A,$A46)*$S46*($S$2))+(SUMIFS('Modeling - Base Estimates'!X:X,'Modeling - Base Estimates'!A:A,$A46)*$T46*($T$2))+(SUMIFS('Modeling - Base Estimates'!X:X,'Modeling - Base Estimates'!A:A,$A46)*$U46*($U$2))+(SUMIFS('Modeling - Base Estimates'!X:X,'Modeling - Base Estimates'!A:A,$A46)*$V46*($V$2))</f>
        <v>669633.69789915998</v>
      </c>
      <c r="AO46" s="7">
        <f>SUM(AJ46:AN46)-(SUMIFS('Modeling - Base Estimates'!X:X,'Modeling - Base Estimates'!A:A,A46)-SUMIFS('Modeling - Base Estimates'!Z:Z,'Modeling - Base Estimates'!A:A,A46))</f>
        <v>0</v>
      </c>
      <c r="AQ46" s="7">
        <f t="shared" si="5"/>
        <v>2267893.6847659084</v>
      </c>
      <c r="AR46" s="7">
        <f>(W46*$O46*($N$2+'Modeling - Base Estimates'!$AA$51))</f>
        <v>1977029.5571716323</v>
      </c>
      <c r="AS46" s="7">
        <f>(W46*P46*('Modeling - Base Estimates'!$AE$51))</f>
        <v>438187.98980735871</v>
      </c>
      <c r="AT46" s="7">
        <f t="shared" si="6"/>
        <v>1632307.5012116006</v>
      </c>
      <c r="AU46" s="7">
        <f t="shared" si="7"/>
        <v>678426.52774080471</v>
      </c>
      <c r="AV46" s="5">
        <f t="shared" si="12"/>
        <v>0</v>
      </c>
      <c r="AX46" s="7">
        <f>SUMIFS('Modeling - Base Estimates'!X:X,'Modeling - Base Estimates'!A:A,A46)</f>
        <v>104325151.72200997</v>
      </c>
      <c r="AY46" s="5">
        <f t="shared" si="13"/>
        <v>2408863.9850571281</v>
      </c>
      <c r="AZ46" s="5">
        <f t="shared" si="13"/>
        <v>569123.43155702157</v>
      </c>
      <c r="BA46" s="5">
        <f t="shared" si="13"/>
        <v>429284.84896551236</v>
      </c>
      <c r="BB46" s="5">
        <f t="shared" si="13"/>
        <v>1611151.7805542899</v>
      </c>
      <c r="BC46" s="5">
        <f t="shared" si="13"/>
        <v>669633.69789915998</v>
      </c>
      <c r="BD46" s="5">
        <f t="shared" si="14"/>
        <v>98637093.977976859</v>
      </c>
      <c r="BF46" s="5">
        <f t="shared" si="15"/>
        <v>105695024.99776249</v>
      </c>
      <c r="BG46" s="5">
        <f t="shared" si="16"/>
        <v>2267893.6847659084</v>
      </c>
      <c r="BH46" s="5">
        <f t="shared" si="17"/>
        <v>351206.26200811623</v>
      </c>
      <c r="BI46" s="5">
        <f t="shared" si="18"/>
        <v>1977029.5571716323</v>
      </c>
      <c r="BJ46" s="5">
        <f t="shared" si="18"/>
        <v>438187.98980735871</v>
      </c>
      <c r="BK46" s="5">
        <f t="shared" si="18"/>
        <v>1632307.5012116006</v>
      </c>
      <c r="BL46" s="5">
        <f t="shared" si="18"/>
        <v>678426.52774080471</v>
      </c>
      <c r="BM46" s="5">
        <f t="shared" si="19"/>
        <v>98349973.475057065</v>
      </c>
      <c r="BO46" s="5">
        <f t="shared" si="20"/>
        <v>-287120.50291979313</v>
      </c>
      <c r="BP46" s="1">
        <f t="shared" si="21"/>
        <v>-2.9108775546844456E-3</v>
      </c>
    </row>
    <row r="47" spans="1:68" x14ac:dyDescent="0.25">
      <c r="A47" s="1">
        <v>88</v>
      </c>
      <c r="B47" s="1">
        <v>210088</v>
      </c>
      <c r="C47" s="4">
        <v>9274920.8999999985</v>
      </c>
      <c r="D47" s="4">
        <f>SUM('Modeling - Base Estimates'!E47:G47)-SUM('Scenario 3 - increase MA &amp; QP %'!E47:F47)</f>
        <v>1949749.88</v>
      </c>
      <c r="E47" s="4">
        <f>((SUM('Modeling - Base Estimates'!F47:G47)/SUM('Modeling - Base Estimates'!E47:G47)+$E$61))*SUM('Modeling - Base Estimates'!E47:G47)*('Modeling - Base Estimates'!F47/SUM('Modeling - Base Estimates'!F47:G47)+$E$73)</f>
        <v>287210.33420277631</v>
      </c>
      <c r="F47" s="4">
        <f>((SUM('Modeling - Base Estimates'!F47:G47)/SUM('Modeling - Base Estimates'!E47:G47)+$E$61))*SUM('Modeling - Base Estimates'!E47:G47)*('Modeling - Base Estimates'!G47/SUM('Modeling - Base Estimates'!F47:G47)-$E$73)</f>
        <v>386850.1857972237</v>
      </c>
      <c r="G47" s="4">
        <v>51700</v>
      </c>
      <c r="H47" s="4">
        <v>2142456.5</v>
      </c>
      <c r="I47" s="4">
        <v>0</v>
      </c>
      <c r="J47" s="4">
        <v>1656427.4000000001</v>
      </c>
      <c r="K47" s="4">
        <v>27057.1</v>
      </c>
      <c r="L47" s="4">
        <v>945000</v>
      </c>
      <c r="M47" s="4">
        <f t="shared" si="0"/>
        <v>1828469.4999999981</v>
      </c>
      <c r="N47" s="12">
        <f t="shared" si="1"/>
        <v>0.21021741328273755</v>
      </c>
      <c r="O47" s="12">
        <f t="shared" si="2"/>
        <v>3.0966337858770995E-2</v>
      </c>
      <c r="P47" s="12">
        <f t="shared" si="2"/>
        <v>4.1709270620003215E-2</v>
      </c>
      <c r="Q47" s="12">
        <f t="shared" si="9"/>
        <v>0.23656875607424321</v>
      </c>
      <c r="R47" s="12">
        <f t="shared" si="10"/>
        <v>0</v>
      </c>
      <c r="S47" s="12">
        <f t="shared" si="10"/>
        <v>0.17859207834322344</v>
      </c>
      <c r="T47" s="12">
        <f t="shared" si="10"/>
        <v>2.9172324262086162E-3</v>
      </c>
      <c r="U47" s="12">
        <f t="shared" si="10"/>
        <v>0.10188766138156501</v>
      </c>
      <c r="V47" s="12">
        <f t="shared" si="11"/>
        <v>0.19714125001324792</v>
      </c>
      <c r="W47" s="4">
        <f>SUMIFS('Modeling - Base Estimates'!AK:AK,'Modeling - Base Estimates'!A:A,A47)</f>
        <v>5058564.3783659283</v>
      </c>
      <c r="X47" s="4">
        <f>(W47*N47*(1-N$2))+(W47*O47*(1-'Modeling - Base Estimates'!$AA$51-N$2))+(W47*P47*(1-'Modeling - Base Estimates'!$AE$51))+(W47*Q47*(1-Q$2))+(W47*R47*(1-R$2))+(W47*S47*(1-S$2))+(W47*T47*(1-T$2))+(W47*U47*(1-U$2))+(W47*V47*(1-V$2))</f>
        <v>4797952.6414901447</v>
      </c>
      <c r="Y47" s="5">
        <f>X47*N47*SUMIFS('Modeling - Base Estimates'!AN:AN,'Modeling - Base Estimates'!A:A,A47)</f>
        <v>3374.5722156992742</v>
      </c>
      <c r="Z47" s="4">
        <f t="shared" si="4"/>
        <v>4794578.0692744451</v>
      </c>
      <c r="AA47" s="4">
        <f>(((W47*N47*(1-N$2))/X47)*X47)-Y47-(((SUMIFS('Modeling - Base Estimates'!X:X,'Modeling - Base Estimates'!A:A,A47)*N47*(1-N$2))/SUMIFS('Modeling - Base Estimates'!Z:Z,'Modeling - Base Estimates'!A:A,A47))*SUMIFS('Modeling - Base Estimates'!Z:Z,'Modeling - Base Estimates'!A:A,A47))</f>
        <v>4.9307574508711696</v>
      </c>
      <c r="AB47" s="4"/>
      <c r="AC47" s="18">
        <f>1-((((W47*O47*(1-N$2-'Modeling - Base Estimates'!$AA$51))/X47)*X47)/('Modeling - Base Estimates'!X47*'Modeling - Base Estimates'!P47))</f>
        <v>-0.31566250406345331</v>
      </c>
      <c r="AD47" s="18">
        <f t="shared" si="22"/>
        <v>-0.39266250406345332</v>
      </c>
      <c r="AE47" s="18">
        <f>1-((((W47*P47*(1-'Modeling - Base Estimates'!$AE$51))/X47)*X47)/(SUMIFS('Modeling - Base Estimates'!X:X,'Modeling - Base Estimates'!A:A,A47)*'Modeling - Base Estimates'!Q47))</f>
        <v>3.0560224554728954E-2</v>
      </c>
      <c r="AF47" s="18">
        <f t="shared" si="23"/>
        <v>-4.6439775445271045E-2</v>
      </c>
      <c r="AG47" s="18">
        <f>$N47*(1-$N$2)+$O47*(1-$N$2-'Modeling - Base Estimates'!$AA$51)+$P47*(1-'Modeling - Base Estimates'!$AE$51)+$Q47*(1-$Q$2)+$R47*(1-$R$2)+$S47*(1-$S$2)+$T47*(1-$T$2)+$U47*(1-$U$2)+$V47*(1-$V$2)</f>
        <v>0.9484810872447631</v>
      </c>
      <c r="AH47" s="18" t="e">
        <f>$O47*(1-$N$2-#REF!)+$P47*(1-#REF!)+$Q47*(1-$Q$2)+$R47*(1-$R$2)+$S47*(1-$S$2)+$T47*(1-$T$2)+$U47*(1-$U$2)+$V47*(1-$V$2)</f>
        <v>#REF!</v>
      </c>
      <c r="AJ47" s="7">
        <f>(SUMIFS('Modeling - Base Estimates'!$X:$X,'Modeling - Base Estimates'!$A:$A,$A47)*SUMIFS('Modeling - Base Estimates'!O:O,'Modeling - Base Estimates'!$A:$A,$A47)*($N$2))</f>
        <v>87090.245611354054</v>
      </c>
      <c r="AK47" s="7">
        <f>(SUMIFS('Modeling - Base Estimates'!$X:$X,'Modeling - Base Estimates'!$A:$A,$A47)*SUMIFS('Modeling - Base Estimates'!P:P,'Modeling - Base Estimates'!$A:$A,$A47)*($N$2))</f>
        <v>7408.7164558328304</v>
      </c>
      <c r="AL47" s="7">
        <f>(SUMIFS('Modeling - Base Estimates'!$X:$X,'Modeling - Base Estimates'!$A:$A,$A47)*SUMIFS('Modeling - Base Estimates'!Q:Q,'Modeling - Base Estimates'!$A:$A,$A47)*($N$2))</f>
        <v>15311.146945846418</v>
      </c>
      <c r="AM47" s="7">
        <f>(SUMIFS('Modeling - Base Estimates'!$X:$X,'Modeling - Base Estimates'!$A:$A,$A47)*SUMIFS('Modeling - Base Estimates'!R:R,'Modeling - Base Estimates'!$A:$A,$A47)*($N$2))</f>
        <v>91828.496623329018</v>
      </c>
      <c r="AN47" s="7">
        <f>(SUMIFS('Modeling - Base Estimates'!X:X,'Modeling - Base Estimates'!A:A,$A47)*$R47*($R$2))+(SUMIFS('Modeling - Base Estimates'!X:X,'Modeling - Base Estimates'!A:A,$A47)*$S47*($S$2))+(SUMIFS('Modeling - Base Estimates'!X:X,'Modeling - Base Estimates'!A:A,$A47)*$T47*($T$2))+(SUMIFS('Modeling - Base Estimates'!X:X,'Modeling - Base Estimates'!A:A,$A47)*$U47*($U$2))+(SUMIFS('Modeling - Base Estimates'!X:X,'Modeling - Base Estimates'!A:A,$A47)*$V47*($V$2))</f>
        <v>38176.662874721871</v>
      </c>
      <c r="AO47" s="7">
        <f>SUM(AJ47:AN47)-(SUMIFS('Modeling - Base Estimates'!X:X,'Modeling - Base Estimates'!A:A,A47)-SUMIFS('Modeling - Base Estimates'!Z:Z,'Modeling - Base Estimates'!A:A,A47))</f>
        <v>2.9103830456733704E-10</v>
      </c>
      <c r="AQ47" s="7">
        <f t="shared" si="5"/>
        <v>81881.670527909926</v>
      </c>
      <c r="AR47" s="7">
        <f>(W47*$O47*($N$2+'Modeling - Base Estimates'!$AA$51))</f>
        <v>30055.987073068212</v>
      </c>
      <c r="AS47" s="7">
        <f>(W47*P47*('Modeling - Base Estimates'!$AE$51))</f>
        <v>18219.746748948179</v>
      </c>
      <c r="AT47" s="7">
        <f t="shared" si="6"/>
        <v>92145.767753385895</v>
      </c>
      <c r="AU47" s="7">
        <f t="shared" si="7"/>
        <v>38308.564772470956</v>
      </c>
      <c r="AV47" s="5">
        <f t="shared" si="12"/>
        <v>-4.6566128730773926E-10</v>
      </c>
      <c r="AX47" s="7">
        <f>SUMIFS('Modeling - Base Estimates'!X:X,'Modeling - Base Estimates'!A:A,A47)</f>
        <v>5041147.0137281418</v>
      </c>
      <c r="AY47" s="5">
        <f t="shared" si="13"/>
        <v>87090.245611354054</v>
      </c>
      <c r="AZ47" s="5">
        <f t="shared" si="13"/>
        <v>7408.7164558328304</v>
      </c>
      <c r="BA47" s="5">
        <f t="shared" si="13"/>
        <v>15311.146945846418</v>
      </c>
      <c r="BB47" s="5">
        <f t="shared" si="13"/>
        <v>91828.496623329018</v>
      </c>
      <c r="BC47" s="5">
        <f t="shared" si="13"/>
        <v>38176.662874721871</v>
      </c>
      <c r="BD47" s="5">
        <f t="shared" si="14"/>
        <v>4801331.7452170579</v>
      </c>
      <c r="BF47" s="5">
        <f t="shared" si="15"/>
        <v>5058564.3783659283</v>
      </c>
      <c r="BG47" s="5">
        <f t="shared" si="16"/>
        <v>81881.670527909926</v>
      </c>
      <c r="BH47" s="5">
        <f t="shared" si="17"/>
        <v>3374.5722156992742</v>
      </c>
      <c r="BI47" s="5">
        <f t="shared" si="18"/>
        <v>30055.987073068212</v>
      </c>
      <c r="BJ47" s="5">
        <f t="shared" si="18"/>
        <v>18219.746748948179</v>
      </c>
      <c r="BK47" s="5">
        <f t="shared" si="18"/>
        <v>92145.767753385895</v>
      </c>
      <c r="BL47" s="5">
        <f t="shared" si="18"/>
        <v>38308.564772470956</v>
      </c>
      <c r="BM47" s="5">
        <f t="shared" si="19"/>
        <v>4794578.069274446</v>
      </c>
      <c r="BO47" s="5">
        <f t="shared" si="20"/>
        <v>-6753.6759426118806</v>
      </c>
      <c r="BP47" s="1">
        <f t="shared" si="21"/>
        <v>-1.4066255574486577E-3</v>
      </c>
    </row>
    <row r="48" spans="1:68" x14ac:dyDescent="0.25">
      <c r="A48" s="1">
        <v>333</v>
      </c>
      <c r="B48" s="1">
        <v>210333</v>
      </c>
      <c r="C48" s="4">
        <v>24873230.300000001</v>
      </c>
      <c r="D48" s="4">
        <f>SUM('Modeling - Base Estimates'!E48:G48)-SUM('Scenario 3 - increase MA &amp; QP %'!E48:F48)</f>
        <v>3041581.2749999999</v>
      </c>
      <c r="E48" s="4">
        <f>((SUM('Modeling - Base Estimates'!F48:G48)/SUM('Modeling - Base Estimates'!E48:G48)+$E$61))*SUM('Modeling - Base Estimates'!E48:G48)*('Modeling - Base Estimates'!F48/SUM('Modeling - Base Estimates'!F48:G48)+$E$73)</f>
        <v>843656.92946546047</v>
      </c>
      <c r="F48" s="4">
        <f>((SUM('Modeling - Base Estimates'!F48:G48)/SUM('Modeling - Base Estimates'!E48:G48)+$E$61))*SUM('Modeling - Base Estimates'!E48:G48)*('Modeling - Base Estimates'!G48/SUM('Modeling - Base Estimates'!F48:G48)-$E$73)</f>
        <v>742192.29553453962</v>
      </c>
      <c r="G48" s="4">
        <v>-49828.4</v>
      </c>
      <c r="H48" s="4">
        <v>6163363</v>
      </c>
      <c r="I48" s="4">
        <v>0</v>
      </c>
      <c r="J48" s="4">
        <v>4408470.5999999996</v>
      </c>
      <c r="K48" s="4">
        <v>71935.399999999994</v>
      </c>
      <c r="L48" s="4">
        <v>4423000</v>
      </c>
      <c r="M48" s="4">
        <f t="shared" si="0"/>
        <v>5228859.1999999993</v>
      </c>
      <c r="N48" s="12">
        <f t="shared" si="1"/>
        <v>0.12228332381098082</v>
      </c>
      <c r="O48" s="12">
        <f t="shared" si="2"/>
        <v>3.3918269532745834E-2</v>
      </c>
      <c r="P48" s="12">
        <f t="shared" si="2"/>
        <v>2.9838999059745755E-2</v>
      </c>
      <c r="Q48" s="12">
        <f t="shared" si="9"/>
        <v>0.24578772142836627</v>
      </c>
      <c r="R48" s="12">
        <f t="shared" si="10"/>
        <v>0</v>
      </c>
      <c r="S48" s="12">
        <f t="shared" si="10"/>
        <v>0.17723755808267491</v>
      </c>
      <c r="T48" s="12">
        <f t="shared" si="10"/>
        <v>2.8920811302905031E-3</v>
      </c>
      <c r="U48" s="12">
        <f t="shared" si="10"/>
        <v>0.17782169612283932</v>
      </c>
      <c r="V48" s="12">
        <f t="shared" si="11"/>
        <v>0.21022035083235646</v>
      </c>
      <c r="W48" s="4">
        <f>SUMIFS('Modeling - Base Estimates'!AK:AK,'Modeling - Base Estimates'!A:A,A48)</f>
        <v>13258993.388533849</v>
      </c>
      <c r="X48" s="4">
        <f>(W48*N48*(1-N$2))+(W48*O48*(1-'Modeling - Base Estimates'!$AA$51-N$2))+(W48*P48*(1-'Modeling - Base Estimates'!$AE$51))+(W48*Q48*(1-Q$2))+(W48*R48*(1-R$2))+(W48*S48*(1-S$2))+(W48*T48*(1-T$2))+(W48*U48*(1-U$2))+(W48*V48*(1-V$2))</f>
        <v>12659246.856661109</v>
      </c>
      <c r="Y48" s="5">
        <f>X48*N48*SUMIFS('Modeling - Base Estimates'!AN:AN,'Modeling - Base Estimates'!A:A,A48)</f>
        <v>5349.7552455253644</v>
      </c>
      <c r="Z48" s="4">
        <f t="shared" si="4"/>
        <v>12653897.101415584</v>
      </c>
      <c r="AA48" s="4">
        <f>(((W48*N48*(1-N$2))/X48)*X48)-Y48-(((SUMIFS('Modeling - Base Estimates'!X:X,'Modeling - Base Estimates'!A:A,A48)*N48*(1-N$2))/SUMIFS('Modeling - Base Estimates'!Z:Z,'Modeling - Base Estimates'!A:A,A48))*SUMIFS('Modeling - Base Estimates'!Z:Z,'Modeling - Base Estimates'!A:A,A48))</f>
        <v>6.6330079634208232</v>
      </c>
      <c r="AB48" s="4"/>
      <c r="AC48" s="18">
        <f>1-((((W48*O48*(1-N$2-'Modeling - Base Estimates'!$AA$51))/X48)*X48)/('Modeling - Base Estimates'!X48*'Modeling - Base Estimates'!P48))</f>
        <v>-0.16938238363972546</v>
      </c>
      <c r="AD48" s="18">
        <f t="shared" si="22"/>
        <v>-0.24638238363972548</v>
      </c>
      <c r="AE48" s="18">
        <f>1-((((W48*P48*(1-'Modeling - Base Estimates'!$AE$51))/X48)*X48)/(SUMIFS('Modeling - Base Estimates'!X:X,'Modeling - Base Estimates'!A:A,A48)*'Modeling - Base Estimates'!Q48))</f>
        <v>0.11544614562424138</v>
      </c>
      <c r="AF48" s="18">
        <f t="shared" si="23"/>
        <v>3.8446145624241382E-2</v>
      </c>
      <c r="AG48" s="18">
        <f>$N48*(1-$N$2)+$O48*(1-$N$2-'Modeling - Base Estimates'!$AA$51)+$P48*(1-'Modeling - Base Estimates'!$AE$51)+$Q48*(1-$Q$2)+$R48*(1-$R$2)+$S48*(1-$S$2)+$T48*(1-$T$2)+$U48*(1-$U$2)+$V48*(1-$V$2)</f>
        <v>0.95476681266080188</v>
      </c>
      <c r="AH48" s="18" t="e">
        <f>$O48*(1-$N$2-#REF!)+$P48*(1-#REF!)+$Q48*(1-$Q$2)+$R48*(1-$R$2)+$S48*(1-$S$2)+$T48*(1-$T$2)+$U48*(1-$U$2)+$V48*(1-$V$2)</f>
        <v>#REF!</v>
      </c>
      <c r="AJ48" s="7">
        <f>(SUMIFS('Modeling - Base Estimates'!$X:$X,'Modeling - Base Estimates'!$A:$A,$A48)*SUMIFS('Modeling - Base Estimates'!O:O,'Modeling - Base Estimates'!$A:$A,$A48)*($N$2))</f>
        <v>133860.2376132964</v>
      </c>
      <c r="AK48" s="7">
        <f>(SUMIFS('Modeling - Base Estimates'!$X:$X,'Modeling - Base Estimates'!$A:$A,$A48)*SUMIFS('Modeling - Base Estimates'!P:P,'Modeling - Base Estimates'!$A:$A,$A48)*($N$2))</f>
        <v>23930.845130049634</v>
      </c>
      <c r="AL48" s="7">
        <f>(SUMIFS('Modeling - Base Estimates'!$X:$X,'Modeling - Base Estimates'!$A:$A,$A48)*SUMIFS('Modeling - Base Estimates'!Q:Q,'Modeling - Base Estimates'!$A:$A,$A48)*($N$2))</f>
        <v>31465.831156852881</v>
      </c>
      <c r="AM48" s="7">
        <f>(SUMIFS('Modeling - Base Estimates'!$X:$X,'Modeling - Base Estimates'!$A:$A,$A48)*SUMIFS('Modeling - Base Estimates'!R:R,'Modeling - Base Estimates'!$A:$A,$A48)*($N$2))</f>
        <v>250036.96790650598</v>
      </c>
      <c r="AN48" s="7">
        <f>(SUMIFS('Modeling - Base Estimates'!X:X,'Modeling - Base Estimates'!A:A,$A48)*$R48*($R$2))+(SUMIFS('Modeling - Base Estimates'!X:X,'Modeling - Base Estimates'!A:A,$A48)*$S48*($S$2))+(SUMIFS('Modeling - Base Estimates'!X:X,'Modeling - Base Estimates'!A:A,$A48)*$T48*($T$2))+(SUMIFS('Modeling - Base Estimates'!X:X,'Modeling - Base Estimates'!A:A,$A48)*$U48*($U$2))+(SUMIFS('Modeling - Base Estimates'!X:X,'Modeling - Base Estimates'!A:A,$A48)*$V48*($V$2))</f>
        <v>103142.45953870963</v>
      </c>
      <c r="AO48" s="7">
        <f>SUM(AJ48:AN48)-(SUMIFS('Modeling - Base Estimates'!X:X,'Modeling - Base Estimates'!A:A,A48)-SUMIFS('Modeling - Base Estimates'!Z:Z,'Modeling - Base Estimates'!A:A,A48))</f>
        <v>-1.862645149230957E-9</v>
      </c>
      <c r="AQ48" s="7">
        <f t="shared" si="5"/>
        <v>124844.24120920588</v>
      </c>
      <c r="AR48" s="7">
        <f>(W48*$O48*($N$2+'Modeling - Base Estimates'!$AA$51))</f>
        <v>86289.530696997113</v>
      </c>
      <c r="AS48" s="7">
        <f>(W48*P48*('Modeling - Base Estimates'!$AE$51))</f>
        <v>34164.672670116546</v>
      </c>
      <c r="AT48" s="7">
        <f t="shared" si="6"/>
        <v>250935.12855191613</v>
      </c>
      <c r="AU48" s="7">
        <f t="shared" si="7"/>
        <v>103512.95874450353</v>
      </c>
      <c r="AV48" s="5">
        <f t="shared" si="12"/>
        <v>0</v>
      </c>
      <c r="AX48" s="7">
        <f>SUMIFS('Modeling - Base Estimates'!X:X,'Modeling - Base Estimates'!A:A,A48)</f>
        <v>13211536.079036944</v>
      </c>
      <c r="AY48" s="5">
        <f t="shared" si="13"/>
        <v>133860.2376132964</v>
      </c>
      <c r="AZ48" s="5">
        <f t="shared" si="13"/>
        <v>23930.845130049634</v>
      </c>
      <c r="BA48" s="5">
        <f t="shared" si="13"/>
        <v>31465.831156852881</v>
      </c>
      <c r="BB48" s="5">
        <f t="shared" si="13"/>
        <v>250036.96790650598</v>
      </c>
      <c r="BC48" s="5">
        <f t="shared" si="13"/>
        <v>103142.45953870963</v>
      </c>
      <c r="BD48" s="5">
        <f t="shared" si="14"/>
        <v>12669099.737691529</v>
      </c>
      <c r="BF48" s="5">
        <f t="shared" si="15"/>
        <v>13258993.388533849</v>
      </c>
      <c r="BG48" s="5">
        <f t="shared" si="16"/>
        <v>124844.24120920588</v>
      </c>
      <c r="BH48" s="5">
        <f t="shared" si="17"/>
        <v>5349.7552455253644</v>
      </c>
      <c r="BI48" s="5">
        <f t="shared" si="18"/>
        <v>86289.530696997113</v>
      </c>
      <c r="BJ48" s="5">
        <f t="shared" si="18"/>
        <v>34164.672670116546</v>
      </c>
      <c r="BK48" s="5">
        <f t="shared" si="18"/>
        <v>250935.12855191613</v>
      </c>
      <c r="BL48" s="5">
        <f t="shared" si="18"/>
        <v>103512.95874450353</v>
      </c>
      <c r="BM48" s="5">
        <f t="shared" si="19"/>
        <v>12653897.101415584</v>
      </c>
      <c r="BO48" s="5">
        <f t="shared" si="20"/>
        <v>-15202.636275945231</v>
      </c>
      <c r="BP48" s="1">
        <f t="shared" si="21"/>
        <v>-1.1999776298797491E-3</v>
      </c>
    </row>
    <row r="49" spans="1:70" x14ac:dyDescent="0.25">
      <c r="A49" s="1">
        <v>8992</v>
      </c>
      <c r="B49" s="1">
        <v>218992</v>
      </c>
      <c r="C49" s="4">
        <v>285922097.10000002</v>
      </c>
      <c r="D49" s="4">
        <f>SUM('Modeling - Base Estimates'!E49:G49)-SUM('Scenario 3 - increase MA &amp; QP %'!E49:F49)</f>
        <v>57697229.424999997</v>
      </c>
      <c r="E49" s="4">
        <f>((SUM('Modeling - Base Estimates'!F49:G49)/SUM('Modeling - Base Estimates'!E49:G49)+$E$61))*SUM('Modeling - Base Estimates'!E49:G49)*IF(('Modeling - Base Estimates'!F49/SUM('Modeling - Base Estimates'!F49:G49)+$E$73)&gt;1,100%,(('Modeling - Base Estimates'!F49/SUM('Modeling - Base Estimates'!F49:G49)+$E$73)))</f>
        <v>17803420.916680943</v>
      </c>
      <c r="F49" s="4">
        <f>((SUM('Modeling - Base Estimates'!F49:G49)/SUM('Modeling - Base Estimates'!E49:G49)+$E$61))*SUM('Modeling - Base Estimates'!E49:G49)*IF(('Modeling - Base Estimates'!F49/SUM('Modeling - Base Estimates'!F49:G49)+$E$73)&gt;1,0,(('Modeling - Base Estimates'!G49/SUM('Modeling - Base Estimates'!F49:G49)-$E$73)))</f>
        <v>19444503.15831906</v>
      </c>
      <c r="G49" s="4">
        <v>27585714.599999998</v>
      </c>
      <c r="H49" s="4">
        <v>62453304.199999996</v>
      </c>
      <c r="I49" s="4">
        <v>30350576.300000001</v>
      </c>
      <c r="J49" s="4">
        <v>4638282.5999999996</v>
      </c>
      <c r="K49" s="4">
        <v>463298.2</v>
      </c>
      <c r="L49" s="4">
        <v>12584000</v>
      </c>
      <c r="M49" s="4">
        <f t="shared" si="0"/>
        <v>52901767.700000048</v>
      </c>
      <c r="N49" s="12">
        <f t="shared" si="1"/>
        <v>0.20179353051128693</v>
      </c>
      <c r="O49" s="12">
        <f t="shared" si="2"/>
        <v>6.2266684167660791E-2</v>
      </c>
      <c r="P49" s="12">
        <f t="shared" si="2"/>
        <v>6.8006297363992926E-2</v>
      </c>
      <c r="Q49" s="12">
        <f t="shared" si="9"/>
        <v>0.31490752101090402</v>
      </c>
      <c r="R49" s="12">
        <f t="shared" si="10"/>
        <v>0.10614981006307118</v>
      </c>
      <c r="S49" s="12">
        <f t="shared" si="10"/>
        <v>1.6222190054718928E-2</v>
      </c>
      <c r="T49" s="12">
        <f t="shared" si="10"/>
        <v>1.62036514385932E-3</v>
      </c>
      <c r="U49" s="12">
        <f t="shared" si="10"/>
        <v>4.4011988327012024E-2</v>
      </c>
      <c r="V49" s="12">
        <f t="shared" si="11"/>
        <v>0.18502161335749395</v>
      </c>
      <c r="W49" s="4">
        <f>SUMIFS('Modeling - Base Estimates'!AK:AK,'Modeling - Base Estimates'!A:A,A49)</f>
        <v>158134609.52560094</v>
      </c>
      <c r="X49" s="4">
        <f>(W49*N49*(1-N$2))+(W49*O49*(1-'Modeling - Base Estimates'!$AA$51-N$2))+(W49*P49*(1-'Modeling - Base Estimates'!$AE$51))+(W49*Q49*(1-Q$2))+(W49*R49*(1-R$2))+(W49*S49*(1-S$2))+(W49*T49*(1-T$2))+(W49*U49*(1-U$2))+(W49*V49*(1-V$2))</f>
        <v>148005843.25266948</v>
      </c>
      <c r="Y49" s="5">
        <f>X49*N49*SUMIFS('Modeling - Base Estimates'!AN:AN,'Modeling - Base Estimates'!A:A,A49)</f>
        <v>222096.25348764521</v>
      </c>
      <c r="Z49" s="4">
        <f t="shared" si="4"/>
        <v>147783746.99918184</v>
      </c>
      <c r="AA49" s="4">
        <f>(((W49*N49*(1-N$2))/X49)*X49)-Y49-(((SUMIFS('Modeling - Base Estimates'!X:X,'Modeling - Base Estimates'!A:A,A49)*N49*(1-N$2))/SUMIFS('Modeling - Base Estimates'!Z:Z,'Modeling - Base Estimates'!A:A,A49))*SUMIFS('Modeling - Base Estimates'!Z:Z,'Modeling - Base Estimates'!A:A,A49))</f>
        <v>520.18166280165315</v>
      </c>
      <c r="AB49" s="4"/>
      <c r="AC49" s="18">
        <f>1-((((W49*O49*(1-N$2-'Modeling - Base Estimates'!$AA$51))/X49)*X49)/('Modeling - Base Estimates'!X49*'Modeling - Base Estimates'!P49))</f>
        <v>-0.18012363887122351</v>
      </c>
      <c r="AD49" s="18">
        <f t="shared" si="22"/>
        <v>-0.25712363887122353</v>
      </c>
      <c r="AE49" s="18">
        <f>1-((((W49*P49*(1-'Modeling - Base Estimates'!$AE$51))/X49)*X49)/(SUMIFS('Modeling - Base Estimates'!X:X,'Modeling - Base Estimates'!A:A,A49)*'Modeling - Base Estimates'!Q49))</f>
        <v>0.11454445825093496</v>
      </c>
      <c r="AF49" s="18">
        <f t="shared" si="23"/>
        <v>3.7544458250934956E-2</v>
      </c>
      <c r="AG49" s="18">
        <f>$N49*(1-$N$2)+$O49*(1-$N$2-'Modeling - Base Estimates'!$AA$51)+$P49*(1-'Modeling - Base Estimates'!$AE$51)+$Q49*(1-$Q$2)+$R49*(1-$R$2)+$S49*(1-$S$2)+$T49*(1-$T$2)+$U49*(1-$U$2)+$V49*(1-$V$2)</f>
        <v>0.93594845364137891</v>
      </c>
      <c r="AH49" s="18" t="e">
        <f>$O49*(1-$N$2-#REF!)+$P49*(1-#REF!)+$Q49*(1-$Q$2)+$R49*(1-$R$2)+$S49*(1-$S$2)+$T49*(1-$T$2)+$U49*(1-$U$2)+$V49*(1-$V$2)</f>
        <v>#REF!</v>
      </c>
      <c r="AJ49" s="7">
        <f>(SUMIFS('Modeling - Base Estimates'!$X:$X,'Modeling - Base Estimates'!$A:$A,$A49)*SUMIFS('Modeling - Base Estimates'!O:O,'Modeling - Base Estimates'!$A:$A,$A49)*($N$2))</f>
        <v>2639180.3139847396</v>
      </c>
      <c r="AK49" s="7">
        <f>(SUMIFS('Modeling - Base Estimates'!$X:$X,'Modeling - Base Estimates'!$A:$A,$A49)*SUMIFS('Modeling - Base Estimates'!P:P,'Modeling - Base Estimates'!$A:$A,$A49)*($N$2))</f>
        <v>519189.0235658529</v>
      </c>
      <c r="AL49" s="7">
        <f>(SUMIFS('Modeling - Base Estimates'!$X:$X,'Modeling - Base Estimates'!$A:$A,$A49)*SUMIFS('Modeling - Base Estimates'!Q:Q,'Modeling - Base Estimates'!$A:$A,$A49)*($N$2))</f>
        <v>854432.93952118582</v>
      </c>
      <c r="AM49" s="7">
        <f>(SUMIFS('Modeling - Base Estimates'!$X:$X,'Modeling - Base Estimates'!$A:$A,$A49)*SUMIFS('Modeling - Base Estimates'!R:R,'Modeling - Base Estimates'!$A:$A,$A49)*($N$2))</f>
        <v>3805447.317181373</v>
      </c>
      <c r="AN49" s="7">
        <f>(SUMIFS('Modeling - Base Estimates'!X:X,'Modeling - Base Estimates'!A:A,$A49)*$R49*($R$2))+(SUMIFS('Modeling - Base Estimates'!X:X,'Modeling - Base Estimates'!A:A,$A49)*$S49*($S$2))+(SUMIFS('Modeling - Base Estimates'!X:X,'Modeling - Base Estimates'!A:A,$A49)*$T49*($T$2))+(SUMIFS('Modeling - Base Estimates'!X:X,'Modeling - Base Estimates'!A:A,$A49)*$U49*($U$2))+(SUMIFS('Modeling - Base Estimates'!X:X,'Modeling - Base Estimates'!A:A,$A49)*$V49*($V$2))</f>
        <v>1011577.0114887555</v>
      </c>
      <c r="AO49" s="7">
        <f>SUM(AJ49:AN49)-(SUMIFS('Modeling - Base Estimates'!X:X,'Modeling - Base Estimates'!A:A,A49)-SUMIFS('Modeling - Base Estimates'!Z:Z,'Modeling - Base Estimates'!A:A,A49))</f>
        <v>1.862645149230957E-8</v>
      </c>
      <c r="AQ49" s="7">
        <f t="shared" si="5"/>
        <v>2457111.6687189993</v>
      </c>
      <c r="AR49" s="7">
        <f>(W49*$O49*($N$2+'Modeling - Base Estimates'!$AA$51))</f>
        <v>1889280.907403948</v>
      </c>
      <c r="AS49" s="7">
        <f>(W49*P49*('Modeling - Base Estimates'!$AE$51))</f>
        <v>928663.80683331937</v>
      </c>
      <c r="AT49" s="7">
        <f t="shared" si="6"/>
        <v>3834428.8961235397</v>
      </c>
      <c r="AU49" s="7">
        <f t="shared" si="7"/>
        <v>1019280.9938516639</v>
      </c>
      <c r="AV49" s="5">
        <f t="shared" si="12"/>
        <v>0</v>
      </c>
      <c r="AX49" s="7">
        <f>SUMIFS('Modeling - Base Estimates'!X:X,'Modeling - Base Estimates'!A:A,A49)</f>
        <v>156939388.3352724</v>
      </c>
      <c r="AY49" s="5">
        <f t="shared" si="13"/>
        <v>2639180.3139847396</v>
      </c>
      <c r="AZ49" s="5">
        <f t="shared" si="13"/>
        <v>519189.0235658529</v>
      </c>
      <c r="BA49" s="5">
        <f t="shared" si="13"/>
        <v>854432.93952118582</v>
      </c>
      <c r="BB49" s="5">
        <f t="shared" si="13"/>
        <v>3805447.317181373</v>
      </c>
      <c r="BC49" s="5">
        <f t="shared" si="13"/>
        <v>1011577.0114887555</v>
      </c>
      <c r="BD49" s="5">
        <f t="shared" si="14"/>
        <v>148109561.72953048</v>
      </c>
      <c r="BF49" s="5">
        <f t="shared" si="15"/>
        <v>158134609.52560094</v>
      </c>
      <c r="BG49" s="5">
        <f t="shared" si="16"/>
        <v>2457111.6687189993</v>
      </c>
      <c r="BH49" s="5">
        <f t="shared" si="17"/>
        <v>222096.25348764521</v>
      </c>
      <c r="BI49" s="5">
        <f t="shared" si="18"/>
        <v>1889280.907403948</v>
      </c>
      <c r="BJ49" s="5">
        <f t="shared" si="18"/>
        <v>928663.80683331937</v>
      </c>
      <c r="BK49" s="5">
        <f t="shared" si="18"/>
        <v>3834428.8961235397</v>
      </c>
      <c r="BL49" s="5">
        <f t="shared" si="18"/>
        <v>1019280.9938516639</v>
      </c>
      <c r="BM49" s="5">
        <f t="shared" si="19"/>
        <v>147783746.99918184</v>
      </c>
      <c r="BO49" s="5">
        <f t="shared" si="20"/>
        <v>-325814.73034864664</v>
      </c>
      <c r="BP49" s="1">
        <f t="shared" si="21"/>
        <v>-2.1998223919103316E-3</v>
      </c>
    </row>
    <row r="50" spans="1:70" x14ac:dyDescent="0.25">
      <c r="W50" s="4"/>
      <c r="X50" s="4"/>
      <c r="Y50" s="7"/>
      <c r="Z50" s="4"/>
      <c r="AA50" s="4"/>
      <c r="AB50" s="4"/>
      <c r="AC50" s="18"/>
      <c r="AD50" s="18"/>
      <c r="AE50" s="18"/>
      <c r="AF50" s="18"/>
      <c r="AG50" s="18"/>
      <c r="AH50" s="18"/>
    </row>
    <row r="51" spans="1:70" x14ac:dyDescent="0.25">
      <c r="A51" s="3" t="s">
        <v>50</v>
      </c>
      <c r="C51" s="5">
        <f t="shared" ref="C51:M51" si="24">SUM(C5:C49)</f>
        <v>20859879502.200001</v>
      </c>
      <c r="D51" s="5">
        <f t="shared" si="24"/>
        <v>6102995953.7450008</v>
      </c>
      <c r="E51" s="5">
        <f t="shared" si="24"/>
        <v>1573985086.1478305</v>
      </c>
      <c r="F51" s="5">
        <f t="shared" si="24"/>
        <v>1213073173.2071695</v>
      </c>
      <c r="G51" s="5">
        <f t="shared" si="24"/>
        <v>809549649.19999993</v>
      </c>
      <c r="H51" s="5">
        <f t="shared" si="24"/>
        <v>3440281653.6999998</v>
      </c>
      <c r="I51" s="5">
        <f t="shared" si="24"/>
        <v>1327048884.1999996</v>
      </c>
      <c r="J51" s="5">
        <f t="shared" si="24"/>
        <v>1507094294.9000001</v>
      </c>
      <c r="K51" s="5">
        <f t="shared" si="24"/>
        <v>80239814.299999982</v>
      </c>
      <c r="L51" s="5">
        <f t="shared" si="24"/>
        <v>821793065.19999981</v>
      </c>
      <c r="M51" s="5">
        <f t="shared" si="24"/>
        <v>3983817927.6000004</v>
      </c>
      <c r="N51" s="12">
        <f>D51/$C51</f>
        <v>0.29257100709049372</v>
      </c>
      <c r="O51" s="12">
        <f>E51/$C51</f>
        <v>7.5455137983027623E-2</v>
      </c>
      <c r="P51" s="12">
        <f>F51/$C51</f>
        <v>5.8153412299396648E-2</v>
      </c>
      <c r="Q51" s="12">
        <f t="shared" ref="Q51" si="25">(G51+H51)/$C51</f>
        <v>0.20373230355677693</v>
      </c>
      <c r="R51" s="12">
        <f t="shared" ref="R51:U51" si="26">I51/$C51</f>
        <v>6.3617284273384297E-2</v>
      </c>
      <c r="S51" s="12">
        <f t="shared" si="26"/>
        <v>7.2248465996222727E-2</v>
      </c>
      <c r="T51" s="12">
        <f t="shared" si="26"/>
        <v>3.8466096744009205E-3</v>
      </c>
      <c r="U51" s="12">
        <f t="shared" si="26"/>
        <v>3.9395868279743847E-2</v>
      </c>
      <c r="V51" s="12">
        <f t="shared" ref="V51" si="27">(M51)/$C51</f>
        <v>0.19097991084655327</v>
      </c>
      <c r="W51" s="4">
        <f>SUM(W5:W49)</f>
        <v>11647330065.614653</v>
      </c>
      <c r="X51" s="4">
        <f t="shared" ref="X51:AA51" si="28">SUM(X5:X49)</f>
        <v>10896207398.543104</v>
      </c>
      <c r="Y51" s="4">
        <f t="shared" si="28"/>
        <v>32164077.47230893</v>
      </c>
      <c r="Z51" s="4">
        <f t="shared" si="28"/>
        <v>10864043321.070801</v>
      </c>
      <c r="AA51" s="4">
        <f t="shared" si="28"/>
        <v>105000.76505706459</v>
      </c>
      <c r="AB51" s="4"/>
      <c r="AC51" s="18">
        <f>1-((((W51*O51*(1-N$2-'Modeling - Base Estimates'!$AA$51))/X51)*X51)/('Modeling - Base Estimates'!X51*'Modeling - Base Estimates'!P51))</f>
        <v>-0.18187216044353138</v>
      </c>
      <c r="AD51" s="18">
        <f t="shared" ref="AD51" si="29">AC51-$N$2</f>
        <v>-0.2588721604435314</v>
      </c>
      <c r="AE51" s="18">
        <f>1-((((W51*P51*(1-'Modeling - Base Estimates'!$AE$51))/X51)*X51)/('Modeling - Base Estimates'!X51*'Modeling - Base Estimates'!Q51))</f>
        <v>0.10804576963478707</v>
      </c>
      <c r="AF51" s="18">
        <f t="shared" ref="AF51" si="30">AE51-$N$2</f>
        <v>3.1045769634787071E-2</v>
      </c>
      <c r="AG51" s="18">
        <f>$N51*(1-$N$2)+$O51*(1-$N$2-'Modeling - Base Estimates'!$AA$51)+$P51*(1-'Modeling - Base Estimates'!$AE$51)+$Q51*(1-$Q$2)+$R51*(1-$R$2)+$S51*(1-$S$2)+$T51*(1-$T$2)+$U51*(1-$U$2)+$V51*(1-$V$2)</f>
        <v>0.93551217299774592</v>
      </c>
      <c r="AH51" s="18" t="e">
        <f>$O51*(1-$N$2-#REF!)+$P51*(1-#REF!)+$Q51*(1-$Q$2)+$R51*(1-$R$2)+$S51*(1-$S$2)+$T51*(1-$T$2)+$U51*(1-$U$2)+$V51*(1-$V$2)</f>
        <v>#REF!</v>
      </c>
      <c r="AJ51" s="7">
        <f>('Modeling - Base Estimates'!$X51*'Modeling - Base Estimates'!O51)*($N$2)</f>
        <v>278648744.7068252</v>
      </c>
      <c r="AK51" s="7">
        <f>('Modeling - Base Estimates'!$X51*'Modeling - Base Estimates'!P51)*($N$2)</f>
        <v>46271655.713391773</v>
      </c>
      <c r="AL51" s="7">
        <f>('Modeling - Base Estimates'!$X51*'Modeling - Base Estimates'!Q51)*($N$2)</f>
        <v>53422929.426486149</v>
      </c>
      <c r="AM51" s="7">
        <f>('Modeling - Base Estimates'!$X51*'Modeling - Base Estimates'!R51)*($N$2)</f>
        <v>180864513.07086664</v>
      </c>
      <c r="AN51" s="7">
        <f>('Modeling - Base Estimates'!X51*$R51*($R$2))+('Modeling - Base Estimates'!X51*$S51*($S$2))+('Modeling - Base Estimates'!X51*$T51*($T$2))+('Modeling - Base Estimates'!X51*$U51*($U$2))+('Modeling - Base Estimates'!X51*$V51*($V$2))</f>
        <v>78086629.361523464</v>
      </c>
      <c r="AO51" s="7">
        <f>SUM(AO5:AO49)</f>
        <v>3.5477569326758385E-7</v>
      </c>
      <c r="AQ51" s="7">
        <f t="shared" ref="AQ51" si="31">(W51*$N51*($N$2))</f>
        <v>262390673.7153444</v>
      </c>
      <c r="AR51" s="7">
        <f>(W51*$O51*($N$2+'Modeling - Base Estimates'!$AA$51))</f>
        <v>168627758.2051366</v>
      </c>
      <c r="AS51" s="7">
        <f>(W51*P51*('Modeling - Base Estimates'!$AE$51))</f>
        <v>58490326.447957359</v>
      </c>
      <c r="AT51" s="7">
        <f t="shared" ref="AT51" si="32">(W51*$Q51*($Q$2))</f>
        <v>182716178.610641</v>
      </c>
      <c r="AU51" s="7">
        <f t="shared" ref="AU51" si="33">(W51*$R51*($R$2))+(W51*$S51*($S$2))+(W51*$T51*($T$2))+(W51*$U51*($U$2))+(W51*$V51*($V$2))</f>
        <v>78886069.330431074</v>
      </c>
      <c r="AV51" s="7">
        <f t="shared" ref="AV51" si="34">SUM(AV5:AV49)</f>
        <v>6.4633786678314209E-7</v>
      </c>
      <c r="AX51" s="5">
        <f>SUM(AX5:AX49)</f>
        <v>11529294761.478643</v>
      </c>
      <c r="AY51" s="5">
        <f>AJ51</f>
        <v>278648744.7068252</v>
      </c>
      <c r="AZ51" s="5">
        <f t="shared" ref="AZ51:BC51" si="35">AK51</f>
        <v>46271655.713391773</v>
      </c>
      <c r="BA51" s="5">
        <f t="shared" si="35"/>
        <v>53422929.426486149</v>
      </c>
      <c r="BB51" s="5">
        <f t="shared" si="35"/>
        <v>180864513.07086664</v>
      </c>
      <c r="BC51" s="5">
        <f t="shared" si="35"/>
        <v>78086629.361523464</v>
      </c>
      <c r="BD51" s="5">
        <f t="shared" ref="BD51:BF51" si="36">SUM(BD5:BD49)</f>
        <v>10892258817.33247</v>
      </c>
      <c r="BF51" s="5">
        <f t="shared" si="36"/>
        <v>11647330065.614653</v>
      </c>
      <c r="BG51" s="5">
        <f t="shared" si="16"/>
        <v>262390673.7153444</v>
      </c>
      <c r="BH51" s="5">
        <f>Y51</f>
        <v>32164077.47230893</v>
      </c>
      <c r="BI51" s="5">
        <f>AR51</f>
        <v>168627758.2051366</v>
      </c>
      <c r="BJ51" s="5">
        <f t="shared" ref="BJ51:BL51" si="37">AS51</f>
        <v>58490326.447957359</v>
      </c>
      <c r="BK51" s="5">
        <f t="shared" si="37"/>
        <v>182716178.610641</v>
      </c>
      <c r="BL51" s="5">
        <f t="shared" si="37"/>
        <v>78886069.330431074</v>
      </c>
      <c r="BM51" s="5">
        <f t="shared" si="19"/>
        <v>10864054981.832832</v>
      </c>
      <c r="BO51" s="16">
        <f>SUM(BO5:BO49)</f>
        <v>-28215496.261675484</v>
      </c>
      <c r="BP51" s="12">
        <f>BO51/BD51</f>
        <v>-2.590417353724386E-3</v>
      </c>
    </row>
    <row r="52" spans="1:70" ht="17.25" customHeight="1" x14ac:dyDescent="0.25"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12"/>
      <c r="O52" s="12"/>
      <c r="P52" s="12"/>
      <c r="Q52" s="12"/>
      <c r="R52" s="12"/>
      <c r="S52" s="12"/>
      <c r="T52" s="12"/>
      <c r="U52" s="12"/>
      <c r="V52" s="12"/>
      <c r="W52" s="5"/>
      <c r="X52" s="5"/>
      <c r="Y52" s="5"/>
      <c r="Z52" s="5"/>
      <c r="AA52" s="4"/>
      <c r="AB52" s="4"/>
      <c r="AC52" s="18"/>
      <c r="AD52" s="18"/>
      <c r="AE52" s="18"/>
      <c r="AF52" s="18"/>
      <c r="AG52" s="18"/>
      <c r="AH52" s="18"/>
      <c r="AJ52" s="4"/>
      <c r="AK52" s="4"/>
      <c r="AL52" s="4"/>
      <c r="AM52" s="4"/>
      <c r="AN52" s="4"/>
      <c r="AO52" s="5"/>
      <c r="AQ52" s="4"/>
      <c r="AR52" s="4"/>
      <c r="AS52" s="4"/>
      <c r="AT52" s="4"/>
      <c r="AU52" s="4"/>
      <c r="AV52" s="5"/>
    </row>
    <row r="53" spans="1:70" x14ac:dyDescent="0.25">
      <c r="C53" s="28" t="s">
        <v>94</v>
      </c>
      <c r="D53" s="48" t="s">
        <v>42</v>
      </c>
      <c r="E53" s="25">
        <f>SUM('Modeling - Base Estimates'!E51:G51)</f>
        <v>8890054213.1000023</v>
      </c>
      <c r="F53" s="5"/>
      <c r="G53" s="4"/>
      <c r="H53" s="5"/>
      <c r="I53" s="28"/>
      <c r="J53" s="25"/>
      <c r="K53" s="5"/>
      <c r="L53" s="5"/>
      <c r="M53" s="5"/>
      <c r="N53" s="12"/>
      <c r="O53" s="12"/>
      <c r="P53" s="12"/>
      <c r="Q53" s="12"/>
      <c r="R53" s="12"/>
      <c r="S53" s="12"/>
      <c r="T53" s="12"/>
      <c r="U53" s="12"/>
      <c r="V53" s="12"/>
      <c r="W53" s="4"/>
      <c r="X53" s="5"/>
      <c r="Y53" s="5"/>
      <c r="Z53" s="4"/>
      <c r="AA53" s="4"/>
      <c r="AB53" s="4"/>
      <c r="AC53" s="18"/>
      <c r="AD53" s="18"/>
      <c r="AE53" s="18"/>
      <c r="AF53" s="18"/>
      <c r="AG53" s="18"/>
      <c r="AH53" s="18"/>
      <c r="AJ53" s="4"/>
      <c r="AK53" s="4"/>
      <c r="AL53" s="4"/>
      <c r="AM53" s="4"/>
      <c r="AN53" s="4"/>
      <c r="AX53" s="1" t="s">
        <v>89</v>
      </c>
      <c r="AY53" s="5">
        <f>$AX$51*N51</f>
        <v>3373137379.4089603</v>
      </c>
      <c r="AZ53" s="5">
        <f t="shared" ref="AZ53:BB53" si="38">$AX$51*O51</f>
        <v>869944527.0743686</v>
      </c>
      <c r="BA53" s="5">
        <f t="shared" si="38"/>
        <v>670467831.78554153</v>
      </c>
      <c r="BB53" s="5">
        <f t="shared" si="38"/>
        <v>2348889780.1411252</v>
      </c>
      <c r="BC53" s="5">
        <f>AX51-SUM(AY53:BB53)</f>
        <v>4266855243.0686474</v>
      </c>
      <c r="BF53" s="1" t="s">
        <v>89</v>
      </c>
      <c r="BG53" s="5">
        <f>$BF$51*N51</f>
        <v>3407671087.212265</v>
      </c>
      <c r="BI53" s="5">
        <f>$BF$51*O51</f>
        <v>878850897.23481977</v>
      </c>
      <c r="BJ53" s="5">
        <f t="shared" ref="BJ53:BK53" si="39">$BF$51*P51</f>
        <v>677331987.49284756</v>
      </c>
      <c r="BK53" s="5">
        <f t="shared" si="39"/>
        <v>2372937384.5537791</v>
      </c>
      <c r="BL53" s="5">
        <f>BF51-SUM(BG53:BK53)</f>
        <v>4310538709.1209412</v>
      </c>
    </row>
    <row r="54" spans="1:70" x14ac:dyDescent="0.25">
      <c r="D54" s="1" t="s">
        <v>43</v>
      </c>
      <c r="E54" s="6">
        <f>SUM('Modeling - Base Estimates'!F51:G51)/E53</f>
        <v>0.2635029542618661</v>
      </c>
      <c r="G54" s="12"/>
      <c r="J54" s="6"/>
      <c r="W54" s="4"/>
      <c r="X54" s="4"/>
      <c r="Y54" s="7"/>
      <c r="Z54" s="4"/>
      <c r="AA54" s="22"/>
      <c r="AB54" s="22"/>
      <c r="AF54" s="26"/>
      <c r="AX54" s="1" t="s">
        <v>87</v>
      </c>
      <c r="AY54" s="5">
        <f>AY51</f>
        <v>278648744.7068252</v>
      </c>
      <c r="AZ54" s="5">
        <f t="shared" ref="AZ54:BB54" si="40">AZ51</f>
        <v>46271655.713391773</v>
      </c>
      <c r="BA54" s="5">
        <f t="shared" si="40"/>
        <v>53422929.426486149</v>
      </c>
      <c r="BB54" s="5">
        <f t="shared" si="40"/>
        <v>180864513.07086664</v>
      </c>
      <c r="BC54" s="5">
        <f>BC51</f>
        <v>78086629.361523464</v>
      </c>
      <c r="BF54" s="1" t="s">
        <v>87</v>
      </c>
      <c r="BG54" s="5">
        <f>BG51+BH51</f>
        <v>294554751.1876533</v>
      </c>
      <c r="BI54" s="5">
        <f>BI51</f>
        <v>168627758.2051366</v>
      </c>
      <c r="BJ54" s="5">
        <f t="shared" ref="BJ54:BK54" si="41">BJ51</f>
        <v>58490326.447957359</v>
      </c>
      <c r="BK54" s="5">
        <f t="shared" si="41"/>
        <v>182716178.610641</v>
      </c>
      <c r="BL54" s="5">
        <f>BL51</f>
        <v>78886069.330431074</v>
      </c>
    </row>
    <row r="55" spans="1:70" x14ac:dyDescent="0.25">
      <c r="D55" s="1" t="s">
        <v>44</v>
      </c>
      <c r="E55" s="6">
        <f>E54+E61</f>
        <v>0.31350295426186608</v>
      </c>
      <c r="J55" s="6"/>
      <c r="AA55" s="20"/>
      <c r="AB55" s="20"/>
      <c r="AC55" s="5"/>
      <c r="AD55" s="5"/>
      <c r="AJ55" s="5"/>
      <c r="AK55" s="5"/>
      <c r="AL55" s="5"/>
      <c r="AM55" s="5"/>
      <c r="AN55" s="5"/>
      <c r="AX55" s="1" t="s">
        <v>38</v>
      </c>
      <c r="AY55" s="5">
        <f>AY53-AY54</f>
        <v>3094488634.7021351</v>
      </c>
      <c r="AZ55" s="5">
        <f t="shared" ref="AZ55:BB55" si="42">AZ53-AZ54</f>
        <v>823672871.36097682</v>
      </c>
      <c r="BA55" s="5">
        <f t="shared" si="42"/>
        <v>617044902.3590554</v>
      </c>
      <c r="BB55" s="5">
        <f t="shared" si="42"/>
        <v>2168025267.0702586</v>
      </c>
      <c r="BC55" s="5">
        <f>BC53-BC54</f>
        <v>4188768613.7071238</v>
      </c>
      <c r="BF55" s="1" t="s">
        <v>38</v>
      </c>
      <c r="BG55" s="5">
        <f>BG53-BG54</f>
        <v>3113116336.0246115</v>
      </c>
      <c r="BI55" s="5">
        <f t="shared" ref="BI55:BK55" si="43">BI53-BI54</f>
        <v>710223139.02968311</v>
      </c>
      <c r="BJ55" s="5">
        <f t="shared" si="43"/>
        <v>618841661.04489017</v>
      </c>
      <c r="BK55" s="5">
        <f t="shared" si="43"/>
        <v>2190221205.9431381</v>
      </c>
      <c r="BL55" s="5">
        <f>BL53-BL54</f>
        <v>4231652639.7905102</v>
      </c>
    </row>
    <row r="56" spans="1:70" x14ac:dyDescent="0.25">
      <c r="D56" s="3" t="s">
        <v>45</v>
      </c>
      <c r="E56" s="29">
        <f>E53*E55</f>
        <v>2787058259.355</v>
      </c>
      <c r="I56" s="3"/>
      <c r="J56" s="29"/>
      <c r="W56" s="20"/>
      <c r="X56" s="4"/>
      <c r="Y56" s="4"/>
      <c r="Z56" s="4"/>
      <c r="AA56" s="44"/>
      <c r="AB56" s="20"/>
      <c r="AC56" s="5"/>
      <c r="AD56" s="5"/>
      <c r="AE56" s="5"/>
      <c r="BQ56" s="12"/>
      <c r="BR56" s="12"/>
    </row>
    <row r="57" spans="1:70" x14ac:dyDescent="0.25">
      <c r="D57" s="1" t="s">
        <v>26</v>
      </c>
      <c r="E57" s="21">
        <f>E56*('Modeling - Base Estimates'!F51/SUM('Modeling - Base Estimates'!F51:G51))</f>
        <v>1293568753.4994786</v>
      </c>
      <c r="J57" s="21"/>
      <c r="W57" s="20"/>
      <c r="X57" s="4"/>
      <c r="Y57" s="4"/>
      <c r="Z57" s="4"/>
      <c r="AA57" s="3"/>
      <c r="AC57" s="21"/>
      <c r="AY57" s="6"/>
      <c r="AZ57" s="6"/>
      <c r="BA57" s="6"/>
      <c r="BB57" s="6"/>
      <c r="BF57" s="1" t="s">
        <v>39</v>
      </c>
      <c r="BG57" s="6">
        <f>1-BG55/AY53</f>
        <v>7.7085814817868359E-2</v>
      </c>
      <c r="BI57" s="12">
        <f>1-BI55/AZ53</f>
        <v>0.18359950901907496</v>
      </c>
      <c r="BJ57" s="6">
        <f t="shared" ref="BJ57" si="44">1-BJ55/BA53</f>
        <v>7.7000220283744647E-2</v>
      </c>
      <c r="BK57" s="6">
        <f>1-BK55/BB53</f>
        <v>6.7550455342546556E-2</v>
      </c>
    </row>
    <row r="58" spans="1:70" x14ac:dyDescent="0.25">
      <c r="D58" s="1" t="s">
        <v>27</v>
      </c>
      <c r="E58" s="21">
        <f>E56-E57</f>
        <v>1493489505.8555214</v>
      </c>
      <c r="J58" s="21"/>
      <c r="X58" s="5"/>
      <c r="Y58" s="5"/>
      <c r="AC58" s="12"/>
      <c r="AD58" s="12"/>
      <c r="BQ58" s="12"/>
    </row>
    <row r="59" spans="1:70" x14ac:dyDescent="0.25">
      <c r="D59" s="1" t="s">
        <v>93</v>
      </c>
      <c r="E59" s="5">
        <f>E53-E56</f>
        <v>6102995953.7450027</v>
      </c>
      <c r="X59" s="4"/>
      <c r="Y59" s="5"/>
      <c r="Z59" s="21"/>
      <c r="BF59" s="5"/>
      <c r="BK59" s="1" t="s">
        <v>90</v>
      </c>
      <c r="BL59" s="5">
        <f>BL55-BC55</f>
        <v>42884026.083386421</v>
      </c>
    </row>
    <row r="60" spans="1:70" x14ac:dyDescent="0.25">
      <c r="X60" s="5"/>
      <c r="Y60" s="5"/>
      <c r="Z60" s="21"/>
      <c r="AD60" s="6"/>
      <c r="BK60" s="47"/>
      <c r="BL60" s="47"/>
    </row>
    <row r="61" spans="1:70" x14ac:dyDescent="0.25">
      <c r="E61" s="49">
        <v>0.05</v>
      </c>
      <c r="X61" s="5"/>
      <c r="Y61" s="5"/>
      <c r="BK61" s="12">
        <f>BK55/BB55-1</f>
        <v>1.0237859867230137E-2</v>
      </c>
      <c r="BL61" s="12">
        <f>BL55/BC55-1</f>
        <v>1.0237859867230359E-2</v>
      </c>
    </row>
    <row r="62" spans="1:70" x14ac:dyDescent="0.25">
      <c r="X62" s="5"/>
      <c r="Y62" s="5"/>
      <c r="Z62" s="21"/>
      <c r="AA62" s="21"/>
    </row>
    <row r="63" spans="1:70" x14ac:dyDescent="0.25">
      <c r="F63" s="9"/>
      <c r="G63" s="12"/>
      <c r="I63" s="10"/>
      <c r="J63" s="10"/>
      <c r="K63" s="10"/>
      <c r="X63" s="5"/>
      <c r="Y63" s="5"/>
      <c r="Z63" s="21"/>
      <c r="AA63" s="21"/>
    </row>
    <row r="64" spans="1:70" x14ac:dyDescent="0.25">
      <c r="W64" s="20"/>
      <c r="X64" s="5"/>
      <c r="Y64" s="5"/>
      <c r="Z64" s="4"/>
      <c r="AD64" s="21"/>
      <c r="AE64" s="21"/>
    </row>
    <row r="65" spans="3:26" x14ac:dyDescent="0.25">
      <c r="C65" s="3" t="s">
        <v>95</v>
      </c>
      <c r="D65" s="31" t="s">
        <v>47</v>
      </c>
      <c r="E65" s="25">
        <f>E56</f>
        <v>2787058259.355</v>
      </c>
      <c r="X65" s="5"/>
      <c r="Y65" s="5"/>
      <c r="Z65" s="21"/>
    </row>
    <row r="66" spans="3:26" x14ac:dyDescent="0.25">
      <c r="D66" s="1" t="s">
        <v>48</v>
      </c>
      <c r="E66" s="6">
        <f>'Modeling - Base Estimates'!F51/SUM('Modeling - Base Estimates'!F51:G51)</f>
        <v>0.46413409162061975</v>
      </c>
      <c r="X66" s="5"/>
      <c r="Y66" s="5"/>
      <c r="Z66" s="21"/>
    </row>
    <row r="67" spans="3:26" x14ac:dyDescent="0.25">
      <c r="D67" s="1" t="s">
        <v>44</v>
      </c>
      <c r="E67" s="6">
        <f>E51/SUM(E51:F51)</f>
        <v>0.56474782357513142</v>
      </c>
      <c r="X67" s="5"/>
      <c r="Y67" s="5"/>
    </row>
    <row r="68" spans="3:26" x14ac:dyDescent="0.25">
      <c r="D68" s="3" t="s">
        <v>49</v>
      </c>
      <c r="E68" s="29">
        <f>E65*E67</f>
        <v>1573985086.1478305</v>
      </c>
      <c r="F68" s="34"/>
      <c r="G68" s="4"/>
      <c r="H68" s="4"/>
    </row>
    <row r="69" spans="3:26" x14ac:dyDescent="0.25">
      <c r="D69" s="1" t="s">
        <v>26</v>
      </c>
      <c r="E69" s="21">
        <f>E68</f>
        <v>1573985086.1478305</v>
      </c>
      <c r="G69" s="4"/>
      <c r="H69" s="5"/>
      <c r="X69" s="5"/>
      <c r="Y69" s="5"/>
    </row>
    <row r="70" spans="3:26" x14ac:dyDescent="0.25">
      <c r="D70" s="1" t="s">
        <v>27</v>
      </c>
      <c r="E70" s="21">
        <f>E65-E69</f>
        <v>1213073173.2071695</v>
      </c>
      <c r="G70" s="5"/>
      <c r="H70" s="5"/>
    </row>
    <row r="73" spans="3:26" x14ac:dyDescent="0.25">
      <c r="E73" s="45">
        <v>0.1</v>
      </c>
      <c r="F73" s="46"/>
    </row>
    <row r="75" spans="3:26" ht="15.75" x14ac:dyDescent="0.25">
      <c r="H75" s="3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40D51286D8B4D9C836A50BBB33558" ma:contentTypeVersion="2" ma:contentTypeDescription="Create a new document." ma:contentTypeScope="" ma:versionID="d14e5c4da1db565cb04c30bec4da997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CD0F1F-7510-4432-9D88-BE5AB49C8E4A}"/>
</file>

<file path=customXml/itemProps2.xml><?xml version="1.0" encoding="utf-8"?>
<ds:datastoreItem xmlns:ds="http://schemas.openxmlformats.org/officeDocument/2006/customXml" ds:itemID="{AA57444C-92C1-47F2-862C-200B0B459C83}"/>
</file>

<file path=customXml/itemProps3.xml><?xml version="1.0" encoding="utf-8"?>
<ds:datastoreItem xmlns:ds="http://schemas.openxmlformats.org/officeDocument/2006/customXml" ds:itemID="{E5AB0C8A-B886-4450-BB69-8BD1A1D2B65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Modeling - Base Estimates</vt:lpstr>
      <vt:lpstr>Scenario 1 - increased MA % </vt:lpstr>
      <vt:lpstr>Scenario 2 - Increased QP %</vt:lpstr>
      <vt:lpstr>Scenario 3 - increase MA &amp; QP %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Teague</dc:creator>
  <cp:lastModifiedBy>William Hoff</cp:lastModifiedBy>
  <dcterms:created xsi:type="dcterms:W3CDTF">2026-03-30T15:28:22Z</dcterms:created>
  <dcterms:modified xsi:type="dcterms:W3CDTF">2026-10-14T17:38:59Z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0x0101005AD40D51286D8B4D9C836A50BBB33558</vt:lpwstr>
  </property>
</Properties>
</file>