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0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7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115" windowHeight="8955" tabRatio="833"/>
  </bookViews>
  <sheets>
    <sheet name="FY2009Totals" sheetId="52" r:id="rId1"/>
    <sheet name="2009vs2008" sheetId="54" r:id="rId2"/>
    <sheet name="FY2008Totals" sheetId="53" r:id="rId3"/>
    <sheet name="AnneArundel" sheetId="4" r:id="rId4"/>
    <sheet name="AtlanticGeneral" sheetId="5" r:id="rId5"/>
    <sheet name="BaltimoreWash" sheetId="6" r:id="rId6"/>
    <sheet name="BonSecours" sheetId="7" r:id="rId7"/>
    <sheet name="Braddock" sheetId="8" r:id="rId8"/>
    <sheet name="Calvert" sheetId="9" r:id="rId9"/>
    <sheet name="CarrollHospital" sheetId="10" r:id="rId10"/>
    <sheet name="Chester River" sheetId="11" r:id="rId11"/>
    <sheet name="Civista" sheetId="12" r:id="rId12"/>
    <sheet name="CumberlandMemorial" sheetId="13" r:id="rId13"/>
    <sheet name="Doctors" sheetId="14" r:id="rId14"/>
    <sheet name="Shore Health - Dorchester" sheetId="40" r:id="rId15"/>
    <sheet name="Shore Health - Easton" sheetId="39" r:id="rId16"/>
    <sheet name="Franklin Square" sheetId="29" r:id="rId17"/>
    <sheet name="FrederickMem" sheetId="15" r:id="rId18"/>
    <sheet name="Ft.Washington" sheetId="16" r:id="rId19"/>
    <sheet name="Garrett" sheetId="17" r:id="rId20"/>
    <sheet name="GBMC" sheetId="18" r:id="rId21"/>
    <sheet name="Good Samaritan" sheetId="30" r:id="rId22"/>
    <sheet name="Harbor" sheetId="31" r:id="rId23"/>
    <sheet name="HarfordMemorial" sheetId="19" r:id="rId24"/>
    <sheet name="HolyCross" sheetId="20" r:id="rId25"/>
    <sheet name="HowardCounty" sheetId="21" r:id="rId26"/>
    <sheet name="JHBayview" sheetId="23" r:id="rId27"/>
    <sheet name="JohnsHopkins" sheetId="24" r:id="rId28"/>
    <sheet name="Kernan" sheetId="25" r:id="rId29"/>
    <sheet name="Laurel" sheetId="26" r:id="rId30"/>
    <sheet name="MarylandGeneral" sheetId="27" r:id="rId31"/>
    <sheet name="McCready" sheetId="28" r:id="rId32"/>
    <sheet name="Mercy" sheetId="34" r:id="rId33"/>
    <sheet name="Montgomery General" sheetId="32" r:id="rId34"/>
    <sheet name="Northwest" sheetId="35" r:id="rId35"/>
    <sheet name="Peninsula" sheetId="36" r:id="rId36"/>
    <sheet name="PrinceGeorges" sheetId="37" r:id="rId37"/>
    <sheet name="SGAH" sheetId="38" r:id="rId38"/>
    <sheet name="Sinai" sheetId="41" r:id="rId39"/>
    <sheet name="SouthernMD" sheetId="42" r:id="rId40"/>
    <sheet name="St.Agnes" sheetId="43" r:id="rId41"/>
    <sheet name="StJoseph" sheetId="44" r:id="rId42"/>
    <sheet name="StMarys" sheetId="45" r:id="rId43"/>
    <sheet name="Suburban" sheetId="46" r:id="rId44"/>
    <sheet name="UMMC" sheetId="48" r:id="rId45"/>
    <sheet name="UnionHospital" sheetId="47" r:id="rId46"/>
    <sheet name="Union Memorial" sheetId="33" r:id="rId47"/>
    <sheet name="UpperChesapeake" sheetId="49" r:id="rId48"/>
    <sheet name="WAH" sheetId="50" r:id="rId49"/>
    <sheet name="WashingtonCounty" sheetId="51" r:id="rId50"/>
  </sheets>
  <externalReferences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acct" localSheetId="1">#REF!</definedName>
    <definedName name="acct" localSheetId="0">#REF!</definedName>
    <definedName name="acct">#REF!</definedName>
    <definedName name="acct1">#REF!</definedName>
    <definedName name="bal_umc">'[1]p8 CONS BS'!#REF!</definedName>
    <definedName name="BALANCE_UMMC" localSheetId="1">'[1]p8 CONS BS'!#REF!</definedName>
    <definedName name="BALANCE_UMMC" localSheetId="0">'[1]p8 CONS BS'!#REF!</definedName>
    <definedName name="BALANCE_UMMC">'[1]p8 CONS BS'!#REF!</definedName>
    <definedName name="CASH_UMMC" localSheetId="1">'[1]p10 CF'!#REF!</definedName>
    <definedName name="CASH_UMMC" localSheetId="0">'[1]p10 CF'!#REF!</definedName>
    <definedName name="CASH_UMMC">'[1]p10 CF'!#REF!</definedName>
    <definedName name="CFA_I" localSheetId="1">#REF!</definedName>
    <definedName name="CFA_I" localSheetId="0">#REF!</definedName>
    <definedName name="CFA_I">#REF!</definedName>
    <definedName name="consol" localSheetId="1">#REF!</definedName>
    <definedName name="consol" localSheetId="0">#REF!</definedName>
    <definedName name="consol">#REF!</definedName>
    <definedName name="csh_ummc">'[1]p10 CF'!#REF!</definedName>
    <definedName name="DataRange">#REF!</definedName>
    <definedName name="dept" localSheetId="1">#REF!</definedName>
    <definedName name="dept" localSheetId="0">#REF!</definedName>
    <definedName name="dept">#REF!</definedName>
    <definedName name="Factors_I" localSheetId="1">#REF!</definedName>
    <definedName name="Factors_I" localSheetId="0">#REF!</definedName>
    <definedName name="Factors_I">#REF!</definedName>
    <definedName name="flex" localSheetId="1">#REF!</definedName>
    <definedName name="flex" localSheetId="0">#REF!</definedName>
    <definedName name="flex">#REF!</definedName>
    <definedName name="FUND_CONS" localSheetId="1">#REF!</definedName>
    <definedName name="FUND_CONS" localSheetId="0">#REF!</definedName>
    <definedName name="FUND_CONS">#REF!</definedName>
    <definedName name="HeaderRange">#REF!</definedName>
    <definedName name="inac1">[2]UMH!$A$976:$W$1022</definedName>
    <definedName name="inac4">[2]CC!$A$136:$W$140</definedName>
    <definedName name="inac7">[2]STC!$A$208:$W$212</definedName>
    <definedName name="ker">#REF!</definedName>
    <definedName name="kernan" localSheetId="1">#REF!</definedName>
    <definedName name="kernan" localSheetId="0">#REF!</definedName>
    <definedName name="kernan">#REF!</definedName>
    <definedName name="mrh" localSheetId="1">#REF!</definedName>
    <definedName name="mrh" localSheetId="0">#REF!</definedName>
    <definedName name="mrh">#REF!</definedName>
    <definedName name="pan">'[1]p7 CONS IS'!#REF!</definedName>
    <definedName name="PANDL" localSheetId="1">'[1]p7 CONS IS'!#REF!</definedName>
    <definedName name="PANDL" localSheetId="0">'[1]p7 CONS IS'!#REF!</definedName>
    <definedName name="PANDL">'[1]p7 CONS IS'!#REF!</definedName>
    <definedName name="PLROWS" localSheetId="1">#REF!</definedName>
    <definedName name="PLROWS" localSheetId="0">#REF!</definedName>
    <definedName name="PLROWS">#REF!</definedName>
    <definedName name="_xlnm.Print_Area" localSheetId="1">'2009vs2008'!$A$1:$J$47</definedName>
    <definedName name="_xlnm.Print_Area" localSheetId="3">AnneArundel!$A$1:$L$158</definedName>
    <definedName name="_xlnm.Print_Area" localSheetId="4">AtlanticGeneral!$A$1:$K$158</definedName>
    <definedName name="_xlnm.Print_Area" localSheetId="6">BonSecours!$A$1:$K$181</definedName>
    <definedName name="_xlnm.Print_Area" localSheetId="7">Braddock!$A$1:$K$158</definedName>
    <definedName name="_xlnm.Print_Area" localSheetId="8">Calvert!$A$1:$K$158</definedName>
    <definedName name="_xlnm.Print_Area" localSheetId="9">CarrollHospital!$A$1:$L$158</definedName>
    <definedName name="_xlnm.Print_Area" localSheetId="10">'Chester River'!$A$1:$K$158</definedName>
    <definedName name="_xlnm.Print_Area" localSheetId="11">Civista!$A$1:$K$158</definedName>
    <definedName name="_xlnm.Print_Area" localSheetId="12">CumberlandMemorial!$A$1:$K$158</definedName>
    <definedName name="_xlnm.Print_Area" localSheetId="13">Doctors!$A$1:$K$158</definedName>
    <definedName name="_xlnm.Print_Area" localSheetId="16">'Franklin Square'!$A$1:$K$158</definedName>
    <definedName name="_xlnm.Print_Area" localSheetId="17">FrederickMem!$A$1:$K$158</definedName>
    <definedName name="_xlnm.Print_Area" localSheetId="18">Ft.Washington!$A$1:$K$158</definedName>
    <definedName name="_xlnm.Print_Area" localSheetId="19">Garrett!$A$1:$K$158</definedName>
    <definedName name="_xlnm.Print_Area" localSheetId="20">GBMC!$A$1:$K$158</definedName>
    <definedName name="_xlnm.Print_Area" localSheetId="21">'Good Samaritan'!$A$1:$K$158</definedName>
    <definedName name="_xlnm.Print_Area" localSheetId="22">Harbor!$A$1:$K$158</definedName>
    <definedName name="_xlnm.Print_Area" localSheetId="23">HarfordMemorial!$A$1:$K$158</definedName>
    <definedName name="_xlnm.Print_Area" localSheetId="24">HolyCross!$A$1:$L$158</definedName>
    <definedName name="_xlnm.Print_Area" localSheetId="25">HowardCounty!$A$1:$K$158</definedName>
    <definedName name="_xlnm.Print_Area" localSheetId="27">JohnsHopkins!$A$1:$K$158</definedName>
    <definedName name="_xlnm.Print_Area" localSheetId="28">Kernan!$A$1:$K$158</definedName>
    <definedName name="_xlnm.Print_Area" localSheetId="29">Laurel!$A$1:$K$158</definedName>
    <definedName name="_xlnm.Print_Area" localSheetId="30">MarylandGeneral!$A$1:$K$157</definedName>
    <definedName name="_xlnm.Print_Area" localSheetId="31">McCready!$A$1:$K$158</definedName>
    <definedName name="_xlnm.Print_Area" localSheetId="32">Mercy!$A$1:$K$158</definedName>
    <definedName name="_xlnm.Print_Area" localSheetId="33">'Montgomery General'!$A$1:$K$158</definedName>
    <definedName name="_xlnm.Print_Area" localSheetId="34">Northwest!$A$1:$K$158</definedName>
    <definedName name="_xlnm.Print_Area" localSheetId="35">Peninsula!$A$1:$K$158</definedName>
    <definedName name="_xlnm.Print_Area" localSheetId="36">PrinceGeorges!$A$1:$K$158</definedName>
    <definedName name="_xlnm.Print_Area" localSheetId="37">SGAH!$A:$K</definedName>
    <definedName name="_xlnm.Print_Area" localSheetId="14">'Shore Health - Dorchester'!$A$1:$K$158</definedName>
    <definedName name="_xlnm.Print_Area" localSheetId="15">'Shore Health - Easton'!$A$1:$K$158</definedName>
    <definedName name="_xlnm.Print_Area" localSheetId="38">Sinai!$A$1:$K$158</definedName>
    <definedName name="_xlnm.Print_Area" localSheetId="40">St.Agnes!$A$1:$K$158</definedName>
    <definedName name="_xlnm.Print_Area" localSheetId="41">StJoseph!$A$1:$K$158</definedName>
    <definedName name="_xlnm.Print_Area" localSheetId="42">StMarys!$A$1:$K$158</definedName>
    <definedName name="_xlnm.Print_Area" localSheetId="43">Suburban!$A$1:$K$158</definedName>
    <definedName name="_xlnm.Print_Area" localSheetId="44">UMMC!$A$1:$K$158</definedName>
    <definedName name="_xlnm.Print_Area" localSheetId="46">'Union Memorial'!$A$1:$K$158</definedName>
    <definedName name="_xlnm.Print_Area" localSheetId="45">UnionHospital!$A$1:$K$158</definedName>
    <definedName name="_xlnm.Print_Area" localSheetId="47">UpperChesapeake!$A$1:$K$158</definedName>
    <definedName name="_xlnm.Print_Area" localSheetId="48">WAH!$A$1:$L$158</definedName>
    <definedName name="_xlnm.Print_Area" localSheetId="49">WashingtonCounty!$A$1:$K$158</definedName>
    <definedName name="_xlnm.Print_Area">'[1]p7 CONS IS'!#REF!</definedName>
    <definedName name="_xlnm.Print_Titles" localSheetId="1">'2009vs2008'!$1:$1</definedName>
    <definedName name="_xlnm.Print_Titles" localSheetId="3">AnneArundel!$5:$11</definedName>
    <definedName name="_xlnm.Print_Titles" localSheetId="4">AtlanticGeneral!$5:$11</definedName>
    <definedName name="_xlnm.Print_Titles" localSheetId="5">BaltimoreWash!$6:$12</definedName>
    <definedName name="_xlnm.Print_Titles" localSheetId="6">BonSecours!$5:$11</definedName>
    <definedName name="_xlnm.Print_Titles" localSheetId="7">Braddock!$5:$11</definedName>
    <definedName name="_xlnm.Print_Titles" localSheetId="8">Calvert!$5:$11</definedName>
    <definedName name="_xlnm.Print_Titles" localSheetId="9">CarrollHospital!$5:$11</definedName>
    <definedName name="_xlnm.Print_Titles" localSheetId="10">'Chester River'!$5:$11</definedName>
    <definedName name="_xlnm.Print_Titles" localSheetId="11">Civista!$5:$11</definedName>
    <definedName name="_xlnm.Print_Titles" localSheetId="12">CumberlandMemorial!$5:$11</definedName>
    <definedName name="_xlnm.Print_Titles" localSheetId="13">Doctors!$5:$11</definedName>
    <definedName name="_xlnm.Print_Titles" localSheetId="16">'Franklin Square'!$5:$11</definedName>
    <definedName name="_xlnm.Print_Titles" localSheetId="17">FrederickMem!$5:$11</definedName>
    <definedName name="_xlnm.Print_Titles" localSheetId="18">Ft.Washington!$5:$11</definedName>
    <definedName name="_xlnm.Print_Titles" localSheetId="19">Garrett!$5:$11</definedName>
    <definedName name="_xlnm.Print_Titles" localSheetId="20">GBMC!$5:$11</definedName>
    <definedName name="_xlnm.Print_Titles" localSheetId="21">'Good Samaritan'!$5:$11</definedName>
    <definedName name="_xlnm.Print_Titles" localSheetId="22">Harbor!$5:$11</definedName>
    <definedName name="_xlnm.Print_Titles" localSheetId="23">HarfordMemorial!$5:$11</definedName>
    <definedName name="_xlnm.Print_Titles" localSheetId="24">HolyCross!$5:$11</definedName>
    <definedName name="_xlnm.Print_Titles" localSheetId="25">HowardCounty!$5:$11</definedName>
    <definedName name="_xlnm.Print_Titles" localSheetId="26">JHBayview!$5:$11</definedName>
    <definedName name="_xlnm.Print_Titles" localSheetId="27">JohnsHopkins!$5:$11</definedName>
    <definedName name="_xlnm.Print_Titles" localSheetId="28">Kernan!$5:$11</definedName>
    <definedName name="_xlnm.Print_Titles" localSheetId="29">Laurel!$5:$11</definedName>
    <definedName name="_xlnm.Print_Titles" localSheetId="30">MarylandGeneral!$5:$11</definedName>
    <definedName name="_xlnm.Print_Titles" localSheetId="31">McCready!$5:$11</definedName>
    <definedName name="_xlnm.Print_Titles" localSheetId="32">Mercy!$5:$11</definedName>
    <definedName name="_xlnm.Print_Titles" localSheetId="33">'Montgomery General'!$5:$11</definedName>
    <definedName name="_xlnm.Print_Titles" localSheetId="34">Northwest!$5:$11</definedName>
    <definedName name="_xlnm.Print_Titles" localSheetId="35">Peninsula!$5:$11</definedName>
    <definedName name="_xlnm.Print_Titles" localSheetId="36">PrinceGeorges!$5:$11</definedName>
    <definedName name="_xlnm.Print_Titles" localSheetId="37">SGAH!$5:$11</definedName>
    <definedName name="_xlnm.Print_Titles" localSheetId="14">'Shore Health - Dorchester'!$5:$11</definedName>
    <definedName name="_xlnm.Print_Titles" localSheetId="15">'Shore Health - Easton'!$5:$11</definedName>
    <definedName name="_xlnm.Print_Titles" localSheetId="38">Sinai!$5:$11</definedName>
    <definedName name="_xlnm.Print_Titles" localSheetId="39">SouthernMD!$5:$11</definedName>
    <definedName name="_xlnm.Print_Titles" localSheetId="40">St.Agnes!$5:$11</definedName>
    <definedName name="_xlnm.Print_Titles" localSheetId="41">StJoseph!$5:$11</definedName>
    <definedName name="_xlnm.Print_Titles" localSheetId="42">StMarys!$5:$11</definedName>
    <definedName name="_xlnm.Print_Titles" localSheetId="43">Suburban!$5:$11</definedName>
    <definedName name="_xlnm.Print_Titles" localSheetId="44">UMMC!$5:$11</definedName>
    <definedName name="_xlnm.Print_Titles" localSheetId="46">'Union Memorial'!$5:$11</definedName>
    <definedName name="_xlnm.Print_Titles" localSheetId="45">UnionHospital!$5:$11</definedName>
    <definedName name="_xlnm.Print_Titles" localSheetId="47">UpperChesapeake!$5:$11</definedName>
    <definedName name="_xlnm.Print_Titles" localSheetId="48">WAH!$5:$11</definedName>
    <definedName name="_xlnm.Print_Titles" localSheetId="49">WashingtonCounty!$5:$11</definedName>
    <definedName name="Psych?">'[3]Gen Info'!$B$17</definedName>
    <definedName name="RNAdj" localSheetId="1">[4]RR!#REF!</definedName>
    <definedName name="RNAdj" localSheetId="0">[4]RR!#REF!</definedName>
    <definedName name="RNAdj">[5]RR!#REF!</definedName>
    <definedName name="RoutineSpread" localSheetId="1">[4]RR!#REF!</definedName>
    <definedName name="RoutineSpread" localSheetId="0">[4]RR!#REF!</definedName>
    <definedName name="RoutineSpread">[5]RR!#REF!</definedName>
    <definedName name="RR_2" localSheetId="1">#REF!</definedName>
    <definedName name="RR_2" localSheetId="0">#REF!</definedName>
    <definedName name="RR_2">#REF!</definedName>
    <definedName name="RRAdjustor" localSheetId="1">#REF!</definedName>
    <definedName name="RRAdjustor" localSheetId="0">#REF!</definedName>
    <definedName name="RRAdjustor">#REF!</definedName>
    <definedName name="SortRange">#REF!</definedName>
    <definedName name="Titles">#REF!</definedName>
    <definedName name="TopSection">#REF!</definedName>
    <definedName name="ttl.salaries" localSheetId="1">#REF!</definedName>
    <definedName name="ttl.salaries" localSheetId="0">#REF!</definedName>
    <definedName name="ttl.salaries">#REF!</definedName>
    <definedName name="UMMC_DEAT" localSheetId="1">'[1]p8 CONS BS'!#REF!</definedName>
    <definedName name="UMMC_DEAT" localSheetId="0">'[1]p8 CONS BS'!#REF!</definedName>
    <definedName name="UMMC_DEAT">'[1]p8 CONS BS'!#REF!</definedName>
    <definedName name="UR_Rev_I" localSheetId="1">#REF!</definedName>
    <definedName name="UR_Rev_I" localSheetId="0">#REF!</definedName>
    <definedName name="UR_Rev_I">#REF!</definedName>
    <definedName name="URS_Schedule" localSheetId="1">#REF!</definedName>
    <definedName name="URS_Schedule">#REF!</definedName>
  </definedNames>
  <calcPr calcId="125725"/>
</workbook>
</file>

<file path=xl/calcChain.xml><?xml version="1.0" encoding="utf-8"?>
<calcChain xmlns="http://schemas.openxmlformats.org/spreadsheetml/2006/main">
  <c r="F90" i="52"/>
  <c r="F47" i="54"/>
  <c r="C47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J85" i="52"/>
  <c r="I85"/>
  <c r="H85"/>
  <c r="G85"/>
  <c r="F85"/>
  <c r="G73"/>
  <c r="H73"/>
  <c r="J73"/>
  <c r="G72"/>
  <c r="H72"/>
  <c r="G71"/>
  <c r="H71"/>
  <c r="F73"/>
  <c r="F72"/>
  <c r="F71"/>
  <c r="G63"/>
  <c r="H63"/>
  <c r="J63"/>
  <c r="F63"/>
  <c r="F61"/>
  <c r="G62"/>
  <c r="H62"/>
  <c r="J62"/>
  <c r="F62"/>
  <c r="G61"/>
  <c r="J61"/>
  <c r="G56"/>
  <c r="H56"/>
  <c r="J56"/>
  <c r="F56"/>
  <c r="J55"/>
  <c r="F55"/>
  <c r="J54"/>
  <c r="J53"/>
  <c r="F53"/>
  <c r="G52"/>
  <c r="H52"/>
  <c r="J52"/>
  <c r="F52"/>
  <c r="G51"/>
  <c r="H51"/>
  <c r="J51"/>
  <c r="F51"/>
  <c r="G50"/>
  <c r="H50"/>
  <c r="J50"/>
  <c r="F50"/>
  <c r="G49"/>
  <c r="J49"/>
  <c r="F49"/>
  <c r="G48"/>
  <c r="H48"/>
  <c r="J48"/>
  <c r="F48"/>
  <c r="L42"/>
  <c r="G41"/>
  <c r="H41"/>
  <c r="J41"/>
  <c r="J40"/>
  <c r="G39"/>
  <c r="H39"/>
  <c r="J39"/>
  <c r="G38"/>
  <c r="J38"/>
  <c r="G42"/>
  <c r="H42"/>
  <c r="I42"/>
  <c r="J42"/>
  <c r="F39"/>
  <c r="F41"/>
  <c r="F42"/>
  <c r="F38"/>
  <c r="G33"/>
  <c r="H33"/>
  <c r="G32"/>
  <c r="H32"/>
  <c r="G31"/>
  <c r="H31"/>
  <c r="F33"/>
  <c r="F32"/>
  <c r="F31"/>
  <c r="G23"/>
  <c r="H23"/>
  <c r="J23"/>
  <c r="J19"/>
  <c r="J18"/>
  <c r="G19"/>
  <c r="H19"/>
  <c r="G18"/>
  <c r="H18"/>
  <c r="F23"/>
  <c r="F19"/>
  <c r="F18"/>
  <c r="J13"/>
  <c r="J6"/>
  <c r="J9"/>
  <c r="J10"/>
  <c r="J11"/>
  <c r="H13"/>
  <c r="H6"/>
  <c r="H9"/>
  <c r="H10"/>
  <c r="H11"/>
  <c r="G13"/>
  <c r="G6"/>
  <c r="G9"/>
  <c r="G10"/>
  <c r="G11"/>
  <c r="J152" i="48"/>
  <c r="H152"/>
  <c r="F152"/>
  <c r="K151"/>
  <c r="K147"/>
  <c r="J147"/>
  <c r="I147"/>
  <c r="H147"/>
  <c r="G147"/>
  <c r="F147"/>
  <c r="J144"/>
  <c r="H144"/>
  <c r="H154" s="1"/>
  <c r="F144"/>
  <c r="K140"/>
  <c r="K152" s="1"/>
  <c r="J140"/>
  <c r="I140"/>
  <c r="I152" s="1"/>
  <c r="H140"/>
  <c r="G140"/>
  <c r="G152" s="1"/>
  <c r="F140"/>
  <c r="K110"/>
  <c r="K150" s="1"/>
  <c r="J110"/>
  <c r="J150" s="1"/>
  <c r="I110"/>
  <c r="I150" s="1"/>
  <c r="H110"/>
  <c r="H150" s="1"/>
  <c r="G110"/>
  <c r="G150" s="1"/>
  <c r="F110"/>
  <c r="F150" s="1"/>
  <c r="K99"/>
  <c r="K149" s="1"/>
  <c r="J99"/>
  <c r="J149" s="1"/>
  <c r="I99"/>
  <c r="I149" s="1"/>
  <c r="H99"/>
  <c r="H149" s="1"/>
  <c r="G99"/>
  <c r="G149" s="1"/>
  <c r="F99"/>
  <c r="F149" s="1"/>
  <c r="K82"/>
  <c r="K148" s="1"/>
  <c r="J82"/>
  <c r="J148" s="1"/>
  <c r="I82"/>
  <c r="I148" s="1"/>
  <c r="H82"/>
  <c r="H148" s="1"/>
  <c r="G82"/>
  <c r="G148" s="1"/>
  <c r="F82"/>
  <c r="F148" s="1"/>
  <c r="K63"/>
  <c r="K146" s="1"/>
  <c r="J63"/>
  <c r="J146" s="1"/>
  <c r="I63"/>
  <c r="I146" s="1"/>
  <c r="H63"/>
  <c r="H146" s="1"/>
  <c r="G63"/>
  <c r="G146" s="1"/>
  <c r="F63"/>
  <c r="F146" s="1"/>
  <c r="K48"/>
  <c r="K145" s="1"/>
  <c r="J48"/>
  <c r="J145" s="1"/>
  <c r="I48"/>
  <c r="I145" s="1"/>
  <c r="H48"/>
  <c r="H145" s="1"/>
  <c r="G48"/>
  <c r="G145" s="1"/>
  <c r="F48"/>
  <c r="F145" s="1"/>
  <c r="K34"/>
  <c r="K144" s="1"/>
  <c r="K154" s="1"/>
  <c r="J34"/>
  <c r="I34"/>
  <c r="I144" s="1"/>
  <c r="I154" s="1"/>
  <c r="H34"/>
  <c r="G34"/>
  <c r="G144" s="1"/>
  <c r="G154" s="1"/>
  <c r="F34"/>
  <c r="I44" i="46"/>
  <c r="K140" i="42"/>
  <c r="J140"/>
  <c r="I140"/>
  <c r="H140"/>
  <c r="G140"/>
  <c r="F140"/>
  <c r="K110"/>
  <c r="J110"/>
  <c r="I110"/>
  <c r="H110"/>
  <c r="G110"/>
  <c r="F110"/>
  <c r="F150" s="1"/>
  <c r="K99"/>
  <c r="J99"/>
  <c r="J149" s="1"/>
  <c r="I99"/>
  <c r="H99"/>
  <c r="H149" s="1"/>
  <c r="G99"/>
  <c r="F99"/>
  <c r="F149" s="1"/>
  <c r="G82"/>
  <c r="H82"/>
  <c r="H148" s="1"/>
  <c r="I82"/>
  <c r="J82"/>
  <c r="J148" s="1"/>
  <c r="K82"/>
  <c r="F82"/>
  <c r="F148" s="1"/>
  <c r="K74"/>
  <c r="J74"/>
  <c r="J147" s="1"/>
  <c r="I74"/>
  <c r="H74"/>
  <c r="H147" s="1"/>
  <c r="G74"/>
  <c r="F74"/>
  <c r="F147" s="1"/>
  <c r="K63"/>
  <c r="J63"/>
  <c r="J146" s="1"/>
  <c r="I63"/>
  <c r="H63"/>
  <c r="H146" s="1"/>
  <c r="G63"/>
  <c r="F63"/>
  <c r="F146" s="1"/>
  <c r="K48"/>
  <c r="J48"/>
  <c r="J145" s="1"/>
  <c r="I48"/>
  <c r="H48"/>
  <c r="H145" s="1"/>
  <c r="G48"/>
  <c r="F48"/>
  <c r="F145" s="1"/>
  <c r="K34"/>
  <c r="J34"/>
  <c r="I34"/>
  <c r="H34"/>
  <c r="G34"/>
  <c r="F34"/>
  <c r="K152"/>
  <c r="J152"/>
  <c r="I152"/>
  <c r="H152"/>
  <c r="G152"/>
  <c r="F152"/>
  <c r="K151"/>
  <c r="K150"/>
  <c r="J150"/>
  <c r="I150"/>
  <c r="H150"/>
  <c r="G150"/>
  <c r="K149"/>
  <c r="I149"/>
  <c r="G149"/>
  <c r="K148"/>
  <c r="I148"/>
  <c r="G148"/>
  <c r="K147"/>
  <c r="I147"/>
  <c r="G147"/>
  <c r="K146"/>
  <c r="I146"/>
  <c r="G146"/>
  <c r="K145"/>
  <c r="I145"/>
  <c r="G145"/>
  <c r="K144"/>
  <c r="K154" s="1"/>
  <c r="J144"/>
  <c r="I144"/>
  <c r="I154" s="1"/>
  <c r="H144"/>
  <c r="G144"/>
  <c r="G154" s="1"/>
  <c r="F144"/>
  <c r="F121" i="34"/>
  <c r="F121" i="28"/>
  <c r="I61" i="27"/>
  <c r="K61" s="1"/>
  <c r="F121" i="26"/>
  <c r="F125" s="1"/>
  <c r="F129" s="1"/>
  <c r="F121" i="25"/>
  <c r="F121" i="24"/>
  <c r="I44" i="20"/>
  <c r="G65" i="52"/>
  <c r="K42"/>
  <c r="M42" s="1"/>
  <c r="J44"/>
  <c r="J58"/>
  <c r="K151" i="51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33"/>
  <c r="K140" s="1"/>
  <c r="K152" s="1"/>
  <c r="F127"/>
  <c r="F121"/>
  <c r="F125" s="1"/>
  <c r="F129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H74"/>
  <c r="H147" s="1"/>
  <c r="G74"/>
  <c r="G147" s="1"/>
  <c r="F74"/>
  <c r="F147" s="1"/>
  <c r="K72"/>
  <c r="K71"/>
  <c r="K70"/>
  <c r="K69"/>
  <c r="K68"/>
  <c r="K67"/>
  <c r="K74" s="1"/>
  <c r="K147" s="1"/>
  <c r="I67"/>
  <c r="I74" s="1"/>
  <c r="I147" s="1"/>
  <c r="J63"/>
  <c r="J146" s="1"/>
  <c r="H63"/>
  <c r="H146" s="1"/>
  <c r="G63"/>
  <c r="G146" s="1"/>
  <c r="F63"/>
  <c r="F146" s="1"/>
  <c r="K61"/>
  <c r="K60"/>
  <c r="K59"/>
  <c r="I59"/>
  <c r="K58"/>
  <c r="K57"/>
  <c r="K56"/>
  <c r="I55"/>
  <c r="K55" s="1"/>
  <c r="I54"/>
  <c r="K54" s="1"/>
  <c r="K53"/>
  <c r="I53"/>
  <c r="K52"/>
  <c r="K63" s="1"/>
  <c r="K146" s="1"/>
  <c r="I52"/>
  <c r="I63" s="1"/>
  <c r="I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G34"/>
  <c r="G144" s="1"/>
  <c r="G154" s="1"/>
  <c r="F34"/>
  <c r="F14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I154" s="1"/>
  <c r="I152" i="50"/>
  <c r="G152"/>
  <c r="K151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F125"/>
  <c r="F129" s="1"/>
  <c r="F121"/>
  <c r="J110"/>
  <c r="J150" s="1"/>
  <c r="H110"/>
  <c r="H150" s="1"/>
  <c r="G110"/>
  <c r="G150" s="1"/>
  <c r="F110"/>
  <c r="F150" s="1"/>
  <c r="I108"/>
  <c r="K108" s="1"/>
  <c r="I107"/>
  <c r="I106"/>
  <c r="K106"/>
  <c r="I105"/>
  <c r="K105"/>
  <c r="I104"/>
  <c r="K104"/>
  <c r="I103"/>
  <c r="K103" s="1"/>
  <c r="J99"/>
  <c r="J149"/>
  <c r="H99"/>
  <c r="H149"/>
  <c r="G99"/>
  <c r="G149"/>
  <c r="F99"/>
  <c r="F149"/>
  <c r="I97"/>
  <c r="K97" s="1"/>
  <c r="I96"/>
  <c r="K96"/>
  <c r="I95"/>
  <c r="K95"/>
  <c r="I94"/>
  <c r="K94"/>
  <c r="I93"/>
  <c r="K93"/>
  <c r="I92"/>
  <c r="K92"/>
  <c r="I91"/>
  <c r="K91"/>
  <c r="I89"/>
  <c r="K89"/>
  <c r="I88"/>
  <c r="K88"/>
  <c r="I87"/>
  <c r="K87"/>
  <c r="I86"/>
  <c r="J82"/>
  <c r="J148" s="1"/>
  <c r="H82"/>
  <c r="G82"/>
  <c r="F82"/>
  <c r="F148" s="1"/>
  <c r="K80"/>
  <c r="I79"/>
  <c r="K79"/>
  <c r="K78"/>
  <c r="I77"/>
  <c r="K77" s="1"/>
  <c r="J74"/>
  <c r="J147" s="1"/>
  <c r="H74"/>
  <c r="G74"/>
  <c r="F74"/>
  <c r="F147" s="1"/>
  <c r="K72"/>
  <c r="K71"/>
  <c r="K70"/>
  <c r="K69"/>
  <c r="K68"/>
  <c r="I67"/>
  <c r="K67"/>
  <c r="J63"/>
  <c r="J146"/>
  <c r="H63"/>
  <c r="H146"/>
  <c r="G63"/>
  <c r="G146"/>
  <c r="F63"/>
  <c r="F146"/>
  <c r="K61"/>
  <c r="K60"/>
  <c r="K59"/>
  <c r="K58"/>
  <c r="K57"/>
  <c r="I56"/>
  <c r="K56" s="1"/>
  <c r="K55"/>
  <c r="K54"/>
  <c r="I53"/>
  <c r="K53" s="1"/>
  <c r="K63" s="1"/>
  <c r="K52"/>
  <c r="J48"/>
  <c r="J145" s="1"/>
  <c r="H48"/>
  <c r="H145" s="1"/>
  <c r="G48"/>
  <c r="G145" s="1"/>
  <c r="F48"/>
  <c r="F145" s="1"/>
  <c r="K46"/>
  <c r="K45"/>
  <c r="K44"/>
  <c r="I44"/>
  <c r="K43"/>
  <c r="I42"/>
  <c r="K42"/>
  <c r="I41"/>
  <c r="K41"/>
  <c r="I40"/>
  <c r="K40"/>
  <c r="K39"/>
  <c r="I38"/>
  <c r="I48" s="1"/>
  <c r="I145" s="1"/>
  <c r="J34"/>
  <c r="J144" s="1"/>
  <c r="H34"/>
  <c r="H144" s="1"/>
  <c r="G34"/>
  <c r="G144" s="1"/>
  <c r="F34"/>
  <c r="F144" s="1"/>
  <c r="F154" s="1"/>
  <c r="I32"/>
  <c r="K32" s="1"/>
  <c r="I31"/>
  <c r="K31" s="1"/>
  <c r="I30"/>
  <c r="K30" s="1"/>
  <c r="I29"/>
  <c r="K29" s="1"/>
  <c r="I28"/>
  <c r="K28" s="1"/>
  <c r="K27"/>
  <c r="I27"/>
  <c r="I26"/>
  <c r="K26" s="1"/>
  <c r="I25"/>
  <c r="K25" s="1"/>
  <c r="I24"/>
  <c r="K24" s="1"/>
  <c r="I23"/>
  <c r="K23" s="1"/>
  <c r="I22"/>
  <c r="K22" s="1"/>
  <c r="I21"/>
  <c r="K21" s="1"/>
  <c r="K20"/>
  <c r="I20"/>
  <c r="K19"/>
  <c r="I19"/>
  <c r="I18"/>
  <c r="I34" s="1"/>
  <c r="I144" s="1"/>
  <c r="I110"/>
  <c r="I150" s="1"/>
  <c r="K107"/>
  <c r="K86"/>
  <c r="K82"/>
  <c r="K148" s="1"/>
  <c r="I82"/>
  <c r="I148" s="1"/>
  <c r="H148"/>
  <c r="G148"/>
  <c r="I74"/>
  <c r="I147" s="1"/>
  <c r="H147"/>
  <c r="G147"/>
  <c r="K74"/>
  <c r="K147"/>
  <c r="I63"/>
  <c r="I146" s="1"/>
  <c r="K146"/>
  <c r="K38"/>
  <c r="K48" s="1"/>
  <c r="K145" s="1"/>
  <c r="H154"/>
  <c r="K151" i="49"/>
  <c r="J150"/>
  <c r="F150"/>
  <c r="I145"/>
  <c r="G145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40" s="1"/>
  <c r="K152" s="1"/>
  <c r="K133"/>
  <c r="J110"/>
  <c r="I110"/>
  <c r="I150" s="1"/>
  <c r="H110"/>
  <c r="H150" s="1"/>
  <c r="G110"/>
  <c r="G150" s="1"/>
  <c r="F110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H63"/>
  <c r="H146" s="1"/>
  <c r="G63"/>
  <c r="G146" s="1"/>
  <c r="F63"/>
  <c r="F146" s="1"/>
  <c r="K61"/>
  <c r="K60"/>
  <c r="K59"/>
  <c r="K58"/>
  <c r="K57"/>
  <c r="K56"/>
  <c r="K55"/>
  <c r="K54"/>
  <c r="K53"/>
  <c r="I52"/>
  <c r="I63" s="1"/>
  <c r="I146" s="1"/>
  <c r="J48"/>
  <c r="J145" s="1"/>
  <c r="I48"/>
  <c r="H48"/>
  <c r="H145" s="1"/>
  <c r="G48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I34"/>
  <c r="I144" s="1"/>
  <c r="I154" s="1"/>
  <c r="H34"/>
  <c r="H144" s="1"/>
  <c r="H154" s="1"/>
  <c r="G34"/>
  <c r="G144" s="1"/>
  <c r="G154" s="1"/>
  <c r="F34"/>
  <c r="F144" s="1"/>
  <c r="F15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I18"/>
  <c r="J140" i="33"/>
  <c r="I140"/>
  <c r="H140"/>
  <c r="G140"/>
  <c r="F140"/>
  <c r="K138"/>
  <c r="K137"/>
  <c r="K136"/>
  <c r="K135"/>
  <c r="K134"/>
  <c r="K133"/>
  <c r="F125"/>
  <c r="K107"/>
  <c r="K106"/>
  <c r="K105"/>
  <c r="K104"/>
  <c r="K103"/>
  <c r="K96"/>
  <c r="K95"/>
  <c r="K94"/>
  <c r="K93"/>
  <c r="K92"/>
  <c r="K91"/>
  <c r="K90"/>
  <c r="K89"/>
  <c r="K88"/>
  <c r="K87"/>
  <c r="K86"/>
  <c r="K79"/>
  <c r="K78"/>
  <c r="K77"/>
  <c r="K71"/>
  <c r="K70"/>
  <c r="K69"/>
  <c r="K68"/>
  <c r="K67"/>
  <c r="K60"/>
  <c r="K59"/>
  <c r="K58"/>
  <c r="K57"/>
  <c r="K56"/>
  <c r="K55"/>
  <c r="K54"/>
  <c r="K53"/>
  <c r="K52"/>
  <c r="K45"/>
  <c r="K44"/>
  <c r="K43"/>
  <c r="K42"/>
  <c r="K41"/>
  <c r="K40"/>
  <c r="K39"/>
  <c r="K38"/>
  <c r="K31"/>
  <c r="K30"/>
  <c r="K29"/>
  <c r="K28"/>
  <c r="K27"/>
  <c r="K26"/>
  <c r="K25"/>
  <c r="K24"/>
  <c r="K23"/>
  <c r="K22"/>
  <c r="K21"/>
  <c r="K20"/>
  <c r="K19"/>
  <c r="K18"/>
  <c r="K151" i="47"/>
  <c r="G150"/>
  <c r="J149"/>
  <c r="J148"/>
  <c r="H148"/>
  <c r="F148"/>
  <c r="J147"/>
  <c r="H147"/>
  <c r="F147"/>
  <c r="J146"/>
  <c r="H146"/>
  <c r="F146"/>
  <c r="J145"/>
  <c r="H145"/>
  <c r="F145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33"/>
  <c r="K140" s="1"/>
  <c r="K152" s="1"/>
  <c r="F120"/>
  <c r="F121" s="1"/>
  <c r="F125" s="1"/>
  <c r="F129" s="1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H99"/>
  <c r="H149" s="1"/>
  <c r="G99"/>
  <c r="G149"/>
  <c r="F99"/>
  <c r="F149"/>
  <c r="I97"/>
  <c r="K97" s="1"/>
  <c r="I96"/>
  <c r="K96" s="1"/>
  <c r="I95"/>
  <c r="I94"/>
  <c r="K94" s="1"/>
  <c r="K93"/>
  <c r="I93"/>
  <c r="K92"/>
  <c r="I92"/>
  <c r="K91"/>
  <c r="I91"/>
  <c r="K90"/>
  <c r="I90"/>
  <c r="K89"/>
  <c r="I89"/>
  <c r="K88"/>
  <c r="I88"/>
  <c r="K87"/>
  <c r="I87"/>
  <c r="K86"/>
  <c r="I86"/>
  <c r="J82"/>
  <c r="I82"/>
  <c r="I148" s="1"/>
  <c r="H82"/>
  <c r="G82"/>
  <c r="G148" s="1"/>
  <c r="F82"/>
  <c r="K80"/>
  <c r="K79"/>
  <c r="K78"/>
  <c r="K82" s="1"/>
  <c r="K148" s="1"/>
  <c r="K77"/>
  <c r="J74"/>
  <c r="I74"/>
  <c r="I147" s="1"/>
  <c r="H74"/>
  <c r="G74"/>
  <c r="G147" s="1"/>
  <c r="F74"/>
  <c r="K72"/>
  <c r="K71"/>
  <c r="K70"/>
  <c r="K69"/>
  <c r="K68"/>
  <c r="K74" s="1"/>
  <c r="K147" s="1"/>
  <c r="K67"/>
  <c r="J63"/>
  <c r="I63"/>
  <c r="I146" s="1"/>
  <c r="H63"/>
  <c r="G63"/>
  <c r="G146" s="1"/>
  <c r="F63"/>
  <c r="K61"/>
  <c r="K60"/>
  <c r="K59"/>
  <c r="K58"/>
  <c r="K57"/>
  <c r="K56"/>
  <c r="K55"/>
  <c r="K54"/>
  <c r="K53"/>
  <c r="K63" s="1"/>
  <c r="K146" s="1"/>
  <c r="K52"/>
  <c r="J48"/>
  <c r="I48"/>
  <c r="I145" s="1"/>
  <c r="H48"/>
  <c r="G48"/>
  <c r="G145" s="1"/>
  <c r="F48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I29"/>
  <c r="K29" s="1"/>
  <c r="I28"/>
  <c r="K28" s="1"/>
  <c r="K27"/>
  <c r="K26"/>
  <c r="I26"/>
  <c r="K25"/>
  <c r="I25"/>
  <c r="K24"/>
  <c r="I24"/>
  <c r="K23"/>
  <c r="I23"/>
  <c r="K22"/>
  <c r="I22"/>
  <c r="K21"/>
  <c r="I21"/>
  <c r="K20"/>
  <c r="I20"/>
  <c r="K19"/>
  <c r="I19"/>
  <c r="I34" s="1"/>
  <c r="I144" s="1"/>
  <c r="I154" s="1"/>
  <c r="K18"/>
  <c r="K34" s="1"/>
  <c r="K144" s="1"/>
  <c r="F129" i="33"/>
  <c r="I99" i="47"/>
  <c r="I149" s="1"/>
  <c r="K95"/>
  <c r="K151" i="46"/>
  <c r="H149"/>
  <c r="F149"/>
  <c r="I147"/>
  <c r="G147"/>
  <c r="J146"/>
  <c r="J140"/>
  <c r="J152" s="1"/>
  <c r="H140"/>
  <c r="G140"/>
  <c r="G152" s="1"/>
  <c r="F140"/>
  <c r="F152" s="1"/>
  <c r="K138"/>
  <c r="K137"/>
  <c r="K136"/>
  <c r="K135"/>
  <c r="I133"/>
  <c r="F125"/>
  <c r="F129" s="1"/>
  <c r="F121"/>
  <c r="J110"/>
  <c r="J150" s="1"/>
  <c r="H110"/>
  <c r="G110"/>
  <c r="G150" s="1"/>
  <c r="F110"/>
  <c r="K108"/>
  <c r="I108"/>
  <c r="I107"/>
  <c r="K107" s="1"/>
  <c r="I106"/>
  <c r="K106" s="1"/>
  <c r="I105"/>
  <c r="K104"/>
  <c r="I104"/>
  <c r="J99"/>
  <c r="J149" s="1"/>
  <c r="H99"/>
  <c r="G99"/>
  <c r="G149" s="1"/>
  <c r="F99"/>
  <c r="I97"/>
  <c r="K97" s="1"/>
  <c r="I96"/>
  <c r="K96" s="1"/>
  <c r="I95"/>
  <c r="K94"/>
  <c r="I94"/>
  <c r="I93"/>
  <c r="K93" s="1"/>
  <c r="I92"/>
  <c r="K92" s="1"/>
  <c r="I91"/>
  <c r="K90"/>
  <c r="I90"/>
  <c r="I89"/>
  <c r="K89" s="1"/>
  <c r="I88"/>
  <c r="K88" s="1"/>
  <c r="I87"/>
  <c r="I86"/>
  <c r="I99" s="1"/>
  <c r="I149" s="1"/>
  <c r="J82"/>
  <c r="J148" s="1"/>
  <c r="H82"/>
  <c r="G82"/>
  <c r="G148" s="1"/>
  <c r="F82"/>
  <c r="F148" s="1"/>
  <c r="K80"/>
  <c r="I79"/>
  <c r="K79"/>
  <c r="K78"/>
  <c r="K77"/>
  <c r="K82" s="1"/>
  <c r="K148" s="1"/>
  <c r="J74"/>
  <c r="J147" s="1"/>
  <c r="I74"/>
  <c r="H74"/>
  <c r="H147" s="1"/>
  <c r="G74"/>
  <c r="F74"/>
  <c r="F147" s="1"/>
  <c r="K72"/>
  <c r="K71"/>
  <c r="K70"/>
  <c r="K69"/>
  <c r="K68"/>
  <c r="K67"/>
  <c r="K74" s="1"/>
  <c r="K147" s="1"/>
  <c r="J63"/>
  <c r="F150"/>
  <c r="K87"/>
  <c r="K91"/>
  <c r="K95"/>
  <c r="K105"/>
  <c r="K133"/>
  <c r="I82"/>
  <c r="I148"/>
  <c r="H148"/>
  <c r="G63"/>
  <c r="G146" s="1"/>
  <c r="F63"/>
  <c r="F146" s="1"/>
  <c r="K61"/>
  <c r="K60"/>
  <c r="K59"/>
  <c r="K58"/>
  <c r="K57"/>
  <c r="I57"/>
  <c r="I56"/>
  <c r="K56" s="1"/>
  <c r="I55"/>
  <c r="H55"/>
  <c r="H63" s="1"/>
  <c r="H146" s="1"/>
  <c r="K54"/>
  <c r="I54"/>
  <c r="I53"/>
  <c r="I52"/>
  <c r="I63"/>
  <c r="I146" s="1"/>
  <c r="J48"/>
  <c r="J145" s="1"/>
  <c r="H48"/>
  <c r="H145"/>
  <c r="G48"/>
  <c r="G145"/>
  <c r="F48"/>
  <c r="F145"/>
  <c r="K46"/>
  <c r="K45"/>
  <c r="K44"/>
  <c r="I43"/>
  <c r="I42"/>
  <c r="K42" s="1"/>
  <c r="I41"/>
  <c r="K40"/>
  <c r="I40"/>
  <c r="I39"/>
  <c r="K39" s="1"/>
  <c r="K48" s="1"/>
  <c r="K145" s="1"/>
  <c r="I38"/>
  <c r="K38"/>
  <c r="J34"/>
  <c r="J144" s="1"/>
  <c r="J154" s="1"/>
  <c r="H34"/>
  <c r="H144" s="1"/>
  <c r="G34"/>
  <c r="G144" s="1"/>
  <c r="F34"/>
  <c r="F144" s="1"/>
  <c r="F154" s="1"/>
  <c r="I32"/>
  <c r="I31"/>
  <c r="I30"/>
  <c r="K30" s="1"/>
  <c r="I29"/>
  <c r="I28"/>
  <c r="I27"/>
  <c r="K26"/>
  <c r="I26"/>
  <c r="I25"/>
  <c r="I24"/>
  <c r="K24" s="1"/>
  <c r="I23"/>
  <c r="K22"/>
  <c r="I22"/>
  <c r="I21"/>
  <c r="I20"/>
  <c r="K20"/>
  <c r="K21"/>
  <c r="K23"/>
  <c r="K25"/>
  <c r="K29"/>
  <c r="K31"/>
  <c r="K41"/>
  <c r="K52"/>
  <c r="K53"/>
  <c r="K43"/>
  <c r="K27"/>
  <c r="K32"/>
  <c r="K28"/>
  <c r="I152" i="45"/>
  <c r="G152"/>
  <c r="K151"/>
  <c r="J148"/>
  <c r="H148"/>
  <c r="F148"/>
  <c r="J147"/>
  <c r="H147"/>
  <c r="F147"/>
  <c r="J146"/>
  <c r="H146"/>
  <c r="F146"/>
  <c r="J145"/>
  <c r="H145"/>
  <c r="F145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K93"/>
  <c r="K92"/>
  <c r="K91"/>
  <c r="K90"/>
  <c r="I89"/>
  <c r="I99" s="1"/>
  <c r="I149" s="1"/>
  <c r="K88"/>
  <c r="K87"/>
  <c r="K86"/>
  <c r="J82"/>
  <c r="I82"/>
  <c r="I148" s="1"/>
  <c r="H82"/>
  <c r="G82"/>
  <c r="G148" s="1"/>
  <c r="F82"/>
  <c r="K80"/>
  <c r="K79"/>
  <c r="K78"/>
  <c r="K82" s="1"/>
  <c r="K148" s="1"/>
  <c r="K77"/>
  <c r="J74"/>
  <c r="I74"/>
  <c r="I147" s="1"/>
  <c r="H74"/>
  <c r="G74"/>
  <c r="G147" s="1"/>
  <c r="F74"/>
  <c r="K72"/>
  <c r="K71"/>
  <c r="K70"/>
  <c r="K69"/>
  <c r="K68"/>
  <c r="K74" s="1"/>
  <c r="K147" s="1"/>
  <c r="K67"/>
  <c r="J63"/>
  <c r="I63"/>
  <c r="I146" s="1"/>
  <c r="H63"/>
  <c r="G63"/>
  <c r="G146" s="1"/>
  <c r="F63"/>
  <c r="K61"/>
  <c r="K60"/>
  <c r="K59"/>
  <c r="K58"/>
  <c r="K57"/>
  <c r="K56"/>
  <c r="K55"/>
  <c r="K54"/>
  <c r="K53"/>
  <c r="K63" s="1"/>
  <c r="K146" s="1"/>
  <c r="K52"/>
  <c r="J48"/>
  <c r="I48"/>
  <c r="I145" s="1"/>
  <c r="H48"/>
  <c r="G48"/>
  <c r="G145" s="1"/>
  <c r="F48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K29"/>
  <c r="K28"/>
  <c r="I27"/>
  <c r="K27" s="1"/>
  <c r="I26"/>
  <c r="K26" s="1"/>
  <c r="K25"/>
  <c r="K24"/>
  <c r="I24"/>
  <c r="K23"/>
  <c r="K22"/>
  <c r="K21"/>
  <c r="I21"/>
  <c r="I34" s="1"/>
  <c r="I144" s="1"/>
  <c r="I154" s="1"/>
  <c r="K20"/>
  <c r="K19"/>
  <c r="K18"/>
  <c r="K34" s="1"/>
  <c r="K144" s="1"/>
  <c r="K151" i="44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40" s="1"/>
  <c r="K152" s="1"/>
  <c r="K133"/>
  <c r="F129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K92"/>
  <c r="K91"/>
  <c r="I90"/>
  <c r="K90" s="1"/>
  <c r="I89"/>
  <c r="K89" s="1"/>
  <c r="I88"/>
  <c r="K88" s="1"/>
  <c r="I87"/>
  <c r="K87" s="1"/>
  <c r="I86"/>
  <c r="I99" s="1"/>
  <c r="I149" s="1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 s="1"/>
  <c r="K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H34"/>
  <c r="H144"/>
  <c r="G34"/>
  <c r="G144" s="1"/>
  <c r="G154" s="1"/>
  <c r="F34"/>
  <c r="F144"/>
  <c r="F154" s="1"/>
  <c r="K32"/>
  <c r="I32"/>
  <c r="K31"/>
  <c r="I31"/>
  <c r="K30"/>
  <c r="I30"/>
  <c r="K29"/>
  <c r="I29"/>
  <c r="K27"/>
  <c r="K26"/>
  <c r="I25"/>
  <c r="K25" s="1"/>
  <c r="I24"/>
  <c r="I34" s="1"/>
  <c r="I144" s="1"/>
  <c r="I154" s="1"/>
  <c r="K23"/>
  <c r="K22"/>
  <c r="K21"/>
  <c r="K20"/>
  <c r="K19"/>
  <c r="K18"/>
  <c r="J152" i="43"/>
  <c r="H152"/>
  <c r="F152"/>
  <c r="K151"/>
  <c r="G146"/>
  <c r="G145"/>
  <c r="G144"/>
  <c r="J140"/>
  <c r="H140"/>
  <c r="G140"/>
  <c r="G152" s="1"/>
  <c r="F140"/>
  <c r="K138"/>
  <c r="K137"/>
  <c r="K136"/>
  <c r="K135"/>
  <c r="K134"/>
  <c r="I133"/>
  <c r="I140" s="1"/>
  <c r="I152" s="1"/>
  <c r="F121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H74"/>
  <c r="H147" s="1"/>
  <c r="G74"/>
  <c r="G147" s="1"/>
  <c r="F74"/>
  <c r="F147" s="1"/>
  <c r="K72"/>
  <c r="K71"/>
  <c r="K70"/>
  <c r="K69"/>
  <c r="K68"/>
  <c r="I67"/>
  <c r="I74" s="1"/>
  <c r="I147" s="1"/>
  <c r="J63"/>
  <c r="J146" s="1"/>
  <c r="H63"/>
  <c r="H146" s="1"/>
  <c r="G63"/>
  <c r="F63"/>
  <c r="F146" s="1"/>
  <c r="K61"/>
  <c r="K60"/>
  <c r="K59"/>
  <c r="K58"/>
  <c r="I57"/>
  <c r="K57" s="1"/>
  <c r="I56"/>
  <c r="K56" s="1"/>
  <c r="I55"/>
  <c r="K55" s="1"/>
  <c r="I54"/>
  <c r="K54" s="1"/>
  <c r="I53"/>
  <c r="K53" s="1"/>
  <c r="I52"/>
  <c r="I63" s="1"/>
  <c r="I146" s="1"/>
  <c r="J48"/>
  <c r="J145" s="1"/>
  <c r="H48"/>
  <c r="H145" s="1"/>
  <c r="G48"/>
  <c r="F48"/>
  <c r="F145" s="1"/>
  <c r="K46"/>
  <c r="K45"/>
  <c r="K44"/>
  <c r="K43"/>
  <c r="K42"/>
  <c r="K41"/>
  <c r="K40"/>
  <c r="K39"/>
  <c r="I38"/>
  <c r="I48" s="1"/>
  <c r="I145" s="1"/>
  <c r="J34"/>
  <c r="J144" s="1"/>
  <c r="H34"/>
  <c r="H144" s="1"/>
  <c r="H154" s="1"/>
  <c r="G34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H19"/>
  <c r="K19" s="1"/>
  <c r="F19"/>
  <c r="F34" s="1"/>
  <c r="F144" s="1"/>
  <c r="F154" s="1"/>
  <c r="I18"/>
  <c r="I34" s="1"/>
  <c r="I144" s="1"/>
  <c r="I154" s="1"/>
  <c r="K28" i="44"/>
  <c r="J152" i="41"/>
  <c r="H152"/>
  <c r="F152"/>
  <c r="K151"/>
  <c r="I145"/>
  <c r="G145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G63"/>
  <c r="G146" s="1"/>
  <c r="F63"/>
  <c r="F146" s="1"/>
  <c r="K61"/>
  <c r="K60"/>
  <c r="K59"/>
  <c r="K58"/>
  <c r="K57"/>
  <c r="H57"/>
  <c r="H63" s="1"/>
  <c r="H146" s="1"/>
  <c r="K56"/>
  <c r="K55"/>
  <c r="K54"/>
  <c r="K53"/>
  <c r="K52"/>
  <c r="K63" s="1"/>
  <c r="K146" s="1"/>
  <c r="J48"/>
  <c r="J145" s="1"/>
  <c r="I48"/>
  <c r="H48"/>
  <c r="H145" s="1"/>
  <c r="G48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I34"/>
  <c r="I144" s="1"/>
  <c r="H34"/>
  <c r="H144" s="1"/>
  <c r="H154" s="1"/>
  <c r="G34"/>
  <c r="G144" s="1"/>
  <c r="G154" s="1"/>
  <c r="F34"/>
  <c r="F144" s="1"/>
  <c r="F15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K154" s="1"/>
  <c r="I18"/>
  <c r="K151" i="38"/>
  <c r="J148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40" s="1"/>
  <c r="K152" s="1"/>
  <c r="K133"/>
  <c r="F121"/>
  <c r="F125" s="1"/>
  <c r="F129" s="1"/>
  <c r="J110"/>
  <c r="J150" s="1"/>
  <c r="H110"/>
  <c r="H150" s="1"/>
  <c r="G110"/>
  <c r="G150" s="1"/>
  <c r="F110"/>
  <c r="F150" s="1"/>
  <c r="K108"/>
  <c r="I108"/>
  <c r="K107"/>
  <c r="I107"/>
  <c r="I105"/>
  <c r="K105" s="1"/>
  <c r="I104"/>
  <c r="K104" s="1"/>
  <c r="J99"/>
  <c r="J149" s="1"/>
  <c r="H99"/>
  <c r="H149" s="1"/>
  <c r="G99"/>
  <c r="G149" s="1"/>
  <c r="F99"/>
  <c r="I97"/>
  <c r="K96"/>
  <c r="I96"/>
  <c r="K95"/>
  <c r="I95"/>
  <c r="K94"/>
  <c r="I94"/>
  <c r="I91"/>
  <c r="K91" s="1"/>
  <c r="I90"/>
  <c r="K90" s="1"/>
  <c r="K88"/>
  <c r="I88"/>
  <c r="I86"/>
  <c r="J82"/>
  <c r="H82"/>
  <c r="H148" s="1"/>
  <c r="G82"/>
  <c r="G148" s="1"/>
  <c r="F82"/>
  <c r="F148" s="1"/>
  <c r="K80"/>
  <c r="I78"/>
  <c r="K78"/>
  <c r="J74"/>
  <c r="J147"/>
  <c r="H74"/>
  <c r="H147"/>
  <c r="G74"/>
  <c r="G147"/>
  <c r="F74"/>
  <c r="F147"/>
  <c r="K72"/>
  <c r="K71"/>
  <c r="K70"/>
  <c r="K69"/>
  <c r="K68"/>
  <c r="I67"/>
  <c r="K67" s="1"/>
  <c r="K74" s="1"/>
  <c r="K147" s="1"/>
  <c r="J63"/>
  <c r="J146" s="1"/>
  <c r="H63"/>
  <c r="H146" s="1"/>
  <c r="G63"/>
  <c r="G146" s="1"/>
  <c r="F63"/>
  <c r="F146" s="1"/>
  <c r="K61"/>
  <c r="K60"/>
  <c r="K59"/>
  <c r="I58"/>
  <c r="I57"/>
  <c r="K57" s="1"/>
  <c r="I55"/>
  <c r="K55" s="1"/>
  <c r="I53"/>
  <c r="K53"/>
  <c r="I52"/>
  <c r="J48"/>
  <c r="J145" s="1"/>
  <c r="H48"/>
  <c r="H145"/>
  <c r="G48"/>
  <c r="G145"/>
  <c r="F48"/>
  <c r="I46"/>
  <c r="I45"/>
  <c r="K45" s="1"/>
  <c r="I44"/>
  <c r="K44" s="1"/>
  <c r="I43"/>
  <c r="K43" s="1"/>
  <c r="I42"/>
  <c r="K39"/>
  <c r="I38"/>
  <c r="K38" s="1"/>
  <c r="J34"/>
  <c r="J144"/>
  <c r="J154" s="1"/>
  <c r="H34"/>
  <c r="H144" s="1"/>
  <c r="H154" s="1"/>
  <c r="G34"/>
  <c r="G144"/>
  <c r="G154" s="1"/>
  <c r="F34"/>
  <c r="F144" s="1"/>
  <c r="F154" s="1"/>
  <c r="I32"/>
  <c r="K32" s="1"/>
  <c r="I31"/>
  <c r="K31" s="1"/>
  <c r="I30"/>
  <c r="K30" s="1"/>
  <c r="I29"/>
  <c r="K29" s="1"/>
  <c r="I28"/>
  <c r="K28" s="1"/>
  <c r="K27"/>
  <c r="I27"/>
  <c r="I26"/>
  <c r="K26" s="1"/>
  <c r="I25"/>
  <c r="K25" s="1"/>
  <c r="I24"/>
  <c r="K24" s="1"/>
  <c r="I23"/>
  <c r="K23" s="1"/>
  <c r="I22"/>
  <c r="K22" s="1"/>
  <c r="I21"/>
  <c r="K21" s="1"/>
  <c r="K20"/>
  <c r="I20"/>
  <c r="K19"/>
  <c r="I19"/>
  <c r="I18"/>
  <c r="I34" s="1"/>
  <c r="I144" s="1"/>
  <c r="K86"/>
  <c r="K97"/>
  <c r="F149"/>
  <c r="I74"/>
  <c r="I147" s="1"/>
  <c r="K52"/>
  <c r="K58"/>
  <c r="K46"/>
  <c r="F145"/>
  <c r="K42"/>
  <c r="J152" i="37"/>
  <c r="H152"/>
  <c r="F152"/>
  <c r="K151"/>
  <c r="G150"/>
  <c r="G149"/>
  <c r="I148"/>
  <c r="G148"/>
  <c r="I147"/>
  <c r="G147"/>
  <c r="G146"/>
  <c r="J140"/>
  <c r="I140"/>
  <c r="I152" s="1"/>
  <c r="H140"/>
  <c r="G140"/>
  <c r="G152" s="1"/>
  <c r="F140"/>
  <c r="K138"/>
  <c r="K137"/>
  <c r="K136"/>
  <c r="K135"/>
  <c r="K134"/>
  <c r="K140" s="1"/>
  <c r="K152" s="1"/>
  <c r="K133"/>
  <c r="F129"/>
  <c r="F121"/>
  <c r="F125" s="1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K104" s="1"/>
  <c r="I103"/>
  <c r="J99"/>
  <c r="J149" s="1"/>
  <c r="H99"/>
  <c r="H149" s="1"/>
  <c r="G99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J82"/>
  <c r="J148" s="1"/>
  <c r="I82"/>
  <c r="H82"/>
  <c r="H148" s="1"/>
  <c r="G82"/>
  <c r="F82"/>
  <c r="F148" s="1"/>
  <c r="K80"/>
  <c r="K79"/>
  <c r="K78"/>
  <c r="K77"/>
  <c r="K82" s="1"/>
  <c r="K148" s="1"/>
  <c r="J74"/>
  <c r="J147" s="1"/>
  <c r="I74"/>
  <c r="H74"/>
  <c r="H147" s="1"/>
  <c r="G74"/>
  <c r="F74"/>
  <c r="F147" s="1"/>
  <c r="K72"/>
  <c r="K71"/>
  <c r="K70"/>
  <c r="K69"/>
  <c r="K68"/>
  <c r="K67"/>
  <c r="K74" s="1"/>
  <c r="K147" s="1"/>
  <c r="J63"/>
  <c r="J146" s="1"/>
  <c r="H63"/>
  <c r="H146" s="1"/>
  <c r="G63"/>
  <c r="F63"/>
  <c r="F146" s="1"/>
  <c r="K61"/>
  <c r="K60"/>
  <c r="K59"/>
  <c r="K58"/>
  <c r="K57"/>
  <c r="K56"/>
  <c r="K55"/>
  <c r="K54"/>
  <c r="K53"/>
  <c r="K52"/>
  <c r="K63" s="1"/>
  <c r="K146" s="1"/>
  <c r="I52"/>
  <c r="I63" s="1"/>
  <c r="I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I42"/>
  <c r="K41"/>
  <c r="K40"/>
  <c r="K39"/>
  <c r="K48" s="1"/>
  <c r="K145" s="1"/>
  <c r="K38"/>
  <c r="J34"/>
  <c r="J144" s="1"/>
  <c r="J154" s="1"/>
  <c r="I34"/>
  <c r="I144" s="1"/>
  <c r="H34"/>
  <c r="H144" s="1"/>
  <c r="H154" s="1"/>
  <c r="G34"/>
  <c r="G144" s="1"/>
  <c r="G154" s="1"/>
  <c r="F34"/>
  <c r="F144" s="1"/>
  <c r="F15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I18"/>
  <c r="K151" i="36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H74"/>
  <c r="H147" s="1"/>
  <c r="G74"/>
  <c r="G147" s="1"/>
  <c r="F74"/>
  <c r="F147" s="1"/>
  <c r="K72"/>
  <c r="K71"/>
  <c r="K70"/>
  <c r="K69"/>
  <c r="K68"/>
  <c r="I67"/>
  <c r="K67" s="1"/>
  <c r="K74" s="1"/>
  <c r="K147" s="1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 s="1"/>
  <c r="K146" s="1"/>
  <c r="J48"/>
  <c r="J145" s="1"/>
  <c r="H48"/>
  <c r="H145" s="1"/>
  <c r="G48"/>
  <c r="G145" s="1"/>
  <c r="F48"/>
  <c r="F145" s="1"/>
  <c r="K46"/>
  <c r="K45"/>
  <c r="I45"/>
  <c r="I48" s="1"/>
  <c r="I145" s="1"/>
  <c r="K44"/>
  <c r="K43"/>
  <c r="K42"/>
  <c r="K41"/>
  <c r="K40"/>
  <c r="K39"/>
  <c r="K38"/>
  <c r="K48" s="1"/>
  <c r="K145" s="1"/>
  <c r="J34"/>
  <c r="J144" s="1"/>
  <c r="J154" s="1"/>
  <c r="H34"/>
  <c r="H144" s="1"/>
  <c r="G34"/>
  <c r="G144" s="1"/>
  <c r="G154" s="1"/>
  <c r="F34"/>
  <c r="F14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J152" i="35"/>
  <c r="H152"/>
  <c r="F152"/>
  <c r="K151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63" s="1"/>
  <c r="K146" s="1"/>
  <c r="K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H34"/>
  <c r="H144" s="1"/>
  <c r="H154" s="1"/>
  <c r="G34"/>
  <c r="G144" s="1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J152" i="32"/>
  <c r="H152"/>
  <c r="F152"/>
  <c r="K151"/>
  <c r="J140"/>
  <c r="I140"/>
  <c r="I152" s="1"/>
  <c r="H140"/>
  <c r="G140"/>
  <c r="G152" s="1"/>
  <c r="F140"/>
  <c r="K138"/>
  <c r="K137"/>
  <c r="K136"/>
  <c r="K135"/>
  <c r="K134"/>
  <c r="K140" s="1"/>
  <c r="K152" s="1"/>
  <c r="K133"/>
  <c r="F121"/>
  <c r="F125" s="1"/>
  <c r="F129" s="1"/>
  <c r="J110"/>
  <c r="J150" s="1"/>
  <c r="I110"/>
  <c r="I150" s="1"/>
  <c r="H110"/>
  <c r="H150" s="1"/>
  <c r="G110"/>
  <c r="G150" s="1"/>
  <c r="F110"/>
  <c r="F150" s="1"/>
  <c r="K108"/>
  <c r="K107"/>
  <c r="K106"/>
  <c r="K105"/>
  <c r="K104"/>
  <c r="K103"/>
  <c r="K110"/>
  <c r="K150" s="1"/>
  <c r="J99"/>
  <c r="J149" s="1"/>
  <c r="I99"/>
  <c r="I149" s="1"/>
  <c r="H99"/>
  <c r="H149" s="1"/>
  <c r="G99"/>
  <c r="G149" s="1"/>
  <c r="F99"/>
  <c r="F149" s="1"/>
  <c r="K97"/>
  <c r="K96"/>
  <c r="K95"/>
  <c r="K94"/>
  <c r="K93"/>
  <c r="K92"/>
  <c r="K91"/>
  <c r="K90"/>
  <c r="K89"/>
  <c r="K88"/>
  <c r="K87"/>
  <c r="K86"/>
  <c r="K99"/>
  <c r="K149" s="1"/>
  <c r="J82"/>
  <c r="J148" s="1"/>
  <c r="I82"/>
  <c r="I148" s="1"/>
  <c r="H82"/>
  <c r="H148" s="1"/>
  <c r="G82"/>
  <c r="G148" s="1"/>
  <c r="F82"/>
  <c r="F148" s="1"/>
  <c r="K80"/>
  <c r="K79"/>
  <c r="K78"/>
  <c r="K77"/>
  <c r="K82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/>
  <c r="K147" s="1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/>
  <c r="K146" s="1"/>
  <c r="J48"/>
  <c r="J145" s="1"/>
  <c r="J154" s="1"/>
  <c r="I48"/>
  <c r="I145" s="1"/>
  <c r="I154" s="1"/>
  <c r="H48"/>
  <c r="H145" s="1"/>
  <c r="G48"/>
  <c r="G145" s="1"/>
  <c r="F48"/>
  <c r="F145" s="1"/>
  <c r="F154" s="1"/>
  <c r="K46"/>
  <c r="K45"/>
  <c r="K44"/>
  <c r="K43"/>
  <c r="K42"/>
  <c r="K41"/>
  <c r="K40"/>
  <c r="K39"/>
  <c r="K38"/>
  <c r="K48" s="1"/>
  <c r="K145" s="1"/>
  <c r="J34"/>
  <c r="J144"/>
  <c r="I34"/>
  <c r="I144"/>
  <c r="H34"/>
  <c r="H144"/>
  <c r="G34"/>
  <c r="G144"/>
  <c r="G154" s="1"/>
  <c r="F34"/>
  <c r="F144"/>
  <c r="K32"/>
  <c r="K31"/>
  <c r="K30"/>
  <c r="K29"/>
  <c r="K28"/>
  <c r="K27"/>
  <c r="K26"/>
  <c r="K25"/>
  <c r="K24"/>
  <c r="K23"/>
  <c r="K22"/>
  <c r="K21"/>
  <c r="K20"/>
  <c r="K19"/>
  <c r="K18"/>
  <c r="K34"/>
  <c r="K144" s="1"/>
  <c r="J152" i="34"/>
  <c r="H152"/>
  <c r="F152"/>
  <c r="K151"/>
  <c r="G147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H99"/>
  <c r="H149" s="1"/>
  <c r="G99"/>
  <c r="G149" s="1"/>
  <c r="F99"/>
  <c r="F149" s="1"/>
  <c r="K97"/>
  <c r="I97"/>
  <c r="K96"/>
  <c r="I96"/>
  <c r="K95"/>
  <c r="I95"/>
  <c r="K94"/>
  <c r="I94"/>
  <c r="K93"/>
  <c r="I92"/>
  <c r="K92" s="1"/>
  <c r="I91"/>
  <c r="K91" s="1"/>
  <c r="I90"/>
  <c r="K90" s="1"/>
  <c r="I89"/>
  <c r="K89" s="1"/>
  <c r="I88"/>
  <c r="K88" s="1"/>
  <c r="I87"/>
  <c r="K87" s="1"/>
  <c r="K86"/>
  <c r="J82"/>
  <c r="J148" s="1"/>
  <c r="H82"/>
  <c r="H148" s="1"/>
  <c r="G82"/>
  <c r="G148" s="1"/>
  <c r="F82"/>
  <c r="F148" s="1"/>
  <c r="K80"/>
  <c r="I79"/>
  <c r="K79" s="1"/>
  <c r="K78"/>
  <c r="K77"/>
  <c r="K82" s="1"/>
  <c r="K148" s="1"/>
  <c r="J74"/>
  <c r="J147" s="1"/>
  <c r="H74"/>
  <c r="H147" s="1"/>
  <c r="G74"/>
  <c r="F74"/>
  <c r="F147" s="1"/>
  <c r="K72"/>
  <c r="K71"/>
  <c r="K70"/>
  <c r="K69"/>
  <c r="K68"/>
  <c r="K67"/>
  <c r="K74" s="1"/>
  <c r="K147" s="1"/>
  <c r="I67"/>
  <c r="I74" s="1"/>
  <c r="I147" s="1"/>
  <c r="J63"/>
  <c r="J146" s="1"/>
  <c r="H63"/>
  <c r="H146" s="1"/>
  <c r="G63"/>
  <c r="G146" s="1"/>
  <c r="F63"/>
  <c r="F146" s="1"/>
  <c r="K61"/>
  <c r="K60"/>
  <c r="K59"/>
  <c r="K58"/>
  <c r="K57"/>
  <c r="I57"/>
  <c r="K56"/>
  <c r="I56"/>
  <c r="K55"/>
  <c r="I55"/>
  <c r="K54"/>
  <c r="I54"/>
  <c r="K53"/>
  <c r="I52"/>
  <c r="K52" s="1"/>
  <c r="K63" s="1"/>
  <c r="K146" s="1"/>
  <c r="J48"/>
  <c r="J145" s="1"/>
  <c r="H48"/>
  <c r="H145" s="1"/>
  <c r="G48"/>
  <c r="G145"/>
  <c r="F48"/>
  <c r="F145" s="1"/>
  <c r="K46"/>
  <c r="I46"/>
  <c r="K45"/>
  <c r="I45"/>
  <c r="K44"/>
  <c r="I44"/>
  <c r="K43"/>
  <c r="I43"/>
  <c r="K42"/>
  <c r="I42"/>
  <c r="K41"/>
  <c r="I41"/>
  <c r="K40"/>
  <c r="I40"/>
  <c r="K39"/>
  <c r="I39"/>
  <c r="K38"/>
  <c r="K48" s="1"/>
  <c r="K145" s="1"/>
  <c r="I38"/>
  <c r="I48" s="1"/>
  <c r="I145" s="1"/>
  <c r="J34"/>
  <c r="J144" s="1"/>
  <c r="H34"/>
  <c r="H144"/>
  <c r="G34"/>
  <c r="G144" s="1"/>
  <c r="G154" s="1"/>
  <c r="F34"/>
  <c r="F144" s="1"/>
  <c r="I32"/>
  <c r="K32"/>
  <c r="I31"/>
  <c r="K31"/>
  <c r="I30"/>
  <c r="K30"/>
  <c r="I29"/>
  <c r="K29"/>
  <c r="I28"/>
  <c r="K28"/>
  <c r="I27"/>
  <c r="K27"/>
  <c r="I26"/>
  <c r="K26"/>
  <c r="I25"/>
  <c r="K25"/>
  <c r="I24"/>
  <c r="K24"/>
  <c r="I23"/>
  <c r="K23"/>
  <c r="I22"/>
  <c r="K22"/>
  <c r="I20"/>
  <c r="K20" s="1"/>
  <c r="I19"/>
  <c r="K18"/>
  <c r="I18"/>
  <c r="K19"/>
  <c r="I152" i="28"/>
  <c r="G152"/>
  <c r="K151"/>
  <c r="J144"/>
  <c r="H144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 s="1"/>
  <c r="K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I34"/>
  <c r="I144" s="1"/>
  <c r="H34"/>
  <c r="G34"/>
  <c r="G144" s="1"/>
  <c r="F34"/>
  <c r="F144" s="1"/>
  <c r="F15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I18"/>
  <c r="K151" i="27"/>
  <c r="J140"/>
  <c r="J152"/>
  <c r="H140"/>
  <c r="H152"/>
  <c r="G140"/>
  <c r="G152"/>
  <c r="F140"/>
  <c r="I138"/>
  <c r="I137"/>
  <c r="I136"/>
  <c r="I135"/>
  <c r="I134"/>
  <c r="I133"/>
  <c r="F121"/>
  <c r="F125" s="1"/>
  <c r="F129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K110" s="1"/>
  <c r="K150" s="1"/>
  <c r="I103"/>
  <c r="J99"/>
  <c r="J149"/>
  <c r="H99"/>
  <c r="H149"/>
  <c r="G99"/>
  <c r="G149"/>
  <c r="F99"/>
  <c r="F149"/>
  <c r="I97"/>
  <c r="K97"/>
  <c r="I96"/>
  <c r="K96"/>
  <c r="I95"/>
  <c r="K95"/>
  <c r="I94"/>
  <c r="K94"/>
  <c r="I93"/>
  <c r="K93"/>
  <c r="I92"/>
  <c r="K92"/>
  <c r="I91"/>
  <c r="K91"/>
  <c r="I90"/>
  <c r="K90"/>
  <c r="I89"/>
  <c r="K89"/>
  <c r="I88"/>
  <c r="K88"/>
  <c r="I87"/>
  <c r="K87"/>
  <c r="I86"/>
  <c r="J82"/>
  <c r="J148" s="1"/>
  <c r="H82"/>
  <c r="H148" s="1"/>
  <c r="G82"/>
  <c r="G148" s="1"/>
  <c r="F82"/>
  <c r="F148" s="1"/>
  <c r="I80"/>
  <c r="K80" s="1"/>
  <c r="I79"/>
  <c r="K79" s="1"/>
  <c r="I78"/>
  <c r="K78" s="1"/>
  <c r="I77"/>
  <c r="K77" s="1"/>
  <c r="K82" s="1"/>
  <c r="K148" s="1"/>
  <c r="J74"/>
  <c r="J147"/>
  <c r="H74"/>
  <c r="H147"/>
  <c r="G74"/>
  <c r="G147"/>
  <c r="F74"/>
  <c r="F147"/>
  <c r="I72"/>
  <c r="K72"/>
  <c r="I71"/>
  <c r="K71"/>
  <c r="I70"/>
  <c r="K70"/>
  <c r="I69"/>
  <c r="K69"/>
  <c r="I68"/>
  <c r="K68"/>
  <c r="I67"/>
  <c r="J63"/>
  <c r="J146" s="1"/>
  <c r="H63"/>
  <c r="H146" s="1"/>
  <c r="G63"/>
  <c r="G146" s="1"/>
  <c r="F63"/>
  <c r="F146" s="1"/>
  <c r="I57"/>
  <c r="K57" s="1"/>
  <c r="I52"/>
  <c r="K52" s="1"/>
  <c r="J48"/>
  <c r="J145"/>
  <c r="H48"/>
  <c r="H145"/>
  <c r="G48"/>
  <c r="G145"/>
  <c r="F48"/>
  <c r="F145"/>
  <c r="I46"/>
  <c r="K46"/>
  <c r="I45"/>
  <c r="K45"/>
  <c r="I44"/>
  <c r="K44"/>
  <c r="I43"/>
  <c r="K43"/>
  <c r="I42"/>
  <c r="K42"/>
  <c r="I41"/>
  <c r="K41"/>
  <c r="I40"/>
  <c r="K40"/>
  <c r="I39"/>
  <c r="K39"/>
  <c r="I38"/>
  <c r="J34"/>
  <c r="J144" s="1"/>
  <c r="H34"/>
  <c r="H144" s="1"/>
  <c r="G34"/>
  <c r="G144" s="1"/>
  <c r="F34"/>
  <c r="F144" s="1"/>
  <c r="F154" s="1"/>
  <c r="I30"/>
  <c r="I29"/>
  <c r="K29" s="1"/>
  <c r="I28"/>
  <c r="I27"/>
  <c r="I26"/>
  <c r="I25"/>
  <c r="K25" s="1"/>
  <c r="I24"/>
  <c r="I23"/>
  <c r="K23" s="1"/>
  <c r="I22"/>
  <c r="I21"/>
  <c r="I20"/>
  <c r="I19"/>
  <c r="K19" s="1"/>
  <c r="K34" s="1"/>
  <c r="K144" s="1"/>
  <c r="I18"/>
  <c r="I34"/>
  <c r="I144" s="1"/>
  <c r="K21"/>
  <c r="I140"/>
  <c r="I152" s="1"/>
  <c r="K134"/>
  <c r="K27"/>
  <c r="I63"/>
  <c r="I146" s="1"/>
  <c r="I74"/>
  <c r="I147" s="1"/>
  <c r="I82"/>
  <c r="I148" s="1"/>
  <c r="I110"/>
  <c r="I150" s="1"/>
  <c r="K136"/>
  <c r="I99"/>
  <c r="I149"/>
  <c r="K18"/>
  <c r="K20"/>
  <c r="K22"/>
  <c r="K24"/>
  <c r="K26"/>
  <c r="K28"/>
  <c r="K30"/>
  <c r="I48"/>
  <c r="I145" s="1"/>
  <c r="K67"/>
  <c r="K74" s="1"/>
  <c r="K147" s="1"/>
  <c r="K86"/>
  <c r="K99" s="1"/>
  <c r="K149" s="1"/>
  <c r="K103"/>
  <c r="K133"/>
  <c r="K135"/>
  <c r="K137"/>
  <c r="K138"/>
  <c r="F152"/>
  <c r="K38"/>
  <c r="K48"/>
  <c r="K145" s="1"/>
  <c r="J152" i="26"/>
  <c r="H152"/>
  <c r="F152"/>
  <c r="K151"/>
  <c r="G145"/>
  <c r="G144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H63"/>
  <c r="H146" s="1"/>
  <c r="G63"/>
  <c r="G146" s="1"/>
  <c r="F63"/>
  <c r="F146" s="1"/>
  <c r="K61"/>
  <c r="K60"/>
  <c r="K59"/>
  <c r="K58"/>
  <c r="K57"/>
  <c r="K56"/>
  <c r="K55"/>
  <c r="K54"/>
  <c r="K53"/>
  <c r="I52"/>
  <c r="K52" s="1"/>
  <c r="K63" s="1"/>
  <c r="K146" s="1"/>
  <c r="J48"/>
  <c r="J145" s="1"/>
  <c r="H48"/>
  <c r="H145" s="1"/>
  <c r="G48"/>
  <c r="F48"/>
  <c r="F145" s="1"/>
  <c r="K46"/>
  <c r="K45"/>
  <c r="K44"/>
  <c r="K43"/>
  <c r="K42"/>
  <c r="K41"/>
  <c r="I41"/>
  <c r="I48" s="1"/>
  <c r="I145" s="1"/>
  <c r="K40"/>
  <c r="K39"/>
  <c r="K38"/>
  <c r="K48" s="1"/>
  <c r="K145" s="1"/>
  <c r="J34"/>
  <c r="J144" s="1"/>
  <c r="H34"/>
  <c r="H144" s="1"/>
  <c r="H154" s="1"/>
  <c r="G34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K140" i="27"/>
  <c r="K152" s="1"/>
  <c r="K151" i="25"/>
  <c r="J140"/>
  <c r="I140"/>
  <c r="I152" s="1"/>
  <c r="H140"/>
  <c r="H152" s="1"/>
  <c r="G140"/>
  <c r="G152" s="1"/>
  <c r="F140"/>
  <c r="F152" s="1"/>
  <c r="K138"/>
  <c r="K137"/>
  <c r="K136"/>
  <c r="K135"/>
  <c r="K134"/>
  <c r="K133"/>
  <c r="J110"/>
  <c r="H110"/>
  <c r="G110"/>
  <c r="F110"/>
  <c r="I107"/>
  <c r="K107" s="1"/>
  <c r="I106"/>
  <c r="K106" s="1"/>
  <c r="I105"/>
  <c r="K105" s="1"/>
  <c r="I104"/>
  <c r="K104" s="1"/>
  <c r="I103"/>
  <c r="K103" s="1"/>
  <c r="J99"/>
  <c r="H99"/>
  <c r="G99"/>
  <c r="F99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K86" s="1"/>
  <c r="J82"/>
  <c r="H82"/>
  <c r="G82"/>
  <c r="F82"/>
  <c r="K80"/>
  <c r="I80"/>
  <c r="K79"/>
  <c r="I78"/>
  <c r="K78" s="1"/>
  <c r="I77"/>
  <c r="J74"/>
  <c r="I74"/>
  <c r="H74"/>
  <c r="G74"/>
  <c r="F74"/>
  <c r="K72"/>
  <c r="K71"/>
  <c r="K70"/>
  <c r="K69"/>
  <c r="K68"/>
  <c r="K74" s="1"/>
  <c r="K67"/>
  <c r="J63"/>
  <c r="I63"/>
  <c r="H63"/>
  <c r="G63"/>
  <c r="F63"/>
  <c r="K61"/>
  <c r="K60"/>
  <c r="K59"/>
  <c r="K58"/>
  <c r="K57"/>
  <c r="K56"/>
  <c r="K55"/>
  <c r="K54"/>
  <c r="K53"/>
  <c r="K63" s="1"/>
  <c r="K52"/>
  <c r="J48"/>
  <c r="J145" s="1"/>
  <c r="H48"/>
  <c r="G48"/>
  <c r="F48"/>
  <c r="K46"/>
  <c r="K45"/>
  <c r="K44"/>
  <c r="K43"/>
  <c r="I42"/>
  <c r="K42" s="1"/>
  <c r="I41"/>
  <c r="K41" s="1"/>
  <c r="I40"/>
  <c r="K39"/>
  <c r="I39"/>
  <c r="I38"/>
  <c r="J34"/>
  <c r="H34"/>
  <c r="G34"/>
  <c r="F34"/>
  <c r="I32"/>
  <c r="K31"/>
  <c r="I31"/>
  <c r="I30"/>
  <c r="I29"/>
  <c r="K29" s="1"/>
  <c r="I28"/>
  <c r="K27"/>
  <c r="I27"/>
  <c r="I26"/>
  <c r="I25"/>
  <c r="K25" s="1"/>
  <c r="I24"/>
  <c r="K23"/>
  <c r="I23"/>
  <c r="I22"/>
  <c r="I21"/>
  <c r="K21" s="1"/>
  <c r="I20"/>
  <c r="K19"/>
  <c r="I19"/>
  <c r="K18"/>
  <c r="I18"/>
  <c r="K20"/>
  <c r="K22"/>
  <c r="K24"/>
  <c r="K26"/>
  <c r="K28"/>
  <c r="K30"/>
  <c r="K32"/>
  <c r="K40"/>
  <c r="K77"/>
  <c r="K82" s="1"/>
  <c r="I99"/>
  <c r="I82"/>
  <c r="K38"/>
  <c r="K48" s="1"/>
  <c r="K145" s="1"/>
  <c r="I48"/>
  <c r="F145"/>
  <c r="K151" i="24"/>
  <c r="G150"/>
  <c r="J148"/>
  <c r="G148"/>
  <c r="I147"/>
  <c r="G147"/>
  <c r="I146"/>
  <c r="G146"/>
  <c r="J145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/>
  <c r="H99"/>
  <c r="H149" s="1"/>
  <c r="G99"/>
  <c r="G149" s="1"/>
  <c r="F99"/>
  <c r="F149" s="1"/>
  <c r="K97"/>
  <c r="I97"/>
  <c r="K96"/>
  <c r="I96"/>
  <c r="I95"/>
  <c r="K95" s="1"/>
  <c r="I94"/>
  <c r="K94"/>
  <c r="I93"/>
  <c r="K93" s="1"/>
  <c r="I92"/>
  <c r="K92" s="1"/>
  <c r="I91"/>
  <c r="K91" s="1"/>
  <c r="I90"/>
  <c r="K90" s="1"/>
  <c r="I89"/>
  <c r="K89" s="1"/>
  <c r="I88"/>
  <c r="K88" s="1"/>
  <c r="I87"/>
  <c r="K87" s="1"/>
  <c r="I86"/>
  <c r="K86" s="1"/>
  <c r="K99" s="1"/>
  <c r="K149" s="1"/>
  <c r="J82"/>
  <c r="I82"/>
  <c r="I148" s="1"/>
  <c r="H82"/>
  <c r="H148" s="1"/>
  <c r="G82"/>
  <c r="F82"/>
  <c r="F148" s="1"/>
  <c r="K80"/>
  <c r="K79"/>
  <c r="K78"/>
  <c r="K77"/>
  <c r="K82" s="1"/>
  <c r="K148" s="1"/>
  <c r="J74"/>
  <c r="J147" s="1"/>
  <c r="I74"/>
  <c r="H74"/>
  <c r="H147" s="1"/>
  <c r="G74"/>
  <c r="F74"/>
  <c r="F147" s="1"/>
  <c r="K72"/>
  <c r="K71"/>
  <c r="K70"/>
  <c r="K69"/>
  <c r="K68"/>
  <c r="K67"/>
  <c r="K74" s="1"/>
  <c r="K147" s="1"/>
  <c r="J63"/>
  <c r="J146" s="1"/>
  <c r="I63"/>
  <c r="H63"/>
  <c r="H146" s="1"/>
  <c r="G63"/>
  <c r="F63"/>
  <c r="F146" s="1"/>
  <c r="K61"/>
  <c r="K60"/>
  <c r="K59"/>
  <c r="K58"/>
  <c r="K57"/>
  <c r="K56"/>
  <c r="K55"/>
  <c r="K54"/>
  <c r="K53"/>
  <c r="K52"/>
  <c r="K63" s="1"/>
  <c r="K146" s="1"/>
  <c r="J48"/>
  <c r="I48"/>
  <c r="I145" s="1"/>
  <c r="H48"/>
  <c r="H145"/>
  <c r="G48"/>
  <c r="G145"/>
  <c r="F48"/>
  <c r="F145"/>
  <c r="K46"/>
  <c r="K45"/>
  <c r="K44"/>
  <c r="K43"/>
  <c r="K42"/>
  <c r="K41"/>
  <c r="K40"/>
  <c r="K39"/>
  <c r="K38"/>
  <c r="J144" i="25"/>
  <c r="H144"/>
  <c r="G144"/>
  <c r="F144"/>
  <c r="K140"/>
  <c r="K152"/>
  <c r="J152"/>
  <c r="I145"/>
  <c r="H145"/>
  <c r="G145"/>
  <c r="K48" i="24"/>
  <c r="K145" s="1"/>
  <c r="J34"/>
  <c r="J144" s="1"/>
  <c r="J154" s="1"/>
  <c r="H34"/>
  <c r="H144"/>
  <c r="H154" s="1"/>
  <c r="G34"/>
  <c r="G144"/>
  <c r="G154" s="1"/>
  <c r="F34"/>
  <c r="F144"/>
  <c r="F154" s="1"/>
  <c r="I32"/>
  <c r="K32" s="1"/>
  <c r="I31"/>
  <c r="K31" s="1"/>
  <c r="I30"/>
  <c r="K30" s="1"/>
  <c r="I29"/>
  <c r="K29" s="1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K28"/>
  <c r="I18"/>
  <c r="I34" s="1"/>
  <c r="I144" s="1"/>
  <c r="G152" i="23"/>
  <c r="K151"/>
  <c r="J140"/>
  <c r="H140"/>
  <c r="G140"/>
  <c r="F140"/>
  <c r="F152" s="1"/>
  <c r="I138"/>
  <c r="K137"/>
  <c r="I137"/>
  <c r="I136"/>
  <c r="I73" i="52" s="1"/>
  <c r="K73" s="1"/>
  <c r="I135" i="23"/>
  <c r="K135" s="1"/>
  <c r="I134"/>
  <c r="K133"/>
  <c r="I133"/>
  <c r="I140"/>
  <c r="J110"/>
  <c r="J150"/>
  <c r="H110"/>
  <c r="H150"/>
  <c r="G110"/>
  <c r="G150" s="1"/>
  <c r="F110"/>
  <c r="I108"/>
  <c r="I107"/>
  <c r="I106"/>
  <c r="K106" s="1"/>
  <c r="I105"/>
  <c r="I104"/>
  <c r="K104" s="1"/>
  <c r="I103"/>
  <c r="I110" s="1"/>
  <c r="I150" s="1"/>
  <c r="H99"/>
  <c r="G99"/>
  <c r="F99"/>
  <c r="I97"/>
  <c r="I96"/>
  <c r="I95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H74"/>
  <c r="H147" s="1"/>
  <c r="G74"/>
  <c r="G147" s="1"/>
  <c r="F74"/>
  <c r="I72"/>
  <c r="I71"/>
  <c r="K71" s="1"/>
  <c r="I70"/>
  <c r="I69"/>
  <c r="K69" s="1"/>
  <c r="I68"/>
  <c r="K68" s="1"/>
  <c r="K74" s="1"/>
  <c r="K147" s="1"/>
  <c r="K67"/>
  <c r="I67"/>
  <c r="I74"/>
  <c r="J63"/>
  <c r="J146"/>
  <c r="I63"/>
  <c r="I146" s="1"/>
  <c r="H63"/>
  <c r="H146"/>
  <c r="G63"/>
  <c r="G146"/>
  <c r="F63"/>
  <c r="K61"/>
  <c r="K134"/>
  <c r="K138"/>
  <c r="K108"/>
  <c r="F150"/>
  <c r="K105"/>
  <c r="K107"/>
  <c r="K96"/>
  <c r="K95"/>
  <c r="K97"/>
  <c r="K70"/>
  <c r="K72"/>
  <c r="I147"/>
  <c r="F147"/>
  <c r="F146"/>
  <c r="K60"/>
  <c r="K59"/>
  <c r="K58"/>
  <c r="K57"/>
  <c r="K56"/>
  <c r="K55"/>
  <c r="K54"/>
  <c r="K53"/>
  <c r="K52"/>
  <c r="K63" s="1"/>
  <c r="K146" s="1"/>
  <c r="J48"/>
  <c r="J145"/>
  <c r="I48"/>
  <c r="I145" s="1"/>
  <c r="H48"/>
  <c r="H145"/>
  <c r="G48"/>
  <c r="G145"/>
  <c r="F48"/>
  <c r="K45"/>
  <c r="K44"/>
  <c r="K43"/>
  <c r="K42"/>
  <c r="K41"/>
  <c r="K40"/>
  <c r="K39"/>
  <c r="K48" s="1"/>
  <c r="K38"/>
  <c r="J34"/>
  <c r="J144" s="1"/>
  <c r="H34"/>
  <c r="H144" s="1"/>
  <c r="G34"/>
  <c r="G144" s="1"/>
  <c r="F34"/>
  <c r="F144" s="1"/>
  <c r="I32"/>
  <c r="K31"/>
  <c r="I31"/>
  <c r="I30"/>
  <c r="I29"/>
  <c r="K29" s="1"/>
  <c r="I28"/>
  <c r="K28" s="1"/>
  <c r="I27"/>
  <c r="K27" s="1"/>
  <c r="K26"/>
  <c r="I25"/>
  <c r="K25" s="1"/>
  <c r="I24"/>
  <c r="K24" s="1"/>
  <c r="I23"/>
  <c r="K23" s="1"/>
  <c r="I22"/>
  <c r="K22" s="1"/>
  <c r="I20"/>
  <c r="K20" s="1"/>
  <c r="I19"/>
  <c r="K19" s="1"/>
  <c r="K18"/>
  <c r="K46"/>
  <c r="K145"/>
  <c r="F145"/>
  <c r="I34"/>
  <c r="I144" s="1"/>
  <c r="K32"/>
  <c r="K30"/>
  <c r="J152" i="21"/>
  <c r="H152"/>
  <c r="F152"/>
  <c r="K151"/>
  <c r="G147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H110"/>
  <c r="H150"/>
  <c r="G110"/>
  <c r="G150"/>
  <c r="F110"/>
  <c r="F150"/>
  <c r="I108"/>
  <c r="I107"/>
  <c r="K107" s="1"/>
  <c r="I106"/>
  <c r="I105"/>
  <c r="I104"/>
  <c r="J99"/>
  <c r="J149" s="1"/>
  <c r="H99"/>
  <c r="H149" s="1"/>
  <c r="G99"/>
  <c r="G149" s="1"/>
  <c r="F99"/>
  <c r="F149" s="1"/>
  <c r="I97"/>
  <c r="I96"/>
  <c r="K96" s="1"/>
  <c r="I95"/>
  <c r="I94"/>
  <c r="K94" s="1"/>
  <c r="I93"/>
  <c r="I92"/>
  <c r="I91"/>
  <c r="K91" s="1"/>
  <c r="I90"/>
  <c r="I89"/>
  <c r="I87"/>
  <c r="K87"/>
  <c r="I86"/>
  <c r="J82"/>
  <c r="J148" s="1"/>
  <c r="I82"/>
  <c r="H82"/>
  <c r="H148"/>
  <c r="G82"/>
  <c r="G148"/>
  <c r="F82"/>
  <c r="K80"/>
  <c r="K79"/>
  <c r="K78"/>
  <c r="K82" s="1"/>
  <c r="K77"/>
  <c r="J74"/>
  <c r="J147" s="1"/>
  <c r="I74"/>
  <c r="I147" s="1"/>
  <c r="H74"/>
  <c r="H147" s="1"/>
  <c r="G74"/>
  <c r="F74"/>
  <c r="F147" s="1"/>
  <c r="K72"/>
  <c r="K71"/>
  <c r="K70"/>
  <c r="K69"/>
  <c r="K68"/>
  <c r="K74" s="1"/>
  <c r="K147" s="1"/>
  <c r="K67"/>
  <c r="J63"/>
  <c r="J146" s="1"/>
  <c r="I63"/>
  <c r="I146" s="1"/>
  <c r="H63"/>
  <c r="G63"/>
  <c r="F63"/>
  <c r="K61"/>
  <c r="K60"/>
  <c r="K59"/>
  <c r="K58"/>
  <c r="K57"/>
  <c r="K56"/>
  <c r="K55"/>
  <c r="K54"/>
  <c r="K53"/>
  <c r="K52"/>
  <c r="K63"/>
  <c r="J48"/>
  <c r="I48"/>
  <c r="I145" s="1"/>
  <c r="H48"/>
  <c r="H145"/>
  <c r="H154" s="1"/>
  <c r="G48"/>
  <c r="G145"/>
  <c r="F48"/>
  <c r="F145"/>
  <c r="K46"/>
  <c r="K45"/>
  <c r="K44"/>
  <c r="K43"/>
  <c r="K42"/>
  <c r="K41"/>
  <c r="K40"/>
  <c r="K39"/>
  <c r="K48" s="1"/>
  <c r="K38"/>
  <c r="J34"/>
  <c r="J144" s="1"/>
  <c r="H34"/>
  <c r="H144" s="1"/>
  <c r="G34"/>
  <c r="G144" s="1"/>
  <c r="F34"/>
  <c r="I32"/>
  <c r="I31"/>
  <c r="K31" s="1"/>
  <c r="I30"/>
  <c r="I29"/>
  <c r="I28"/>
  <c r="I27"/>
  <c r="K27" s="1"/>
  <c r="I26"/>
  <c r="K26"/>
  <c r="I25"/>
  <c r="K25"/>
  <c r="I24"/>
  <c r="I23"/>
  <c r="K23" s="1"/>
  <c r="I22"/>
  <c r="K22" s="1"/>
  <c r="I21"/>
  <c r="K21" s="1"/>
  <c r="I20"/>
  <c r="I19"/>
  <c r="K19" s="1"/>
  <c r="I18"/>
  <c r="I34" s="1"/>
  <c r="J99" i="23"/>
  <c r="K18" i="21"/>
  <c r="K29"/>
  <c r="K20"/>
  <c r="K105"/>
  <c r="K104"/>
  <c r="K106"/>
  <c r="K108"/>
  <c r="K86"/>
  <c r="K89"/>
  <c r="K93"/>
  <c r="K95"/>
  <c r="K97"/>
  <c r="K90"/>
  <c r="K92"/>
  <c r="I148"/>
  <c r="F148"/>
  <c r="K148"/>
  <c r="H146"/>
  <c r="G146"/>
  <c r="F146"/>
  <c r="K146"/>
  <c r="K145"/>
  <c r="J145"/>
  <c r="I144"/>
  <c r="K24"/>
  <c r="K28"/>
  <c r="K30"/>
  <c r="K32"/>
  <c r="F144"/>
  <c r="K151" i="20"/>
  <c r="G150"/>
  <c r="G149"/>
  <c r="G148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H82"/>
  <c r="H148" s="1"/>
  <c r="G82"/>
  <c r="F82"/>
  <c r="F148" s="1"/>
  <c r="I80"/>
  <c r="I82" s="1"/>
  <c r="I148" s="1"/>
  <c r="K79"/>
  <c r="K78"/>
  <c r="K77"/>
  <c r="J74"/>
  <c r="J147" s="1"/>
  <c r="H74"/>
  <c r="H147" s="1"/>
  <c r="G74"/>
  <c r="G147" s="1"/>
  <c r="F74"/>
  <c r="F147" s="1"/>
  <c r="K72"/>
  <c r="I72"/>
  <c r="K71"/>
  <c r="I71"/>
  <c r="K70"/>
  <c r="I70"/>
  <c r="I33" i="52" s="1"/>
  <c r="K69" i="20"/>
  <c r="I69"/>
  <c r="K68"/>
  <c r="I68"/>
  <c r="I32" i="52" s="1"/>
  <c r="I67" i="20"/>
  <c r="I31" i="52" s="1"/>
  <c r="J63" i="20"/>
  <c r="J146" s="1"/>
  <c r="H63"/>
  <c r="H146" s="1"/>
  <c r="G63"/>
  <c r="G146" s="1"/>
  <c r="F63"/>
  <c r="F146" s="1"/>
  <c r="I61"/>
  <c r="K61" s="1"/>
  <c r="I60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I63" s="1"/>
  <c r="I146" s="1"/>
  <c r="J48"/>
  <c r="J145"/>
  <c r="H48"/>
  <c r="H145" s="1"/>
  <c r="G48"/>
  <c r="G145"/>
  <c r="F48"/>
  <c r="K46"/>
  <c r="I46"/>
  <c r="K45"/>
  <c r="I45"/>
  <c r="K44"/>
  <c r="K43"/>
  <c r="I42"/>
  <c r="K42" s="1"/>
  <c r="I41"/>
  <c r="K41" s="1"/>
  <c r="I40"/>
  <c r="K40" s="1"/>
  <c r="I39"/>
  <c r="K39" s="1"/>
  <c r="I38"/>
  <c r="I48" s="1"/>
  <c r="I145" s="1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J152" i="19"/>
  <c r="H152"/>
  <c r="F152"/>
  <c r="K151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I53"/>
  <c r="K52"/>
  <c r="K63" s="1"/>
  <c r="K146" s="1"/>
  <c r="I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I154" s="1"/>
  <c r="J140" i="31"/>
  <c r="I140"/>
  <c r="H140"/>
  <c r="G140"/>
  <c r="F140"/>
  <c r="K138"/>
  <c r="K137"/>
  <c r="K136"/>
  <c r="K135"/>
  <c r="K134"/>
  <c r="K133"/>
  <c r="F121"/>
  <c r="K107"/>
  <c r="K106"/>
  <c r="K105"/>
  <c r="K104"/>
  <c r="K103"/>
  <c r="K96"/>
  <c r="K95"/>
  <c r="K94"/>
  <c r="K93"/>
  <c r="K92"/>
  <c r="K91"/>
  <c r="K90"/>
  <c r="K89"/>
  <c r="K88"/>
  <c r="K87"/>
  <c r="K86"/>
  <c r="K79"/>
  <c r="K78"/>
  <c r="K77"/>
  <c r="I74"/>
  <c r="H74"/>
  <c r="G74"/>
  <c r="F74"/>
  <c r="K72"/>
  <c r="J72"/>
  <c r="K71"/>
  <c r="J71"/>
  <c r="K70"/>
  <c r="J70"/>
  <c r="J33" i="52" s="1"/>
  <c r="K69" i="31"/>
  <c r="J69"/>
  <c r="K68"/>
  <c r="J68"/>
  <c r="J32" i="52" s="1"/>
  <c r="J67" i="31"/>
  <c r="J31" i="52" s="1"/>
  <c r="K60" i="31"/>
  <c r="K59"/>
  <c r="K58"/>
  <c r="K57"/>
  <c r="K56"/>
  <c r="K55"/>
  <c r="K54"/>
  <c r="K53"/>
  <c r="K52"/>
  <c r="K45"/>
  <c r="K44"/>
  <c r="K43"/>
  <c r="K42"/>
  <c r="K41"/>
  <c r="K40"/>
  <c r="K39"/>
  <c r="K38"/>
  <c r="K31"/>
  <c r="K30"/>
  <c r="K29"/>
  <c r="K28"/>
  <c r="K27"/>
  <c r="K26"/>
  <c r="K25"/>
  <c r="K24"/>
  <c r="K23"/>
  <c r="K22"/>
  <c r="K21"/>
  <c r="K20"/>
  <c r="K19"/>
  <c r="K18"/>
  <c r="K151" i="30"/>
  <c r="J140"/>
  <c r="I140"/>
  <c r="I152" s="1"/>
  <c r="H140"/>
  <c r="H152" s="1"/>
  <c r="G140"/>
  <c r="G152" s="1"/>
  <c r="F140"/>
  <c r="F152" s="1"/>
  <c r="K138"/>
  <c r="K137"/>
  <c r="K136"/>
  <c r="K135"/>
  <c r="K134"/>
  <c r="K133"/>
  <c r="F121"/>
  <c r="K107"/>
  <c r="K106"/>
  <c r="K105"/>
  <c r="K104"/>
  <c r="K103"/>
  <c r="K96"/>
  <c r="K95"/>
  <c r="K94"/>
  <c r="K93"/>
  <c r="K92"/>
  <c r="K91"/>
  <c r="K90"/>
  <c r="K89"/>
  <c r="K88"/>
  <c r="K87"/>
  <c r="K86"/>
  <c r="K79"/>
  <c r="K78"/>
  <c r="K77"/>
  <c r="K71"/>
  <c r="K70"/>
  <c r="K69"/>
  <c r="K68"/>
  <c r="K67"/>
  <c r="K60"/>
  <c r="K59"/>
  <c r="K58"/>
  <c r="K57"/>
  <c r="K56"/>
  <c r="K55"/>
  <c r="K54"/>
  <c r="K53"/>
  <c r="K52"/>
  <c r="K45"/>
  <c r="K44"/>
  <c r="K43"/>
  <c r="K42"/>
  <c r="K41"/>
  <c r="K40"/>
  <c r="K39"/>
  <c r="K38"/>
  <c r="K31"/>
  <c r="K30"/>
  <c r="K29"/>
  <c r="K28"/>
  <c r="K27"/>
  <c r="K26"/>
  <c r="K25"/>
  <c r="K24"/>
  <c r="K23"/>
  <c r="K22"/>
  <c r="K21"/>
  <c r="K20"/>
  <c r="K19"/>
  <c r="K18"/>
  <c r="J149" i="23"/>
  <c r="I149"/>
  <c r="H149"/>
  <c r="G149"/>
  <c r="G154" s="1"/>
  <c r="F149"/>
  <c r="F154"/>
  <c r="J152"/>
  <c r="I152"/>
  <c r="H152"/>
  <c r="K34" i="21"/>
  <c r="K144" s="1"/>
  <c r="F145" i="20"/>
  <c r="F125" i="31"/>
  <c r="F129"/>
  <c r="F125" i="30"/>
  <c r="F129"/>
  <c r="J152" i="18"/>
  <c r="H152"/>
  <c r="F152"/>
  <c r="J140"/>
  <c r="I140"/>
  <c r="I152" s="1"/>
  <c r="H140"/>
  <c r="G140"/>
  <c r="G152" s="1"/>
  <c r="F140"/>
  <c r="K138"/>
  <c r="K137"/>
  <c r="K136"/>
  <c r="K135"/>
  <c r="K134"/>
  <c r="K140" s="1"/>
  <c r="K152" s="1"/>
  <c r="K133"/>
  <c r="F121"/>
  <c r="F125" s="1"/>
  <c r="F129" s="1"/>
  <c r="F120"/>
  <c r="F116"/>
  <c r="I108" s="1"/>
  <c r="K108" s="1"/>
  <c r="F113"/>
  <c r="K151" s="1"/>
  <c r="J110"/>
  <c r="J150" s="1"/>
  <c r="G110"/>
  <c r="G150" s="1"/>
  <c r="F110"/>
  <c r="F150" s="1"/>
  <c r="H103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K93"/>
  <c r="K92"/>
  <c r="K91"/>
  <c r="K88"/>
  <c r="I87"/>
  <c r="K87" s="1"/>
  <c r="I86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G63"/>
  <c r="G146" s="1"/>
  <c r="F63"/>
  <c r="F146" s="1"/>
  <c r="K61"/>
  <c r="K60"/>
  <c r="K59"/>
  <c r="K58"/>
  <c r="K57"/>
  <c r="J56"/>
  <c r="H56"/>
  <c r="K56" s="1"/>
  <c r="H55"/>
  <c r="H63" s="1"/>
  <c r="H146" s="1"/>
  <c r="I54"/>
  <c r="H54"/>
  <c r="K54" s="1"/>
  <c r="K53"/>
  <c r="I53"/>
  <c r="I63" s="1"/>
  <c r="I146" s="1"/>
  <c r="K52"/>
  <c r="J48"/>
  <c r="J145" s="1"/>
  <c r="H48"/>
  <c r="H145" s="1"/>
  <c r="G48"/>
  <c r="G145" s="1"/>
  <c r="F48"/>
  <c r="F145" s="1"/>
  <c r="K46"/>
  <c r="K45"/>
  <c r="I44"/>
  <c r="K44" s="1"/>
  <c r="K43"/>
  <c r="K42"/>
  <c r="I41"/>
  <c r="K41" s="1"/>
  <c r="I40"/>
  <c r="K40" s="1"/>
  <c r="K39"/>
  <c r="K38"/>
  <c r="K48" s="1"/>
  <c r="K145" s="1"/>
  <c r="I38"/>
  <c r="I48" s="1"/>
  <c r="I145" s="1"/>
  <c r="J34"/>
  <c r="J144" s="1"/>
  <c r="J154" s="1"/>
  <c r="I34"/>
  <c r="I144" s="1"/>
  <c r="H34"/>
  <c r="H144" s="1"/>
  <c r="G34"/>
  <c r="G144" s="1"/>
  <c r="F34"/>
  <c r="F144" s="1"/>
  <c r="F15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I18"/>
  <c r="K151" i="17"/>
  <c r="J150"/>
  <c r="H150"/>
  <c r="F150"/>
  <c r="J149"/>
  <c r="F149"/>
  <c r="J140"/>
  <c r="J152" s="1"/>
  <c r="I140"/>
  <c r="I152" s="1"/>
  <c r="H140"/>
  <c r="H152" s="1"/>
  <c r="G140"/>
  <c r="G152" s="1"/>
  <c r="F140"/>
  <c r="F152" s="1"/>
  <c r="K138"/>
  <c r="K137"/>
  <c r="K136"/>
  <c r="K135"/>
  <c r="K134"/>
  <c r="K140" s="1"/>
  <c r="K152" s="1"/>
  <c r="K133"/>
  <c r="F127"/>
  <c r="F121"/>
  <c r="J110"/>
  <c r="I110"/>
  <c r="I150" s="1"/>
  <c r="H110"/>
  <c r="G110"/>
  <c r="G150" s="1"/>
  <c r="F110"/>
  <c r="K108"/>
  <c r="I108"/>
  <c r="K107"/>
  <c r="I107"/>
  <c r="K106"/>
  <c r="I106"/>
  <c r="K105"/>
  <c r="I105"/>
  <c r="K104"/>
  <c r="I104"/>
  <c r="K103"/>
  <c r="K110" s="1"/>
  <c r="K150" s="1"/>
  <c r="I103"/>
  <c r="J99"/>
  <c r="F99"/>
  <c r="K97"/>
  <c r="I97"/>
  <c r="K96"/>
  <c r="I96"/>
  <c r="K95"/>
  <c r="I95"/>
  <c r="K94"/>
  <c r="I94"/>
  <c r="H93"/>
  <c r="H55" i="52" s="1"/>
  <c r="I92" i="17"/>
  <c r="K92" s="1"/>
  <c r="I91"/>
  <c r="H91"/>
  <c r="H53" i="52" s="1"/>
  <c r="G91" i="17"/>
  <c r="G53" i="52" s="1"/>
  <c r="I90" i="17"/>
  <c r="K90" s="1"/>
  <c r="I89"/>
  <c r="K89" s="1"/>
  <c r="I88"/>
  <c r="K88" s="1"/>
  <c r="I87"/>
  <c r="H87"/>
  <c r="H49" i="52" s="1"/>
  <c r="K86" i="17"/>
  <c r="I86"/>
  <c r="J82"/>
  <c r="J148" s="1"/>
  <c r="I82"/>
  <c r="I148" s="1"/>
  <c r="G82"/>
  <c r="G148" s="1"/>
  <c r="F82"/>
  <c r="F148" s="1"/>
  <c r="K80"/>
  <c r="H79"/>
  <c r="H82" s="1"/>
  <c r="H148" s="1"/>
  <c r="G79"/>
  <c r="K78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63" s="1"/>
  <c r="K146" s="1"/>
  <c r="K52"/>
  <c r="J48"/>
  <c r="J145" s="1"/>
  <c r="I48"/>
  <c r="I145" s="1"/>
  <c r="H48"/>
  <c r="H145" s="1"/>
  <c r="G48"/>
  <c r="G145" s="1"/>
  <c r="F48"/>
  <c r="F145" s="1"/>
  <c r="F154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F34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H19"/>
  <c r="K19" s="1"/>
  <c r="G19"/>
  <c r="I18"/>
  <c r="I34" s="1"/>
  <c r="I144" s="1"/>
  <c r="H18"/>
  <c r="K18" s="1"/>
  <c r="K34" s="1"/>
  <c r="K144" s="1"/>
  <c r="G18"/>
  <c r="G34" s="1"/>
  <c r="G144" s="1"/>
  <c r="I152" i="16"/>
  <c r="G152"/>
  <c r="K151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/>
  <c r="I82"/>
  <c r="I148"/>
  <c r="H82"/>
  <c r="H148" s="1"/>
  <c r="G82"/>
  <c r="G148" s="1"/>
  <c r="F82"/>
  <c r="F148" s="1"/>
  <c r="K80"/>
  <c r="K79"/>
  <c r="K78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J154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 s="1"/>
  <c r="K146" s="1"/>
  <c r="J48"/>
  <c r="J145"/>
  <c r="I48"/>
  <c r="I145"/>
  <c r="I154" s="1"/>
  <c r="H48"/>
  <c r="H145"/>
  <c r="G48"/>
  <c r="G145"/>
  <c r="F48"/>
  <c r="F145"/>
  <c r="K46"/>
  <c r="K45"/>
  <c r="K44"/>
  <c r="K43"/>
  <c r="K42"/>
  <c r="K41"/>
  <c r="K40"/>
  <c r="K39"/>
  <c r="K38"/>
  <c r="K48"/>
  <c r="J34"/>
  <c r="J144"/>
  <c r="I34"/>
  <c r="H34"/>
  <c r="H144" s="1"/>
  <c r="H154" s="1"/>
  <c r="G34"/>
  <c r="G144" s="1"/>
  <c r="G154" s="1"/>
  <c r="F34"/>
  <c r="K32"/>
  <c r="K31"/>
  <c r="K30"/>
  <c r="K29"/>
  <c r="K28"/>
  <c r="K27"/>
  <c r="K26"/>
  <c r="K25"/>
  <c r="K24"/>
  <c r="K23"/>
  <c r="K22"/>
  <c r="K21"/>
  <c r="K20"/>
  <c r="K19"/>
  <c r="K18"/>
  <c r="K34"/>
  <c r="K144" s="1"/>
  <c r="F144" i="17"/>
  <c r="K82" i="16"/>
  <c r="K148" s="1"/>
  <c r="K145"/>
  <c r="I144"/>
  <c r="F144"/>
  <c r="F154" s="1"/>
  <c r="I152" i="15"/>
  <c r="G152"/>
  <c r="K151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H63"/>
  <c r="H146" s="1"/>
  <c r="G63"/>
  <c r="G146" s="1"/>
  <c r="I61"/>
  <c r="K61" s="1"/>
  <c r="I60"/>
  <c r="K60" s="1"/>
  <c r="K59"/>
  <c r="K58"/>
  <c r="I58"/>
  <c r="K57"/>
  <c r="I57"/>
  <c r="F57"/>
  <c r="I56"/>
  <c r="K56" s="1"/>
  <c r="F56"/>
  <c r="K55"/>
  <c r="I55"/>
  <c r="F55"/>
  <c r="I54"/>
  <c r="K54" s="1"/>
  <c r="F54"/>
  <c r="K53"/>
  <c r="I53"/>
  <c r="F53"/>
  <c r="F63" s="1"/>
  <c r="F146" s="1"/>
  <c r="I52"/>
  <c r="I63" s="1"/>
  <c r="I146" s="1"/>
  <c r="F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I154" s="1"/>
  <c r="J152" i="29"/>
  <c r="H152"/>
  <c r="F152"/>
  <c r="K151"/>
  <c r="J140"/>
  <c r="I140"/>
  <c r="I152" s="1"/>
  <c r="H140"/>
  <c r="G140"/>
  <c r="G152" s="1"/>
  <c r="F140"/>
  <c r="K138"/>
  <c r="K137"/>
  <c r="K136"/>
  <c r="K135"/>
  <c r="K134"/>
  <c r="K140" s="1"/>
  <c r="K152" s="1"/>
  <c r="K133"/>
  <c r="F121"/>
  <c r="J110"/>
  <c r="J150"/>
  <c r="I110"/>
  <c r="I150"/>
  <c r="H110"/>
  <c r="H150"/>
  <c r="G110"/>
  <c r="G150"/>
  <c r="F110"/>
  <c r="F150"/>
  <c r="K108"/>
  <c r="K107"/>
  <c r="K106"/>
  <c r="K105"/>
  <c r="K104"/>
  <c r="K103"/>
  <c r="K110" s="1"/>
  <c r="K150" s="1"/>
  <c r="J99"/>
  <c r="J149"/>
  <c r="I99"/>
  <c r="I149"/>
  <c r="H99"/>
  <c r="H149"/>
  <c r="G99"/>
  <c r="G149"/>
  <c r="F99"/>
  <c r="F149"/>
  <c r="K97"/>
  <c r="K96"/>
  <c r="K95"/>
  <c r="K94"/>
  <c r="K93"/>
  <c r="K92"/>
  <c r="K91"/>
  <c r="K90"/>
  <c r="K89"/>
  <c r="K88"/>
  <c r="K87"/>
  <c r="K86"/>
  <c r="J82"/>
  <c r="J148"/>
  <c r="I82"/>
  <c r="I148"/>
  <c r="H82"/>
  <c r="H148"/>
  <c r="G82"/>
  <c r="G148"/>
  <c r="F82"/>
  <c r="K80"/>
  <c r="K79"/>
  <c r="K78"/>
  <c r="K77"/>
  <c r="K82"/>
  <c r="J74"/>
  <c r="J147"/>
  <c r="I74"/>
  <c r="I147"/>
  <c r="H74"/>
  <c r="H147"/>
  <c r="G74"/>
  <c r="G147"/>
  <c r="F74"/>
  <c r="K72"/>
  <c r="K71"/>
  <c r="K70"/>
  <c r="K69"/>
  <c r="K68"/>
  <c r="K67"/>
  <c r="K74"/>
  <c r="J63"/>
  <c r="J146"/>
  <c r="I63"/>
  <c r="I146"/>
  <c r="H63"/>
  <c r="H146"/>
  <c r="G63"/>
  <c r="G146"/>
  <c r="F63"/>
  <c r="K61"/>
  <c r="K60"/>
  <c r="K59"/>
  <c r="K58"/>
  <c r="K57"/>
  <c r="K56"/>
  <c r="K55"/>
  <c r="K54"/>
  <c r="K53"/>
  <c r="K52"/>
  <c r="K63"/>
  <c r="J48"/>
  <c r="J145"/>
  <c r="I48"/>
  <c r="I145"/>
  <c r="H48"/>
  <c r="H145"/>
  <c r="G48"/>
  <c r="G145"/>
  <c r="F48"/>
  <c r="K46"/>
  <c r="K45"/>
  <c r="K44"/>
  <c r="K43"/>
  <c r="K42"/>
  <c r="K41"/>
  <c r="K40"/>
  <c r="K39"/>
  <c r="K38"/>
  <c r="K48" s="1"/>
  <c r="K145" s="1"/>
  <c r="K154" s="1"/>
  <c r="J34"/>
  <c r="J144" s="1"/>
  <c r="J154" s="1"/>
  <c r="I34"/>
  <c r="I144" s="1"/>
  <c r="I154" s="1"/>
  <c r="H34"/>
  <c r="H144" s="1"/>
  <c r="H154" s="1"/>
  <c r="G34"/>
  <c r="G144" s="1"/>
  <c r="G154" s="1"/>
  <c r="F34"/>
  <c r="K32"/>
  <c r="K31"/>
  <c r="K30"/>
  <c r="K29"/>
  <c r="K28"/>
  <c r="K27"/>
  <c r="K26"/>
  <c r="K25"/>
  <c r="K24"/>
  <c r="K23"/>
  <c r="K22"/>
  <c r="K21"/>
  <c r="K20"/>
  <c r="K19"/>
  <c r="K18"/>
  <c r="K34"/>
  <c r="H152" i="39"/>
  <c r="F152"/>
  <c r="H140"/>
  <c r="G140"/>
  <c r="G152" s="1"/>
  <c r="F140"/>
  <c r="K138"/>
  <c r="K137"/>
  <c r="K136"/>
  <c r="K135"/>
  <c r="J134"/>
  <c r="J72" i="52" s="1"/>
  <c r="I134" i="39"/>
  <c r="J133"/>
  <c r="J71" i="52" s="1"/>
  <c r="J75" s="1"/>
  <c r="I133" i="39"/>
  <c r="K133" s="1"/>
  <c r="F127"/>
  <c r="F123"/>
  <c r="F120"/>
  <c r="F119"/>
  <c r="F121" s="1"/>
  <c r="F125" s="1"/>
  <c r="F129" s="1"/>
  <c r="F116"/>
  <c r="F113"/>
  <c r="K151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I97"/>
  <c r="K97" s="1"/>
  <c r="I96"/>
  <c r="K96" s="1"/>
  <c r="I95"/>
  <c r="K95" s="1"/>
  <c r="I94"/>
  <c r="K94" s="1"/>
  <c r="I93"/>
  <c r="K93" s="1"/>
  <c r="G93"/>
  <c r="G55" i="52" s="1"/>
  <c r="H92" i="39"/>
  <c r="H99" s="1"/>
  <c r="H149" s="1"/>
  <c r="G92"/>
  <c r="G54" i="52" s="1"/>
  <c r="F92" i="39"/>
  <c r="F99" s="1"/>
  <c r="F149" s="1"/>
  <c r="I91"/>
  <c r="K91" s="1"/>
  <c r="I90"/>
  <c r="K90" s="1"/>
  <c r="I89"/>
  <c r="K89" s="1"/>
  <c r="I88"/>
  <c r="K88" s="1"/>
  <c r="I87"/>
  <c r="K87" s="1"/>
  <c r="I86"/>
  <c r="J82"/>
  <c r="J148" s="1"/>
  <c r="I82"/>
  <c r="I148" s="1"/>
  <c r="H82"/>
  <c r="H148" s="1"/>
  <c r="G82"/>
  <c r="G148" s="1"/>
  <c r="F82"/>
  <c r="F148" s="1"/>
  <c r="K80"/>
  <c r="K79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K61"/>
  <c r="K60"/>
  <c r="K59"/>
  <c r="K58"/>
  <c r="K57"/>
  <c r="K56"/>
  <c r="K55"/>
  <c r="H54"/>
  <c r="H53"/>
  <c r="H63" s="1"/>
  <c r="H146" s="1"/>
  <c r="G53"/>
  <c r="F53"/>
  <c r="F63" s="1"/>
  <c r="F146" s="1"/>
  <c r="J52"/>
  <c r="J63" s="1"/>
  <c r="J146" s="1"/>
  <c r="H52"/>
  <c r="K52" s="1"/>
  <c r="G52"/>
  <c r="G63" s="1"/>
  <c r="G146" s="1"/>
  <c r="F52"/>
  <c r="K46"/>
  <c r="I46"/>
  <c r="K45"/>
  <c r="I45"/>
  <c r="K44"/>
  <c r="I44"/>
  <c r="K43"/>
  <c r="I43"/>
  <c r="J42"/>
  <c r="J22" i="52" s="1"/>
  <c r="I42" i="39"/>
  <c r="K42" s="1"/>
  <c r="H42"/>
  <c r="H22" i="52" s="1"/>
  <c r="G42" i="39"/>
  <c r="G22" i="52" s="1"/>
  <c r="F42" i="39"/>
  <c r="F22" i="52" s="1"/>
  <c r="J41" i="39"/>
  <c r="J21" i="52" s="1"/>
  <c r="H41" i="39"/>
  <c r="H21" i="52" s="1"/>
  <c r="G41" i="39"/>
  <c r="G21" i="52" s="1"/>
  <c r="F41" i="39"/>
  <c r="F21" i="52" s="1"/>
  <c r="J40" i="39"/>
  <c r="J20" i="52" s="1"/>
  <c r="H40" i="39"/>
  <c r="G40"/>
  <c r="G48" s="1"/>
  <c r="G145" s="1"/>
  <c r="F40"/>
  <c r="F48" s="1"/>
  <c r="F145" s="1"/>
  <c r="I39"/>
  <c r="K39" s="1"/>
  <c r="I38"/>
  <c r="I32"/>
  <c r="K32" s="1"/>
  <c r="I31"/>
  <c r="K31" s="1"/>
  <c r="I30"/>
  <c r="K30" s="1"/>
  <c r="I29"/>
  <c r="K29" s="1"/>
  <c r="I28"/>
  <c r="K28" s="1"/>
  <c r="I27"/>
  <c r="K27" s="1"/>
  <c r="J26"/>
  <c r="J12" i="52" s="1"/>
  <c r="H26" i="39"/>
  <c r="G26"/>
  <c r="F26"/>
  <c r="I25"/>
  <c r="K25" s="1"/>
  <c r="I24"/>
  <c r="K24" s="1"/>
  <c r="I23"/>
  <c r="K23" s="1"/>
  <c r="I22"/>
  <c r="K22" s="1"/>
  <c r="J21"/>
  <c r="J7" i="52" s="1"/>
  <c r="H21" i="39"/>
  <c r="H7" i="52" s="1"/>
  <c r="G21" i="39"/>
  <c r="G7" i="52" s="1"/>
  <c r="F21" i="39"/>
  <c r="I20"/>
  <c r="K20" s="1"/>
  <c r="I19"/>
  <c r="K19" s="1"/>
  <c r="J18"/>
  <c r="J4" i="52" s="1"/>
  <c r="H18" i="39"/>
  <c r="G18"/>
  <c r="G34" s="1"/>
  <c r="G144" s="1"/>
  <c r="F18"/>
  <c r="F34" s="1"/>
  <c r="F144" s="1"/>
  <c r="F154" s="1"/>
  <c r="C7"/>
  <c r="F125" i="29"/>
  <c r="F129"/>
  <c r="K99"/>
  <c r="K149"/>
  <c r="F148"/>
  <c r="K148"/>
  <c r="K147"/>
  <c r="F147"/>
  <c r="F146"/>
  <c r="K146"/>
  <c r="F145"/>
  <c r="K144"/>
  <c r="F144"/>
  <c r="F154"/>
  <c r="I152" i="40"/>
  <c r="G152"/>
  <c r="K151"/>
  <c r="J150"/>
  <c r="H150"/>
  <c r="F150"/>
  <c r="J149"/>
  <c r="J148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F127"/>
  <c r="F123"/>
  <c r="F120"/>
  <c r="F121" s="1"/>
  <c r="F125" s="1"/>
  <c r="F119"/>
  <c r="F116"/>
  <c r="I108" s="1"/>
  <c r="K108" s="1"/>
  <c r="F113"/>
  <c r="F67" i="52" s="1"/>
  <c r="J110" i="40"/>
  <c r="H110"/>
  <c r="G110"/>
  <c r="G150" s="1"/>
  <c r="F110"/>
  <c r="J99"/>
  <c r="G99"/>
  <c r="G149" s="1"/>
  <c r="H92"/>
  <c r="H54" i="52" s="1"/>
  <c r="F92" i="40"/>
  <c r="F54" i="52" s="1"/>
  <c r="J82" i="40"/>
  <c r="I82"/>
  <c r="I148" s="1"/>
  <c r="G82"/>
  <c r="G148" s="1"/>
  <c r="K80"/>
  <c r="H79"/>
  <c r="H40" i="52" s="1"/>
  <c r="G79" i="40"/>
  <c r="G40" i="52" s="1"/>
  <c r="F79" i="40"/>
  <c r="F40" i="52" s="1"/>
  <c r="K78" i="40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I63"/>
  <c r="I146" s="1"/>
  <c r="K61"/>
  <c r="K60"/>
  <c r="K59"/>
  <c r="K58"/>
  <c r="K57"/>
  <c r="K56"/>
  <c r="K55"/>
  <c r="K54"/>
  <c r="H53"/>
  <c r="K53" s="1"/>
  <c r="G53"/>
  <c r="F53"/>
  <c r="F63" s="1"/>
  <c r="F146" s="1"/>
  <c r="J52"/>
  <c r="J63" s="1"/>
  <c r="J146" s="1"/>
  <c r="H52"/>
  <c r="K52" s="1"/>
  <c r="K63" s="1"/>
  <c r="K146" s="1"/>
  <c r="G52"/>
  <c r="G63" s="1"/>
  <c r="G146" s="1"/>
  <c r="F52"/>
  <c r="J48"/>
  <c r="J145" s="1"/>
  <c r="G48"/>
  <c r="G145" s="1"/>
  <c r="K46"/>
  <c r="K45"/>
  <c r="K44"/>
  <c r="K43"/>
  <c r="K42"/>
  <c r="K41"/>
  <c r="H40"/>
  <c r="H20" i="52" s="1"/>
  <c r="G40" i="40"/>
  <c r="G20" i="52" s="1"/>
  <c r="F40" i="40"/>
  <c r="F20" i="52" s="1"/>
  <c r="K39" i="40"/>
  <c r="K38"/>
  <c r="J34"/>
  <c r="J144" s="1"/>
  <c r="J154" s="1"/>
  <c r="H34"/>
  <c r="H144" s="1"/>
  <c r="F34"/>
  <c r="F144" s="1"/>
  <c r="I32"/>
  <c r="K32" s="1"/>
  <c r="I31"/>
  <c r="K31" s="1"/>
  <c r="I30"/>
  <c r="K30" s="1"/>
  <c r="I29"/>
  <c r="K29" s="1"/>
  <c r="I28"/>
  <c r="K28" s="1"/>
  <c r="I27"/>
  <c r="K27" s="1"/>
  <c r="I26"/>
  <c r="H26"/>
  <c r="K26" s="1"/>
  <c r="G26"/>
  <c r="G12" i="52" s="1"/>
  <c r="F26" i="40"/>
  <c r="K25"/>
  <c r="I25"/>
  <c r="K24"/>
  <c r="I24"/>
  <c r="K23"/>
  <c r="I23"/>
  <c r="J22"/>
  <c r="J8" i="52" s="1"/>
  <c r="I22" i="40"/>
  <c r="K22" s="1"/>
  <c r="H22"/>
  <c r="G22"/>
  <c r="G8" i="52" s="1"/>
  <c r="F22" i="40"/>
  <c r="K21"/>
  <c r="I21"/>
  <c r="K20"/>
  <c r="I20"/>
  <c r="J19"/>
  <c r="J5" i="52" s="1"/>
  <c r="I19" i="40"/>
  <c r="K19" s="1"/>
  <c r="H19"/>
  <c r="H5" i="52" s="1"/>
  <c r="G19" i="40"/>
  <c r="G5" i="52" s="1"/>
  <c r="F19" i="40"/>
  <c r="K18"/>
  <c r="I18"/>
  <c r="I34" s="1"/>
  <c r="I144" s="1"/>
  <c r="C7"/>
  <c r="J152" i="14"/>
  <c r="H152"/>
  <c r="F152"/>
  <c r="K151"/>
  <c r="G144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I104"/>
  <c r="K103"/>
  <c r="K110" s="1"/>
  <c r="K150" s="1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63" s="1"/>
  <c r="K146" s="1"/>
  <c r="K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H154" s="1"/>
  <c r="G34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J152" i="13"/>
  <c r="H152"/>
  <c r="K151"/>
  <c r="G150"/>
  <c r="G148"/>
  <c r="J140"/>
  <c r="I140"/>
  <c r="I152" s="1"/>
  <c r="H140"/>
  <c r="G140"/>
  <c r="G152" s="1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H82"/>
  <c r="H148" s="1"/>
  <c r="G82"/>
  <c r="F82"/>
  <c r="F148" s="1"/>
  <c r="K80"/>
  <c r="K79"/>
  <c r="I79"/>
  <c r="I82" s="1"/>
  <c r="I148" s="1"/>
  <c r="K78"/>
  <c r="K77"/>
  <c r="K82" s="1"/>
  <c r="K148" s="1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H63"/>
  <c r="H146" s="1"/>
  <c r="G63"/>
  <c r="G146" s="1"/>
  <c r="F63"/>
  <c r="F146" s="1"/>
  <c r="K61"/>
  <c r="K60"/>
  <c r="K59"/>
  <c r="K58"/>
  <c r="K57"/>
  <c r="K56"/>
  <c r="K55"/>
  <c r="I54"/>
  <c r="K54" s="1"/>
  <c r="I53"/>
  <c r="K53" s="1"/>
  <c r="I52"/>
  <c r="I63" s="1"/>
  <c r="I146" s="1"/>
  <c r="J48"/>
  <c r="J145" s="1"/>
  <c r="H48"/>
  <c r="H145" s="1"/>
  <c r="G48"/>
  <c r="G145" s="1"/>
  <c r="F48"/>
  <c r="F145" s="1"/>
  <c r="K46"/>
  <c r="K45"/>
  <c r="I44"/>
  <c r="K44" s="1"/>
  <c r="K43"/>
  <c r="K42"/>
  <c r="I42"/>
  <c r="K41"/>
  <c r="I40"/>
  <c r="I48" s="1"/>
  <c r="I145" s="1"/>
  <c r="K39"/>
  <c r="K38"/>
  <c r="J34"/>
  <c r="J144" s="1"/>
  <c r="J154" s="1"/>
  <c r="H34"/>
  <c r="H144" s="1"/>
  <c r="H154" s="1"/>
  <c r="G34"/>
  <c r="G144" s="1"/>
  <c r="G154" s="1"/>
  <c r="F34"/>
  <c r="F144" s="1"/>
  <c r="F15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I154" s="1"/>
  <c r="J152" i="12"/>
  <c r="H152"/>
  <c r="F152"/>
  <c r="K151"/>
  <c r="J140"/>
  <c r="I140"/>
  <c r="I152" s="1"/>
  <c r="H140"/>
  <c r="G140"/>
  <c r="G152" s="1"/>
  <c r="F140"/>
  <c r="K138"/>
  <c r="K137"/>
  <c r="K136"/>
  <c r="K135"/>
  <c r="K134"/>
  <c r="K140" s="1"/>
  <c r="K152" s="1"/>
  <c r="K133"/>
  <c r="F121"/>
  <c r="F125" s="1"/>
  <c r="F129" s="1"/>
  <c r="J110"/>
  <c r="J150" s="1"/>
  <c r="I110"/>
  <c r="I150" s="1"/>
  <c r="H110"/>
  <c r="H150" s="1"/>
  <c r="G110"/>
  <c r="G150" s="1"/>
  <c r="F110"/>
  <c r="F150" s="1"/>
  <c r="K108"/>
  <c r="K107"/>
  <c r="K106"/>
  <c r="K105"/>
  <c r="K104"/>
  <c r="K110" s="1"/>
  <c r="K150" s="1"/>
  <c r="K103"/>
  <c r="J99"/>
  <c r="J149" s="1"/>
  <c r="I99"/>
  <c r="I149" s="1"/>
  <c r="H99"/>
  <c r="H149" s="1"/>
  <c r="G99"/>
  <c r="G149" s="1"/>
  <c r="F99"/>
  <c r="F149" s="1"/>
  <c r="K97"/>
  <c r="K96"/>
  <c r="K95"/>
  <c r="K94"/>
  <c r="K93"/>
  <c r="K92"/>
  <c r="K91"/>
  <c r="K90"/>
  <c r="K89"/>
  <c r="K88"/>
  <c r="K87"/>
  <c r="K99" s="1"/>
  <c r="K149" s="1"/>
  <c r="K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63" s="1"/>
  <c r="K146" s="1"/>
  <c r="K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I34"/>
  <c r="I144" s="1"/>
  <c r="I154" s="1"/>
  <c r="F116" s="1"/>
  <c r="H34"/>
  <c r="H144" s="1"/>
  <c r="H154" s="1"/>
  <c r="G34"/>
  <c r="G144" s="1"/>
  <c r="G154" s="1"/>
  <c r="F34"/>
  <c r="F144" s="1"/>
  <c r="F154" s="1"/>
  <c r="K32"/>
  <c r="K31"/>
  <c r="K30"/>
  <c r="K29"/>
  <c r="K28"/>
  <c r="K27"/>
  <c r="K26"/>
  <c r="K25"/>
  <c r="K24"/>
  <c r="K23"/>
  <c r="K22"/>
  <c r="K21"/>
  <c r="K20"/>
  <c r="K19"/>
  <c r="K18"/>
  <c r="K34" s="1"/>
  <c r="K144" s="1"/>
  <c r="K154" s="1"/>
  <c r="I152" i="11"/>
  <c r="G152"/>
  <c r="K151"/>
  <c r="J150"/>
  <c r="H150"/>
  <c r="F150"/>
  <c r="J149"/>
  <c r="H149"/>
  <c r="F149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F125"/>
  <c r="F129" s="1"/>
  <c r="F121"/>
  <c r="J110"/>
  <c r="I110"/>
  <c r="I150" s="1"/>
  <c r="H110"/>
  <c r="G110"/>
  <c r="G150" s="1"/>
  <c r="F110"/>
  <c r="K108"/>
  <c r="I108"/>
  <c r="K107"/>
  <c r="I107"/>
  <c r="K106"/>
  <c r="I106"/>
  <c r="K105"/>
  <c r="I105"/>
  <c r="K104"/>
  <c r="I104"/>
  <c r="K103"/>
  <c r="K110" s="1"/>
  <c r="K150" s="1"/>
  <c r="I103"/>
  <c r="J99"/>
  <c r="I99"/>
  <c r="I149" s="1"/>
  <c r="H99"/>
  <c r="G99"/>
  <c r="G149" s="1"/>
  <c r="F99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J148" s="1"/>
  <c r="I82"/>
  <c r="I148" s="1"/>
  <c r="H82"/>
  <c r="H148" s="1"/>
  <c r="G82"/>
  <c r="G148" s="1"/>
  <c r="F82"/>
  <c r="F148" s="1"/>
  <c r="K80"/>
  <c r="I80"/>
  <c r="I41" i="52" s="1"/>
  <c r="K41" s="1"/>
  <c r="M41" s="1"/>
  <c r="K79" i="11"/>
  <c r="I79"/>
  <c r="K78"/>
  <c r="I78"/>
  <c r="I39" i="52" s="1"/>
  <c r="K39" s="1"/>
  <c r="M39" s="1"/>
  <c r="K77" i="11"/>
  <c r="K82" s="1"/>
  <c r="K148" s="1"/>
  <c r="I77"/>
  <c r="J74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H63"/>
  <c r="H146" s="1"/>
  <c r="G63"/>
  <c r="G146" s="1"/>
  <c r="F63"/>
  <c r="F146" s="1"/>
  <c r="I61"/>
  <c r="K61" s="1"/>
  <c r="I60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I63" s="1"/>
  <c r="I146" s="1"/>
  <c r="J48"/>
  <c r="J145" s="1"/>
  <c r="H48"/>
  <c r="H145" s="1"/>
  <c r="G48"/>
  <c r="G145" s="1"/>
  <c r="F48"/>
  <c r="F145" s="1"/>
  <c r="I46"/>
  <c r="K46" s="1"/>
  <c r="I45"/>
  <c r="K45" s="1"/>
  <c r="I44"/>
  <c r="I23" i="52" s="1"/>
  <c r="I43" i="11"/>
  <c r="K43" s="1"/>
  <c r="I42"/>
  <c r="K42" s="1"/>
  <c r="I41"/>
  <c r="I40"/>
  <c r="K40" s="1"/>
  <c r="I39"/>
  <c r="I19" i="52" s="1"/>
  <c r="K19" s="1"/>
  <c r="M19" s="1"/>
  <c r="I38" i="11"/>
  <c r="I18" i="52" s="1"/>
  <c r="K18" s="1"/>
  <c r="M18" s="1"/>
  <c r="J34" i="11"/>
  <c r="J144" s="1"/>
  <c r="J154" s="1"/>
  <c r="H34"/>
  <c r="H144" s="1"/>
  <c r="G34"/>
  <c r="G144" s="1"/>
  <c r="G154" s="1"/>
  <c r="F34"/>
  <c r="F144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I34" s="1"/>
  <c r="I144" s="1"/>
  <c r="K151" i="10"/>
  <c r="G150"/>
  <c r="J140"/>
  <c r="I140"/>
  <c r="H140"/>
  <c r="G140"/>
  <c r="F140"/>
  <c r="K138"/>
  <c r="K137"/>
  <c r="K136"/>
  <c r="K135"/>
  <c r="K134"/>
  <c r="K133"/>
  <c r="J110"/>
  <c r="J150" s="1"/>
  <c r="H110"/>
  <c r="H150" s="1"/>
  <c r="G110"/>
  <c r="F110"/>
  <c r="F150" s="1"/>
  <c r="I108"/>
  <c r="K108" s="1"/>
  <c r="I107"/>
  <c r="K107" s="1"/>
  <c r="I106"/>
  <c r="K106" s="1"/>
  <c r="I105"/>
  <c r="K105" s="1"/>
  <c r="I104"/>
  <c r="I110" s="1"/>
  <c r="I150" s="1"/>
  <c r="K103"/>
  <c r="J99"/>
  <c r="J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1"/>
  <c r="K91" s="1"/>
  <c r="I90"/>
  <c r="K90" s="1"/>
  <c r="I89"/>
  <c r="K89" s="1"/>
  <c r="K88"/>
  <c r="K87"/>
  <c r="I87"/>
  <c r="K86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G154" s="1"/>
  <c r="F63"/>
  <c r="F146" s="1"/>
  <c r="K61"/>
  <c r="K60"/>
  <c r="K59"/>
  <c r="K58"/>
  <c r="K57"/>
  <c r="K56"/>
  <c r="K55"/>
  <c r="K54"/>
  <c r="K53"/>
  <c r="K63" s="1"/>
  <c r="K146" s="1"/>
  <c r="K52"/>
  <c r="J48"/>
  <c r="I48"/>
  <c r="H48"/>
  <c r="G48"/>
  <c r="F48"/>
  <c r="K46"/>
  <c r="K45"/>
  <c r="K44"/>
  <c r="K43"/>
  <c r="K42"/>
  <c r="K41"/>
  <c r="K40"/>
  <c r="K39"/>
  <c r="K38"/>
  <c r="J34"/>
  <c r="H34"/>
  <c r="G34"/>
  <c r="F34"/>
  <c r="I32"/>
  <c r="K32" s="1"/>
  <c r="K31"/>
  <c r="K30"/>
  <c r="K29"/>
  <c r="K28"/>
  <c r="I27"/>
  <c r="K27" s="1"/>
  <c r="I26"/>
  <c r="K26" s="1"/>
  <c r="I25"/>
  <c r="K25" s="1"/>
  <c r="I24"/>
  <c r="K24" s="1"/>
  <c r="I23"/>
  <c r="K23" s="1"/>
  <c r="K22"/>
  <c r="K21"/>
  <c r="I21"/>
  <c r="I34" s="1"/>
  <c r="I144" s="1"/>
  <c r="K20"/>
  <c r="K19"/>
  <c r="K18"/>
  <c r="J152" i="9"/>
  <c r="H152"/>
  <c r="F152"/>
  <c r="K151"/>
  <c r="G144"/>
  <c r="J140"/>
  <c r="I140"/>
  <c r="I152" s="1"/>
  <c r="H140"/>
  <c r="G140"/>
  <c r="G152" s="1"/>
  <c r="F140"/>
  <c r="K138"/>
  <c r="K137"/>
  <c r="K136"/>
  <c r="K135"/>
  <c r="K134"/>
  <c r="K140" s="1"/>
  <c r="K152" s="1"/>
  <c r="K133"/>
  <c r="J110"/>
  <c r="J150" s="1"/>
  <c r="I110"/>
  <c r="I150" s="1"/>
  <c r="H110"/>
  <c r="H150" s="1"/>
  <c r="G110"/>
  <c r="G150" s="1"/>
  <c r="F110"/>
  <c r="F150" s="1"/>
  <c r="K108"/>
  <c r="I108"/>
  <c r="K107"/>
  <c r="I107"/>
  <c r="K106"/>
  <c r="I106"/>
  <c r="K105"/>
  <c r="I105"/>
  <c r="K104"/>
  <c r="K110" s="1"/>
  <c r="K150" s="1"/>
  <c r="K103"/>
  <c r="J99"/>
  <c r="J149" s="1"/>
  <c r="H99"/>
  <c r="H149" s="1"/>
  <c r="G99"/>
  <c r="G149" s="1"/>
  <c r="F99"/>
  <c r="F149" s="1"/>
  <c r="K97"/>
  <c r="I97"/>
  <c r="K96"/>
  <c r="I96"/>
  <c r="K95"/>
  <c r="I95"/>
  <c r="K94"/>
  <c r="I94"/>
  <c r="K93"/>
  <c r="K92"/>
  <c r="K91"/>
  <c r="I90"/>
  <c r="K90" s="1"/>
  <c r="I89"/>
  <c r="K89" s="1"/>
  <c r="K88"/>
  <c r="K87"/>
  <c r="I87"/>
  <c r="K86"/>
  <c r="I86"/>
  <c r="J82"/>
  <c r="J148" s="1"/>
  <c r="I82"/>
  <c r="I148" s="1"/>
  <c r="H82"/>
  <c r="H148" s="1"/>
  <c r="G82"/>
  <c r="G148" s="1"/>
  <c r="F82"/>
  <c r="F148" s="1"/>
  <c r="K80"/>
  <c r="K79"/>
  <c r="K78"/>
  <c r="K82" s="1"/>
  <c r="K148" s="1"/>
  <c r="K77"/>
  <c r="J74"/>
  <c r="J147" s="1"/>
  <c r="I74"/>
  <c r="I147" s="1"/>
  <c r="H74"/>
  <c r="H147" s="1"/>
  <c r="G74"/>
  <c r="G147" s="1"/>
  <c r="F74"/>
  <c r="F147" s="1"/>
  <c r="K72"/>
  <c r="K71"/>
  <c r="K70"/>
  <c r="K69"/>
  <c r="K68"/>
  <c r="K74" s="1"/>
  <c r="K147" s="1"/>
  <c r="K67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63" s="1"/>
  <c r="K146" s="1"/>
  <c r="K52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J154" s="1"/>
  <c r="H34"/>
  <c r="H144" s="1"/>
  <c r="G34"/>
  <c r="F34"/>
  <c r="F144" s="1"/>
  <c r="I32"/>
  <c r="K32" s="1"/>
  <c r="I31"/>
  <c r="K31" s="1"/>
  <c r="I30"/>
  <c r="K30" s="1"/>
  <c r="I29"/>
  <c r="K29" s="1"/>
  <c r="I28"/>
  <c r="K28" s="1"/>
  <c r="I27"/>
  <c r="K27" s="1"/>
  <c r="K26"/>
  <c r="K25"/>
  <c r="I25"/>
  <c r="K24"/>
  <c r="I24"/>
  <c r="K23"/>
  <c r="K22"/>
  <c r="K21"/>
  <c r="I21"/>
  <c r="I34" s="1"/>
  <c r="I144" s="1"/>
  <c r="K20"/>
  <c r="K19"/>
  <c r="K18"/>
  <c r="K48" i="10"/>
  <c r="K145" s="1"/>
  <c r="J145"/>
  <c r="I145"/>
  <c r="H145"/>
  <c r="I152" i="8"/>
  <c r="G152"/>
  <c r="K151"/>
  <c r="J147"/>
  <c r="H147"/>
  <c r="F147"/>
  <c r="J146"/>
  <c r="H146"/>
  <c r="F146"/>
  <c r="J144"/>
  <c r="H144"/>
  <c r="F144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I88"/>
  <c r="K88" s="1"/>
  <c r="I87"/>
  <c r="K87" s="1"/>
  <c r="I86"/>
  <c r="I99" s="1"/>
  <c r="I149" s="1"/>
  <c r="J82"/>
  <c r="J148" s="1"/>
  <c r="H82"/>
  <c r="H148" s="1"/>
  <c r="G82"/>
  <c r="G148" s="1"/>
  <c r="F82"/>
  <c r="F148" s="1"/>
  <c r="K80"/>
  <c r="K79"/>
  <c r="I79"/>
  <c r="K78"/>
  <c r="K77"/>
  <c r="K82" s="1"/>
  <c r="K148" s="1"/>
  <c r="J74"/>
  <c r="I74"/>
  <c r="I147" s="1"/>
  <c r="H74"/>
  <c r="G74"/>
  <c r="G147" s="1"/>
  <c r="F74"/>
  <c r="K72"/>
  <c r="K71"/>
  <c r="K70"/>
  <c r="K69"/>
  <c r="K68"/>
  <c r="K74" s="1"/>
  <c r="K147" s="1"/>
  <c r="K67"/>
  <c r="J63"/>
  <c r="H63"/>
  <c r="G63"/>
  <c r="G146" s="1"/>
  <c r="F63"/>
  <c r="K61"/>
  <c r="K60"/>
  <c r="K59"/>
  <c r="K58"/>
  <c r="K57"/>
  <c r="K56"/>
  <c r="K55"/>
  <c r="I54"/>
  <c r="K54" s="1"/>
  <c r="I53"/>
  <c r="K53" s="1"/>
  <c r="I52"/>
  <c r="K52" s="1"/>
  <c r="K63" s="1"/>
  <c r="K146" s="1"/>
  <c r="J48"/>
  <c r="J145" s="1"/>
  <c r="H48"/>
  <c r="H145" s="1"/>
  <c r="G48"/>
  <c r="G145" s="1"/>
  <c r="F48"/>
  <c r="F145" s="1"/>
  <c r="K46"/>
  <c r="K45"/>
  <c r="K44"/>
  <c r="K43"/>
  <c r="I42"/>
  <c r="I22" i="52" s="1"/>
  <c r="K41" i="8"/>
  <c r="K40"/>
  <c r="I40"/>
  <c r="K39"/>
  <c r="K38"/>
  <c r="J34"/>
  <c r="I34"/>
  <c r="I144" s="1"/>
  <c r="H34"/>
  <c r="G34"/>
  <c r="G144" s="1"/>
  <c r="G154" s="1"/>
  <c r="F34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K34" s="1"/>
  <c r="K144" s="1"/>
  <c r="I18"/>
  <c r="G145" i="10"/>
  <c r="F145"/>
  <c r="J144"/>
  <c r="H144"/>
  <c r="G144"/>
  <c r="F144"/>
  <c r="K140"/>
  <c r="K152"/>
  <c r="J152"/>
  <c r="I152"/>
  <c r="H152"/>
  <c r="G152"/>
  <c r="F152"/>
  <c r="G152" i="7"/>
  <c r="K151"/>
  <c r="J148"/>
  <c r="F148"/>
  <c r="J140"/>
  <c r="J152" s="1"/>
  <c r="H140"/>
  <c r="H152" s="1"/>
  <c r="G140"/>
  <c r="F140"/>
  <c r="F152" s="1"/>
  <c r="K138"/>
  <c r="K137"/>
  <c r="K136"/>
  <c r="K135"/>
  <c r="K134"/>
  <c r="K133"/>
  <c r="K140" s="1"/>
  <c r="K152" s="1"/>
  <c r="I133"/>
  <c r="I71" i="52" s="1"/>
  <c r="K71" s="1"/>
  <c r="F123" i="7"/>
  <c r="C90" i="52" s="1"/>
  <c r="J110" i="7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K104" s="1"/>
  <c r="I103"/>
  <c r="I110" s="1"/>
  <c r="I150" s="1"/>
  <c r="J99"/>
  <c r="J149" s="1"/>
  <c r="H99"/>
  <c r="H149" s="1"/>
  <c r="G99"/>
  <c r="G149" s="1"/>
  <c r="F99"/>
  <c r="F149" s="1"/>
  <c r="I97"/>
  <c r="K97" s="1"/>
  <c r="I96"/>
  <c r="K96" s="1"/>
  <c r="I95"/>
  <c r="K95" s="1"/>
  <c r="I94"/>
  <c r="K94" s="1"/>
  <c r="I93"/>
  <c r="K93" s="1"/>
  <c r="I92"/>
  <c r="K92" s="1"/>
  <c r="I91"/>
  <c r="K91" s="1"/>
  <c r="I90"/>
  <c r="K90" s="1"/>
  <c r="I89"/>
  <c r="K89" s="1"/>
  <c r="K88"/>
  <c r="K87"/>
  <c r="I87"/>
  <c r="K86"/>
  <c r="I86"/>
  <c r="I99" s="1"/>
  <c r="I149" s="1"/>
  <c r="J82"/>
  <c r="I82"/>
  <c r="I148" s="1"/>
  <c r="G82"/>
  <c r="G148" s="1"/>
  <c r="F82"/>
  <c r="K80"/>
  <c r="K79"/>
  <c r="K78"/>
  <c r="H77"/>
  <c r="H38" i="52" s="1"/>
  <c r="J74" i="7"/>
  <c r="J147" s="1"/>
  <c r="I74"/>
  <c r="I147" s="1"/>
  <c r="H74"/>
  <c r="H147" s="1"/>
  <c r="G74"/>
  <c r="G147" s="1"/>
  <c r="F74"/>
  <c r="F147" s="1"/>
  <c r="K72"/>
  <c r="K71"/>
  <c r="K70"/>
  <c r="K69"/>
  <c r="K68"/>
  <c r="K67"/>
  <c r="K74" s="1"/>
  <c r="K147" s="1"/>
  <c r="J63"/>
  <c r="J146" s="1"/>
  <c r="I63"/>
  <c r="I146" s="1"/>
  <c r="H63"/>
  <c r="H146" s="1"/>
  <c r="G63"/>
  <c r="G146" s="1"/>
  <c r="F63"/>
  <c r="F146" s="1"/>
  <c r="K61"/>
  <c r="K60"/>
  <c r="K59"/>
  <c r="K58"/>
  <c r="K57"/>
  <c r="K56"/>
  <c r="K55"/>
  <c r="K54"/>
  <c r="K53"/>
  <c r="K52"/>
  <c r="K63" s="1"/>
  <c r="K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G34"/>
  <c r="G144" s="1"/>
  <c r="G154" s="1"/>
  <c r="F34"/>
  <c r="F144" s="1"/>
  <c r="K32"/>
  <c r="I32"/>
  <c r="K31"/>
  <c r="I31"/>
  <c r="K30"/>
  <c r="I30"/>
  <c r="K29"/>
  <c r="I29"/>
  <c r="K28"/>
  <c r="I28"/>
  <c r="K27"/>
  <c r="I27"/>
  <c r="K26"/>
  <c r="H26"/>
  <c r="H12" i="52" s="1"/>
  <c r="K25" i="7"/>
  <c r="I25"/>
  <c r="K24"/>
  <c r="I24"/>
  <c r="K23"/>
  <c r="I23"/>
  <c r="K22"/>
  <c r="I22"/>
  <c r="K21"/>
  <c r="I20"/>
  <c r="K20" s="1"/>
  <c r="I19"/>
  <c r="K19" s="1"/>
  <c r="H18"/>
  <c r="H34" s="1"/>
  <c r="H144" s="1"/>
  <c r="G18"/>
  <c r="G4" i="52" s="1"/>
  <c r="I152" i="5"/>
  <c r="G152"/>
  <c r="K151"/>
  <c r="J149"/>
  <c r="H149"/>
  <c r="F149"/>
  <c r="J148"/>
  <c r="H148"/>
  <c r="F148"/>
  <c r="J147"/>
  <c r="H147"/>
  <c r="F147"/>
  <c r="J146"/>
  <c r="H146"/>
  <c r="F146"/>
  <c r="J140"/>
  <c r="J152" s="1"/>
  <c r="I140"/>
  <c r="H140"/>
  <c r="H152" s="1"/>
  <c r="G140"/>
  <c r="F140"/>
  <c r="F152" s="1"/>
  <c r="K138"/>
  <c r="K137"/>
  <c r="K136"/>
  <c r="K135"/>
  <c r="K134"/>
  <c r="K133"/>
  <c r="K140" s="1"/>
  <c r="K152" s="1"/>
  <c r="J110"/>
  <c r="J150" s="1"/>
  <c r="H110"/>
  <c r="H150" s="1"/>
  <c r="G110"/>
  <c r="G150" s="1"/>
  <c r="F110"/>
  <c r="F150" s="1"/>
  <c r="I108"/>
  <c r="K108" s="1"/>
  <c r="I107"/>
  <c r="K107" s="1"/>
  <c r="I106"/>
  <c r="K106" s="1"/>
  <c r="I105"/>
  <c r="K105" s="1"/>
  <c r="I104"/>
  <c r="I103"/>
  <c r="I110" s="1"/>
  <c r="I150" s="1"/>
  <c r="H103"/>
  <c r="H61" i="52" s="1"/>
  <c r="J99" i="5"/>
  <c r="I99"/>
  <c r="I149" s="1"/>
  <c r="H99"/>
  <c r="G99"/>
  <c r="G149" s="1"/>
  <c r="F99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K99" s="1"/>
  <c r="K149" s="1"/>
  <c r="I86"/>
  <c r="J82"/>
  <c r="I82"/>
  <c r="I148" s="1"/>
  <c r="H82"/>
  <c r="G82"/>
  <c r="G148" s="1"/>
  <c r="F82"/>
  <c r="K80"/>
  <c r="K79"/>
  <c r="K78"/>
  <c r="K82" s="1"/>
  <c r="K148" s="1"/>
  <c r="K77"/>
  <c r="J74"/>
  <c r="I74"/>
  <c r="I147" s="1"/>
  <c r="H74"/>
  <c r="G74"/>
  <c r="G147" s="1"/>
  <c r="F74"/>
  <c r="K72"/>
  <c r="K71"/>
  <c r="K70"/>
  <c r="K69"/>
  <c r="K68"/>
  <c r="K74" s="1"/>
  <c r="K147" s="1"/>
  <c r="K67"/>
  <c r="J63"/>
  <c r="H63"/>
  <c r="G63"/>
  <c r="G146" s="1"/>
  <c r="F63"/>
  <c r="K61"/>
  <c r="K60"/>
  <c r="K59"/>
  <c r="K58"/>
  <c r="K57"/>
  <c r="I56"/>
  <c r="K56" s="1"/>
  <c r="K55"/>
  <c r="K54"/>
  <c r="I53"/>
  <c r="K53" s="1"/>
  <c r="I52"/>
  <c r="K52" s="1"/>
  <c r="K63" s="1"/>
  <c r="K146" s="1"/>
  <c r="J48"/>
  <c r="J145" s="1"/>
  <c r="I48"/>
  <c r="I145" s="1"/>
  <c r="H48"/>
  <c r="H145" s="1"/>
  <c r="G48"/>
  <c r="G145" s="1"/>
  <c r="F48"/>
  <c r="F145" s="1"/>
  <c r="K46"/>
  <c r="K45"/>
  <c r="K44"/>
  <c r="K43"/>
  <c r="K42"/>
  <c r="K41"/>
  <c r="K40"/>
  <c r="K39"/>
  <c r="K38"/>
  <c r="K48" s="1"/>
  <c r="K145" s="1"/>
  <c r="J34"/>
  <c r="J144" s="1"/>
  <c r="G34"/>
  <c r="G144" s="1"/>
  <c r="G154" s="1"/>
  <c r="F34"/>
  <c r="F144" s="1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I9" i="52" s="1"/>
  <c r="H22" i="5"/>
  <c r="H8" i="52" s="1"/>
  <c r="I21" i="5"/>
  <c r="K21" s="1"/>
  <c r="I20"/>
  <c r="K20" s="1"/>
  <c r="I19"/>
  <c r="K19" s="1"/>
  <c r="I18"/>
  <c r="H18"/>
  <c r="H4" i="52" s="1"/>
  <c r="K151" i="4"/>
  <c r="G150"/>
  <c r="J140"/>
  <c r="J152" s="1"/>
  <c r="I140"/>
  <c r="I152" s="1"/>
  <c r="H140"/>
  <c r="H152" s="1"/>
  <c r="H86" i="52" s="1"/>
  <c r="G140" i="4"/>
  <c r="G152" s="1"/>
  <c r="G86" i="52" s="1"/>
  <c r="F140" i="4"/>
  <c r="F152" s="1"/>
  <c r="F86" i="52" s="1"/>
  <c r="K138" i="4"/>
  <c r="K137"/>
  <c r="K136"/>
  <c r="K135"/>
  <c r="K134"/>
  <c r="K133"/>
  <c r="J110"/>
  <c r="J150" s="1"/>
  <c r="H110"/>
  <c r="H150" s="1"/>
  <c r="G110"/>
  <c r="F110"/>
  <c r="F150" s="1"/>
  <c r="I108"/>
  <c r="K108" s="1"/>
  <c r="I107"/>
  <c r="K107" s="1"/>
  <c r="I106"/>
  <c r="I105"/>
  <c r="K105" s="1"/>
  <c r="K104"/>
  <c r="K103"/>
  <c r="I103"/>
  <c r="J99"/>
  <c r="J149" s="1"/>
  <c r="I99"/>
  <c r="I149" s="1"/>
  <c r="H99"/>
  <c r="H149" s="1"/>
  <c r="G99"/>
  <c r="G149" s="1"/>
  <c r="F99"/>
  <c r="F149" s="1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I86"/>
  <c r="J82"/>
  <c r="J148" s="1"/>
  <c r="I82"/>
  <c r="I148" s="1"/>
  <c r="H82"/>
  <c r="H148" s="1"/>
  <c r="G82"/>
  <c r="G148" s="1"/>
  <c r="F82"/>
  <c r="F148" s="1"/>
  <c r="K80"/>
  <c r="K79"/>
  <c r="K78"/>
  <c r="L39" i="52" s="1"/>
  <c r="K77" i="4"/>
  <c r="J74"/>
  <c r="J147" s="1"/>
  <c r="I74"/>
  <c r="I147" s="1"/>
  <c r="H74"/>
  <c r="H147" s="1"/>
  <c r="G74"/>
  <c r="G147" s="1"/>
  <c r="F74"/>
  <c r="F147" s="1"/>
  <c r="F81" i="52" s="1"/>
  <c r="K72" i="4"/>
  <c r="K71"/>
  <c r="K70"/>
  <c r="K69"/>
  <c r="K68"/>
  <c r="L32" i="52" s="1"/>
  <c r="K67" i="4"/>
  <c r="J63"/>
  <c r="I63"/>
  <c r="H63"/>
  <c r="G63"/>
  <c r="F63"/>
  <c r="K61"/>
  <c r="K60"/>
  <c r="K59"/>
  <c r="K58"/>
  <c r="K57"/>
  <c r="K56"/>
  <c r="K55"/>
  <c r="K54"/>
  <c r="K53"/>
  <c r="K63" s="1"/>
  <c r="K52"/>
  <c r="J48"/>
  <c r="I48"/>
  <c r="H48"/>
  <c r="G48"/>
  <c r="F48"/>
  <c r="K46"/>
  <c r="K45"/>
  <c r="K44"/>
  <c r="K43"/>
  <c r="K42"/>
  <c r="K41"/>
  <c r="K40"/>
  <c r="K39"/>
  <c r="K38"/>
  <c r="J34"/>
  <c r="H34"/>
  <c r="G34"/>
  <c r="F34"/>
  <c r="K32"/>
  <c r="I32"/>
  <c r="K31"/>
  <c r="I31"/>
  <c r="K30"/>
  <c r="I30"/>
  <c r="K29"/>
  <c r="I29"/>
  <c r="I13" i="52" s="1"/>
  <c r="K28" i="4"/>
  <c r="I27"/>
  <c r="K27" s="1"/>
  <c r="K26"/>
  <c r="K25"/>
  <c r="I25"/>
  <c r="I11" i="52" s="1"/>
  <c r="K24" i="4"/>
  <c r="I24"/>
  <c r="I10" i="52" s="1"/>
  <c r="K23" i="4"/>
  <c r="K22"/>
  <c r="K21"/>
  <c r="I21"/>
  <c r="K20"/>
  <c r="I20"/>
  <c r="I6" i="52" s="1"/>
  <c r="I19" i="4"/>
  <c r="I34" s="1"/>
  <c r="I144" s="1"/>
  <c r="K18"/>
  <c r="H75" i="52"/>
  <c r="G75"/>
  <c r="F75"/>
  <c r="M73"/>
  <c r="M71"/>
  <c r="F65"/>
  <c r="H58"/>
  <c r="G58"/>
  <c r="F58"/>
  <c r="H44"/>
  <c r="G44"/>
  <c r="F44"/>
  <c r="I35"/>
  <c r="H35"/>
  <c r="G35"/>
  <c r="F35"/>
  <c r="H25"/>
  <c r="G25"/>
  <c r="F25"/>
  <c r="H15"/>
  <c r="G15"/>
  <c r="K48" i="4"/>
  <c r="K145" s="1"/>
  <c r="J145"/>
  <c r="I145"/>
  <c r="H145"/>
  <c r="G145"/>
  <c r="F145"/>
  <c r="J144"/>
  <c r="H144"/>
  <c r="G144"/>
  <c r="F144"/>
  <c r="K140"/>
  <c r="K152" s="1"/>
  <c r="F13" i="52"/>
  <c r="F12"/>
  <c r="F11"/>
  <c r="F10"/>
  <c r="F9"/>
  <c r="F8"/>
  <c r="F7"/>
  <c r="F6"/>
  <c r="F5"/>
  <c r="F4"/>
  <c r="F34" i="30"/>
  <c r="K32"/>
  <c r="K34" s="1"/>
  <c r="K144" s="1"/>
  <c r="J34"/>
  <c r="I34"/>
  <c r="H34"/>
  <c r="G34"/>
  <c r="J144"/>
  <c r="I144"/>
  <c r="H144"/>
  <c r="G144"/>
  <c r="F144"/>
  <c r="K140"/>
  <c r="K152" s="1"/>
  <c r="J152"/>
  <c r="G48"/>
  <c r="G145"/>
  <c r="F48"/>
  <c r="F145"/>
  <c r="H48"/>
  <c r="H145"/>
  <c r="J48"/>
  <c r="J145"/>
  <c r="I48"/>
  <c r="I145"/>
  <c r="K46"/>
  <c r="K48"/>
  <c r="K145" s="1"/>
  <c r="I63"/>
  <c r="I146" s="1"/>
  <c r="H63"/>
  <c r="H146" s="1"/>
  <c r="G63"/>
  <c r="G146" s="1"/>
  <c r="G154" s="1"/>
  <c r="K61"/>
  <c r="K63" s="1"/>
  <c r="K146" s="1"/>
  <c r="J63"/>
  <c r="J146"/>
  <c r="F63"/>
  <c r="F146"/>
  <c r="G74"/>
  <c r="G147"/>
  <c r="K72"/>
  <c r="K74"/>
  <c r="K147" s="1"/>
  <c r="J74"/>
  <c r="J147" s="1"/>
  <c r="I74"/>
  <c r="I147" s="1"/>
  <c r="H74"/>
  <c r="H147" s="1"/>
  <c r="F74"/>
  <c r="F147" s="1"/>
  <c r="I82"/>
  <c r="I148" s="1"/>
  <c r="H82"/>
  <c r="H148" s="1"/>
  <c r="F82"/>
  <c r="F148" s="1"/>
  <c r="J82"/>
  <c r="J148" s="1"/>
  <c r="K80"/>
  <c r="K82" s="1"/>
  <c r="K148" s="1"/>
  <c r="G82"/>
  <c r="G148"/>
  <c r="H99"/>
  <c r="H149"/>
  <c r="G99"/>
  <c r="G149"/>
  <c r="F99"/>
  <c r="F149"/>
  <c r="K97"/>
  <c r="K99"/>
  <c r="K149" s="1"/>
  <c r="J99"/>
  <c r="J149" s="1"/>
  <c r="I99"/>
  <c r="I149" s="1"/>
  <c r="I110"/>
  <c r="I150" s="1"/>
  <c r="H110"/>
  <c r="H150"/>
  <c r="K108"/>
  <c r="K110"/>
  <c r="K150" s="1"/>
  <c r="J110"/>
  <c r="J150" s="1"/>
  <c r="G110"/>
  <c r="G150" s="1"/>
  <c r="F110"/>
  <c r="F150"/>
  <c r="F34" i="31"/>
  <c r="K32"/>
  <c r="K34" s="1"/>
  <c r="K144" s="1"/>
  <c r="J34"/>
  <c r="J144" s="1"/>
  <c r="I34"/>
  <c r="H34"/>
  <c r="H144" s="1"/>
  <c r="G34"/>
  <c r="I144"/>
  <c r="G144"/>
  <c r="F144"/>
  <c r="K140"/>
  <c r="K152" s="1"/>
  <c r="J152"/>
  <c r="I152"/>
  <c r="H152"/>
  <c r="G152"/>
  <c r="F152"/>
  <c r="K151"/>
  <c r="I147"/>
  <c r="H147"/>
  <c r="G147"/>
  <c r="F147"/>
  <c r="I48"/>
  <c r="I145" s="1"/>
  <c r="H48"/>
  <c r="F48"/>
  <c r="F145"/>
  <c r="K46"/>
  <c r="H145"/>
  <c r="G48"/>
  <c r="J48"/>
  <c r="J145" s="1"/>
  <c r="G145"/>
  <c r="K48"/>
  <c r="K145"/>
  <c r="I63"/>
  <c r="I146"/>
  <c r="K61"/>
  <c r="K63"/>
  <c r="K146" s="1"/>
  <c r="J63"/>
  <c r="J146" s="1"/>
  <c r="G63"/>
  <c r="G146" s="1"/>
  <c r="F63"/>
  <c r="F146" s="1"/>
  <c r="H63"/>
  <c r="H146" s="1"/>
  <c r="H82"/>
  <c r="H148" s="1"/>
  <c r="G82"/>
  <c r="G148" s="1"/>
  <c r="K80"/>
  <c r="K82" s="1"/>
  <c r="K148" s="1"/>
  <c r="I82"/>
  <c r="I148"/>
  <c r="F82"/>
  <c r="F148"/>
  <c r="J82"/>
  <c r="J148"/>
  <c r="F99"/>
  <c r="F149"/>
  <c r="K97"/>
  <c r="K99"/>
  <c r="K149" s="1"/>
  <c r="G99"/>
  <c r="G149" s="1"/>
  <c r="H99"/>
  <c r="H149" s="1"/>
  <c r="J99"/>
  <c r="J149" s="1"/>
  <c r="I99"/>
  <c r="I149" s="1"/>
  <c r="I110"/>
  <c r="I150" s="1"/>
  <c r="H110"/>
  <c r="H150"/>
  <c r="K108"/>
  <c r="K110" s="1"/>
  <c r="K150" s="1"/>
  <c r="F110"/>
  <c r="F150"/>
  <c r="G110"/>
  <c r="J110"/>
  <c r="J150"/>
  <c r="G150"/>
  <c r="J154" i="21"/>
  <c r="I88"/>
  <c r="K88" s="1"/>
  <c r="K99" s="1"/>
  <c r="K149" s="1"/>
  <c r="I103"/>
  <c r="K103"/>
  <c r="K110" s="1"/>
  <c r="K150" s="1"/>
  <c r="I110"/>
  <c r="I150"/>
  <c r="J154" i="23"/>
  <c r="I154"/>
  <c r="H154"/>
  <c r="H154" i="25"/>
  <c r="K148"/>
  <c r="I108"/>
  <c r="K108" s="1"/>
  <c r="K110" s="1"/>
  <c r="K150" s="1"/>
  <c r="J148"/>
  <c r="I148"/>
  <c r="I149"/>
  <c r="I110"/>
  <c r="I150" s="1"/>
  <c r="H148"/>
  <c r="G148"/>
  <c r="F148"/>
  <c r="K147"/>
  <c r="J147"/>
  <c r="I147"/>
  <c r="H147"/>
  <c r="G147"/>
  <c r="F147"/>
  <c r="K146"/>
  <c r="J146"/>
  <c r="J154" s="1"/>
  <c r="I146"/>
  <c r="H146"/>
  <c r="G146"/>
  <c r="G154" s="1"/>
  <c r="F146"/>
  <c r="J150"/>
  <c r="H150"/>
  <c r="G150"/>
  <c r="F150"/>
  <c r="J149"/>
  <c r="H149"/>
  <c r="G149"/>
  <c r="F149"/>
  <c r="J154" i="27"/>
  <c r="I154"/>
  <c r="H154"/>
  <c r="I21" i="34"/>
  <c r="K21" s="1"/>
  <c r="K34" s="1"/>
  <c r="K144" s="1"/>
  <c r="K154" i="32"/>
  <c r="F157" s="1"/>
  <c r="F156"/>
  <c r="I40" i="38"/>
  <c r="K40"/>
  <c r="K48" s="1"/>
  <c r="K145" s="1"/>
  <c r="I41"/>
  <c r="K41"/>
  <c r="I48"/>
  <c r="I145"/>
  <c r="I54"/>
  <c r="K54"/>
  <c r="K63" s="1"/>
  <c r="K146" s="1"/>
  <c r="I56"/>
  <c r="K56"/>
  <c r="I63"/>
  <c r="I146"/>
  <c r="I77"/>
  <c r="K77"/>
  <c r="K82" s="1"/>
  <c r="K148" s="1"/>
  <c r="I79"/>
  <c r="K79"/>
  <c r="I82"/>
  <c r="I148"/>
  <c r="I87"/>
  <c r="I89"/>
  <c r="I99" s="1"/>
  <c r="I149" s="1"/>
  <c r="I92"/>
  <c r="I93"/>
  <c r="K87"/>
  <c r="K89"/>
  <c r="K99" s="1"/>
  <c r="K149" s="1"/>
  <c r="K92"/>
  <c r="K93"/>
  <c r="I103"/>
  <c r="K103"/>
  <c r="K110" s="1"/>
  <c r="K150" s="1"/>
  <c r="I106"/>
  <c r="K106"/>
  <c r="I110"/>
  <c r="I150"/>
  <c r="I103" i="46"/>
  <c r="K103" s="1"/>
  <c r="K110" s="1"/>
  <c r="K150" s="1"/>
  <c r="H150"/>
  <c r="H154" s="1"/>
  <c r="G154"/>
  <c r="I110"/>
  <c r="I150" s="1"/>
  <c r="I18"/>
  <c r="K18" s="1"/>
  <c r="K34" s="1"/>
  <c r="K144" s="1"/>
  <c r="I19"/>
  <c r="I134"/>
  <c r="I140"/>
  <c r="I152" s="1"/>
  <c r="K19"/>
  <c r="K134"/>
  <c r="K140"/>
  <c r="K152" s="1"/>
  <c r="H152"/>
  <c r="F34" i="33"/>
  <c r="K32"/>
  <c r="K34"/>
  <c r="K144" s="1"/>
  <c r="J34"/>
  <c r="I34"/>
  <c r="I144" s="1"/>
  <c r="H34"/>
  <c r="G34"/>
  <c r="G144" s="1"/>
  <c r="J144"/>
  <c r="J154" s="1"/>
  <c r="H144"/>
  <c r="F144"/>
  <c r="K140"/>
  <c r="K152"/>
  <c r="J152"/>
  <c r="I152"/>
  <c r="H152"/>
  <c r="G152"/>
  <c r="F152"/>
  <c r="K151"/>
  <c r="G48"/>
  <c r="G145"/>
  <c r="F48"/>
  <c r="K46"/>
  <c r="K48" s="1"/>
  <c r="K145" s="1"/>
  <c r="J48"/>
  <c r="F145"/>
  <c r="H48"/>
  <c r="H145"/>
  <c r="H154" s="1"/>
  <c r="J145"/>
  <c r="I48"/>
  <c r="I145" s="1"/>
  <c r="F63"/>
  <c r="F146" s="1"/>
  <c r="I63"/>
  <c r="I146" s="1"/>
  <c r="K61"/>
  <c r="K63" s="1"/>
  <c r="K146" s="1"/>
  <c r="H63"/>
  <c r="H146"/>
  <c r="G63"/>
  <c r="J63"/>
  <c r="J146" s="1"/>
  <c r="G146"/>
  <c r="J74"/>
  <c r="J147"/>
  <c r="H74"/>
  <c r="H147"/>
  <c r="F74"/>
  <c r="F147"/>
  <c r="K72"/>
  <c r="G74"/>
  <c r="G147" s="1"/>
  <c r="I74"/>
  <c r="K74"/>
  <c r="K147"/>
  <c r="I147"/>
  <c r="I82"/>
  <c r="I148" s="1"/>
  <c r="K80"/>
  <c r="K82" s="1"/>
  <c r="K148" s="1"/>
  <c r="G82"/>
  <c r="G148"/>
  <c r="H82"/>
  <c r="H148"/>
  <c r="F82"/>
  <c r="F148"/>
  <c r="J82"/>
  <c r="J148"/>
  <c r="H99"/>
  <c r="H149"/>
  <c r="K97"/>
  <c r="K99"/>
  <c r="K149" s="1"/>
  <c r="I99"/>
  <c r="I149" s="1"/>
  <c r="F99"/>
  <c r="F149" s="1"/>
  <c r="G99"/>
  <c r="G149" s="1"/>
  <c r="J99"/>
  <c r="J149"/>
  <c r="F110"/>
  <c r="F150" s="1"/>
  <c r="J110"/>
  <c r="J150"/>
  <c r="I110"/>
  <c r="I150" s="1"/>
  <c r="K108"/>
  <c r="H110"/>
  <c r="H150" s="1"/>
  <c r="G110"/>
  <c r="G150" s="1"/>
  <c r="K110"/>
  <c r="K150"/>
  <c r="I90" i="50"/>
  <c r="K90"/>
  <c r="K99" s="1"/>
  <c r="K149" s="1"/>
  <c r="I99"/>
  <c r="I149" s="1"/>
  <c r="I154" s="1"/>
  <c r="F15" i="52" l="1"/>
  <c r="J35"/>
  <c r="K146" i="4"/>
  <c r="I154" i="31"/>
  <c r="H154"/>
  <c r="J154" i="30"/>
  <c r="I154"/>
  <c r="K154"/>
  <c r="F154" i="33"/>
  <c r="G154"/>
  <c r="I154"/>
  <c r="K154"/>
  <c r="K154" i="21"/>
  <c r="F154" i="31"/>
  <c r="G154"/>
  <c r="H154" i="30"/>
  <c r="F154"/>
  <c r="G81" i="52"/>
  <c r="J82"/>
  <c r="J84"/>
  <c r="F154" i="5"/>
  <c r="J154"/>
  <c r="F154" i="7"/>
  <c r="J154"/>
  <c r="K99"/>
  <c r="K149" s="1"/>
  <c r="F154" i="8"/>
  <c r="J154"/>
  <c r="K34" i="9"/>
  <c r="K144" s="1"/>
  <c r="F154"/>
  <c r="H154"/>
  <c r="K99"/>
  <c r="K149" s="1"/>
  <c r="K34" i="10"/>
  <c r="K144" s="1"/>
  <c r="F154"/>
  <c r="H154"/>
  <c r="J154"/>
  <c r="K99"/>
  <c r="K149" s="1"/>
  <c r="F154" i="11"/>
  <c r="H154"/>
  <c r="J154" i="12"/>
  <c r="F156"/>
  <c r="F157"/>
  <c r="I154" i="38"/>
  <c r="H81" i="52"/>
  <c r="G82"/>
  <c r="J83"/>
  <c r="F84"/>
  <c r="H154" i="8"/>
  <c r="G154" i="9"/>
  <c r="I34" i="14"/>
  <c r="I144" s="1"/>
  <c r="I154" s="1"/>
  <c r="K18"/>
  <c r="K34" s="1"/>
  <c r="K144" s="1"/>
  <c r="K154" s="1"/>
  <c r="F156" i="29"/>
  <c r="F157"/>
  <c r="I34" i="46"/>
  <c r="I144" s="1"/>
  <c r="I34" i="34"/>
  <c r="I144" s="1"/>
  <c r="F154" i="25"/>
  <c r="I99" i="21"/>
  <c r="I149" s="1"/>
  <c r="I154" s="1"/>
  <c r="G79" i="52"/>
  <c r="K19" i="4"/>
  <c r="L5" i="52" s="1"/>
  <c r="L6"/>
  <c r="L9"/>
  <c r="L11"/>
  <c r="L13"/>
  <c r="K34" i="4"/>
  <c r="K144" s="1"/>
  <c r="G28" i="52"/>
  <c r="L33"/>
  <c r="K74" i="4"/>
  <c r="K147" s="1"/>
  <c r="K82"/>
  <c r="K148" s="1"/>
  <c r="K99"/>
  <c r="K149" s="1"/>
  <c r="G146"/>
  <c r="G80" i="52" s="1"/>
  <c r="I146" i="4"/>
  <c r="G84" i="52"/>
  <c r="I63" i="5"/>
  <c r="I146" s="1"/>
  <c r="I34" i="7"/>
  <c r="I144" s="1"/>
  <c r="I63" i="8"/>
  <c r="I146" s="1"/>
  <c r="I99" i="9"/>
  <c r="I149" s="1"/>
  <c r="I99" i="10"/>
  <c r="I149" s="1"/>
  <c r="I154" s="1"/>
  <c r="I38" i="52"/>
  <c r="K38" s="1"/>
  <c r="K18" i="13"/>
  <c r="K34" s="1"/>
  <c r="K144" s="1"/>
  <c r="K40"/>
  <c r="K48" s="1"/>
  <c r="K145" s="1"/>
  <c r="K52"/>
  <c r="K63" s="1"/>
  <c r="K146" s="1"/>
  <c r="K86"/>
  <c r="K99" s="1"/>
  <c r="K149" s="1"/>
  <c r="K103"/>
  <c r="K110" s="1"/>
  <c r="K150" s="1"/>
  <c r="G154" i="14"/>
  <c r="G154" i="18"/>
  <c r="M85" i="52"/>
  <c r="K85"/>
  <c r="L85" s="1"/>
  <c r="H65"/>
  <c r="F78"/>
  <c r="I5"/>
  <c r="F28"/>
  <c r="J28"/>
  <c r="K106" i="4"/>
  <c r="I110"/>
  <c r="I150" s="1"/>
  <c r="K110"/>
  <c r="K150" s="1"/>
  <c r="F146"/>
  <c r="F80" i="52" s="1"/>
  <c r="H146" i="4"/>
  <c r="H154" s="1"/>
  <c r="J146"/>
  <c r="J80" i="52" s="1"/>
  <c r="G154" i="4"/>
  <c r="K18" i="5"/>
  <c r="I22"/>
  <c r="I8" i="52" s="1"/>
  <c r="K8" s="1"/>
  <c r="M8" s="1"/>
  <c r="H34" i="5"/>
  <c r="H144" s="1"/>
  <c r="H154" s="1"/>
  <c r="K103"/>
  <c r="K104"/>
  <c r="L62" i="52" s="1"/>
  <c r="K18" i="7"/>
  <c r="K34" s="1"/>
  <c r="K144" s="1"/>
  <c r="K77"/>
  <c r="K82" s="1"/>
  <c r="K148" s="1"/>
  <c r="H82"/>
  <c r="H148" s="1"/>
  <c r="H82" i="52" s="1"/>
  <c r="K103" i="7"/>
  <c r="K110" s="1"/>
  <c r="K150" s="1"/>
  <c r="F125"/>
  <c r="F129" s="1"/>
  <c r="I140"/>
  <c r="I152" s="1"/>
  <c r="I86" i="52" s="1"/>
  <c r="K42" i="8"/>
  <c r="K48" s="1"/>
  <c r="K145" s="1"/>
  <c r="I48"/>
  <c r="I145" s="1"/>
  <c r="I154" s="1"/>
  <c r="I40" i="52"/>
  <c r="I82" i="8"/>
  <c r="I148" s="1"/>
  <c r="I82" i="52" s="1"/>
  <c r="K86" i="8"/>
  <c r="K99" s="1"/>
  <c r="K149" s="1"/>
  <c r="K103"/>
  <c r="K110" s="1"/>
  <c r="K150" s="1"/>
  <c r="K104" i="10"/>
  <c r="K110" s="1"/>
  <c r="K150" s="1"/>
  <c r="K18" i="11"/>
  <c r="K34" s="1"/>
  <c r="K144" s="1"/>
  <c r="K38"/>
  <c r="L18" i="52" s="1"/>
  <c r="K39" i="11"/>
  <c r="L19" i="52" s="1"/>
  <c r="K41" i="11"/>
  <c r="K44"/>
  <c r="L23" i="52" s="1"/>
  <c r="I48" i="11"/>
  <c r="I145" s="1"/>
  <c r="I154" s="1"/>
  <c r="K52"/>
  <c r="K63" s="1"/>
  <c r="K146" s="1"/>
  <c r="K34" i="40"/>
  <c r="K144" s="1"/>
  <c r="F129"/>
  <c r="G154" i="39"/>
  <c r="I99" i="17"/>
  <c r="I149" s="1"/>
  <c r="I154" s="1"/>
  <c r="H63" i="40"/>
  <c r="H146" s="1"/>
  <c r="K40" i="52"/>
  <c r="M40" s="1"/>
  <c r="J15"/>
  <c r="H34" i="39"/>
  <c r="H144" s="1"/>
  <c r="J34"/>
  <c r="J144" s="1"/>
  <c r="K22" i="52"/>
  <c r="M22" s="1"/>
  <c r="H48" i="39"/>
  <c r="H145" s="1"/>
  <c r="J48"/>
  <c r="J145" s="1"/>
  <c r="J79" i="52" s="1"/>
  <c r="K53" i="39"/>
  <c r="I54"/>
  <c r="I63" s="1"/>
  <c r="I146" s="1"/>
  <c r="K86"/>
  <c r="I92"/>
  <c r="I99" s="1"/>
  <c r="I149" s="1"/>
  <c r="G99"/>
  <c r="G149" s="1"/>
  <c r="G83" i="52" s="1"/>
  <c r="K103" i="39"/>
  <c r="K110" s="1"/>
  <c r="K150" s="1"/>
  <c r="J140"/>
  <c r="J152" s="1"/>
  <c r="J86" i="52" s="1"/>
  <c r="K18" i="15"/>
  <c r="K34" s="1"/>
  <c r="K144" s="1"/>
  <c r="K52"/>
  <c r="K63" s="1"/>
  <c r="K146" s="1"/>
  <c r="K86"/>
  <c r="K99" s="1"/>
  <c r="K149" s="1"/>
  <c r="K103"/>
  <c r="K110" s="1"/>
  <c r="K150" s="1"/>
  <c r="K86" i="16"/>
  <c r="K99" s="1"/>
  <c r="K149" s="1"/>
  <c r="K154" s="1"/>
  <c r="K103"/>
  <c r="K110" s="1"/>
  <c r="K150" s="1"/>
  <c r="K79" i="17"/>
  <c r="K82" s="1"/>
  <c r="K148" s="1"/>
  <c r="K154" s="1"/>
  <c r="K87"/>
  <c r="K99" s="1"/>
  <c r="K149" s="1"/>
  <c r="K91"/>
  <c r="I93"/>
  <c r="H99"/>
  <c r="H149" s="1"/>
  <c r="H154" s="1"/>
  <c r="K55" i="18"/>
  <c r="K63" s="1"/>
  <c r="K146" s="1"/>
  <c r="K86"/>
  <c r="I89"/>
  <c r="K89" s="1"/>
  <c r="I90"/>
  <c r="K90" s="1"/>
  <c r="I103"/>
  <c r="K103" s="1"/>
  <c r="K110" s="1"/>
  <c r="K150" s="1"/>
  <c r="I104"/>
  <c r="K104" s="1"/>
  <c r="I105"/>
  <c r="K105" s="1"/>
  <c r="I106"/>
  <c r="K106" s="1"/>
  <c r="I107"/>
  <c r="K107" s="1"/>
  <c r="H110"/>
  <c r="H150" s="1"/>
  <c r="H154" s="1"/>
  <c r="K67" i="31"/>
  <c r="K74" s="1"/>
  <c r="K147" s="1"/>
  <c r="K154" s="1"/>
  <c r="K31" i="52"/>
  <c r="K32"/>
  <c r="M32" s="1"/>
  <c r="K33"/>
  <c r="M33" s="1"/>
  <c r="K80" i="20"/>
  <c r="L41" i="52" s="1"/>
  <c r="K86" i="20"/>
  <c r="K99" s="1"/>
  <c r="K149" s="1"/>
  <c r="K103"/>
  <c r="K110" s="1"/>
  <c r="K150" s="1"/>
  <c r="F154" i="21"/>
  <c r="K34" i="25"/>
  <c r="K144" s="1"/>
  <c r="K154" s="1"/>
  <c r="K99"/>
  <c r="K149" s="1"/>
  <c r="J154" i="26"/>
  <c r="G154"/>
  <c r="G154" i="27"/>
  <c r="K63"/>
  <c r="K146" s="1"/>
  <c r="K154" s="1"/>
  <c r="G154" i="28"/>
  <c r="I154"/>
  <c r="H154"/>
  <c r="F154" i="34"/>
  <c r="H154"/>
  <c r="J154"/>
  <c r="K99"/>
  <c r="K149" s="1"/>
  <c r="K154" s="1"/>
  <c r="H154" i="32"/>
  <c r="I154" i="35"/>
  <c r="G154"/>
  <c r="J154"/>
  <c r="F154" i="36"/>
  <c r="H154"/>
  <c r="K5" i="52"/>
  <c r="M5" s="1"/>
  <c r="G34" i="40"/>
  <c r="G144" s="1"/>
  <c r="G154" s="1"/>
  <c r="I40"/>
  <c r="I48" s="1"/>
  <c r="I145" s="1"/>
  <c r="F48"/>
  <c r="F145" s="1"/>
  <c r="F154" s="1"/>
  <c r="H48"/>
  <c r="H145" s="1"/>
  <c r="H79" i="52" s="1"/>
  <c r="K79" i="40"/>
  <c r="L40" i="52" s="1"/>
  <c r="F82" i="40"/>
  <c r="F148" s="1"/>
  <c r="F82" i="52" s="1"/>
  <c r="H82" i="40"/>
  <c r="H148" s="1"/>
  <c r="I86"/>
  <c r="I48" i="52" s="1"/>
  <c r="I87" i="40"/>
  <c r="K87" s="1"/>
  <c r="L49" i="52" s="1"/>
  <c r="I88" i="40"/>
  <c r="K88" s="1"/>
  <c r="L50" i="52" s="1"/>
  <c r="I89" i="40"/>
  <c r="K89" s="1"/>
  <c r="L51" i="52" s="1"/>
  <c r="I90" i="40"/>
  <c r="K90" s="1"/>
  <c r="L52" i="52" s="1"/>
  <c r="I91" i="40"/>
  <c r="K91" s="1"/>
  <c r="L53" i="52" s="1"/>
  <c r="I92" i="40"/>
  <c r="I54" i="52" s="1"/>
  <c r="K54" s="1"/>
  <c r="M54" s="1"/>
  <c r="I93" i="40"/>
  <c r="K93" s="1"/>
  <c r="L55" i="52" s="1"/>
  <c r="I94" i="40"/>
  <c r="K94" s="1"/>
  <c r="I95"/>
  <c r="K95" s="1"/>
  <c r="L56" i="52" s="1"/>
  <c r="I96" i="40"/>
  <c r="K96" s="1"/>
  <c r="I97"/>
  <c r="K97" s="1"/>
  <c r="F99"/>
  <c r="F149" s="1"/>
  <c r="F83" i="52" s="1"/>
  <c r="H99" i="40"/>
  <c r="H149" s="1"/>
  <c r="H83" i="52" s="1"/>
  <c r="I103" i="40"/>
  <c r="I104"/>
  <c r="K104" s="1"/>
  <c r="I105"/>
  <c r="K105" s="1"/>
  <c r="I106"/>
  <c r="K106" s="1"/>
  <c r="I107"/>
  <c r="K107" s="1"/>
  <c r="I18" i="39"/>
  <c r="I34" s="1"/>
  <c r="I144" s="1"/>
  <c r="I21"/>
  <c r="I7" i="52" s="1"/>
  <c r="K7" s="1"/>
  <c r="M7" s="1"/>
  <c r="K21" i="39"/>
  <c r="L7" i="52" s="1"/>
  <c r="I26" i="39"/>
  <c r="K26" s="1"/>
  <c r="L12" i="52" s="1"/>
  <c r="K38" i="39"/>
  <c r="I40"/>
  <c r="K40" s="1"/>
  <c r="I41"/>
  <c r="K41" s="1"/>
  <c r="K92"/>
  <c r="I72" i="52"/>
  <c r="K134" i="39"/>
  <c r="K140" s="1"/>
  <c r="K152" s="1"/>
  <c r="I140"/>
  <c r="I152" s="1"/>
  <c r="K93" i="17"/>
  <c r="G99"/>
  <c r="G149" s="1"/>
  <c r="G154" s="1"/>
  <c r="J74" i="31"/>
  <c r="J147" s="1"/>
  <c r="J81" i="52" s="1"/>
  <c r="K18" i="19"/>
  <c r="K34" s="1"/>
  <c r="K144" s="1"/>
  <c r="K154" s="1"/>
  <c r="K18" i="20"/>
  <c r="K34" s="1"/>
  <c r="K144" s="1"/>
  <c r="K38"/>
  <c r="K48" s="1"/>
  <c r="K145" s="1"/>
  <c r="K52"/>
  <c r="K63" s="1"/>
  <c r="K146" s="1"/>
  <c r="K67"/>
  <c r="K74" s="1"/>
  <c r="K147" s="1"/>
  <c r="I74"/>
  <c r="I147" s="1"/>
  <c r="I81" i="52" s="1"/>
  <c r="G154" i="21"/>
  <c r="K34" i="23"/>
  <c r="K144" s="1"/>
  <c r="I154" i="24"/>
  <c r="J154" i="28"/>
  <c r="I154" i="36"/>
  <c r="I154" i="37"/>
  <c r="I99"/>
  <c r="I149" s="1"/>
  <c r="K86"/>
  <c r="K99" s="1"/>
  <c r="K149" s="1"/>
  <c r="K154" s="1"/>
  <c r="I110"/>
  <c r="I150" s="1"/>
  <c r="K103"/>
  <c r="K110" s="1"/>
  <c r="K150" s="1"/>
  <c r="F156" i="41"/>
  <c r="F157"/>
  <c r="I63" i="26"/>
  <c r="I146" s="1"/>
  <c r="I154" s="1"/>
  <c r="I63" i="34"/>
  <c r="I146" s="1"/>
  <c r="I82"/>
  <c r="I148" s="1"/>
  <c r="I99"/>
  <c r="I149" s="1"/>
  <c r="I74" i="36"/>
  <c r="I147" s="1"/>
  <c r="K18" i="38"/>
  <c r="K34" s="1"/>
  <c r="K144" s="1"/>
  <c r="K154" s="1"/>
  <c r="I154" i="41"/>
  <c r="J154" i="43"/>
  <c r="G154"/>
  <c r="H154" i="44"/>
  <c r="J154"/>
  <c r="K99" i="47"/>
  <c r="K149" s="1"/>
  <c r="K86" i="23"/>
  <c r="K99" s="1"/>
  <c r="K149" s="1"/>
  <c r="K103"/>
  <c r="K110" s="1"/>
  <c r="K150" s="1"/>
  <c r="K136"/>
  <c r="L73" i="52" s="1"/>
  <c r="I99" i="24"/>
  <c r="I149" s="1"/>
  <c r="K103"/>
  <c r="K110" s="1"/>
  <c r="K150" s="1"/>
  <c r="K154" s="1"/>
  <c r="I34" i="25"/>
  <c r="I144" s="1"/>
  <c r="I154" s="1"/>
  <c r="K18" i="26"/>
  <c r="K34" s="1"/>
  <c r="K144" s="1"/>
  <c r="K154" s="1"/>
  <c r="K86" i="28"/>
  <c r="K99" s="1"/>
  <c r="K149" s="1"/>
  <c r="K154" s="1"/>
  <c r="K103"/>
  <c r="K110" s="1"/>
  <c r="K150" s="1"/>
  <c r="K18" i="35"/>
  <c r="K34" s="1"/>
  <c r="K144" s="1"/>
  <c r="K154" s="1"/>
  <c r="K18" i="36"/>
  <c r="K34" s="1"/>
  <c r="K144" s="1"/>
  <c r="K154" s="1"/>
  <c r="K18" i="43"/>
  <c r="K34" s="1"/>
  <c r="K144" s="1"/>
  <c r="K38"/>
  <c r="K48" s="1"/>
  <c r="K145" s="1"/>
  <c r="K52"/>
  <c r="K63" s="1"/>
  <c r="K146" s="1"/>
  <c r="K67"/>
  <c r="K74" s="1"/>
  <c r="K147" s="1"/>
  <c r="K133"/>
  <c r="K140" s="1"/>
  <c r="K152" s="1"/>
  <c r="K24" i="44"/>
  <c r="K34" s="1"/>
  <c r="K144" s="1"/>
  <c r="K86"/>
  <c r="K99" s="1"/>
  <c r="K149" s="1"/>
  <c r="K103"/>
  <c r="K110" s="1"/>
  <c r="K150" s="1"/>
  <c r="K89" i="45"/>
  <c r="K99" s="1"/>
  <c r="K149" s="1"/>
  <c r="K154" s="1"/>
  <c r="K103"/>
  <c r="K110" s="1"/>
  <c r="K150" s="1"/>
  <c r="I48" i="46"/>
  <c r="I145" s="1"/>
  <c r="K55"/>
  <c r="K63" s="1"/>
  <c r="K146" s="1"/>
  <c r="K154" s="1"/>
  <c r="K86"/>
  <c r="K99" s="1"/>
  <c r="K149" s="1"/>
  <c r="K103" i="47"/>
  <c r="K110" s="1"/>
  <c r="K150" s="1"/>
  <c r="K154" s="1"/>
  <c r="K52" i="49"/>
  <c r="K63" s="1"/>
  <c r="K146" s="1"/>
  <c r="K154" s="1"/>
  <c r="K18" i="50"/>
  <c r="K34" s="1"/>
  <c r="K144" s="1"/>
  <c r="G154"/>
  <c r="J154"/>
  <c r="K110"/>
  <c r="K150" s="1"/>
  <c r="F154" i="51"/>
  <c r="H154"/>
  <c r="F154" i="42"/>
  <c r="H154"/>
  <c r="J154"/>
  <c r="F154" i="48"/>
  <c r="J154"/>
  <c r="K9" i="52"/>
  <c r="M9" s="1"/>
  <c r="F157" i="42"/>
  <c r="F156"/>
  <c r="F157" i="48"/>
  <c r="F156"/>
  <c r="K18" i="51"/>
  <c r="K34" s="1"/>
  <c r="K144" s="1"/>
  <c r="K10" i="52"/>
  <c r="M10" s="1"/>
  <c r="K13"/>
  <c r="M13" s="1"/>
  <c r="J25"/>
  <c r="J65"/>
  <c r="K86" i="51"/>
  <c r="K99" s="1"/>
  <c r="K149" s="1"/>
  <c r="K103"/>
  <c r="K110" s="1"/>
  <c r="K150" s="1"/>
  <c r="K11" i="52"/>
  <c r="M11" s="1"/>
  <c r="K6"/>
  <c r="M6"/>
  <c r="F157" i="49" l="1"/>
  <c r="F156"/>
  <c r="F157" i="45"/>
  <c r="F156"/>
  <c r="F156" i="28"/>
  <c r="F157"/>
  <c r="F157" i="37"/>
  <c r="F156"/>
  <c r="K48" i="52"/>
  <c r="F157" i="17"/>
  <c r="F156"/>
  <c r="M38" i="52"/>
  <c r="K44"/>
  <c r="F156" i="47"/>
  <c r="F157"/>
  <c r="F156" i="46"/>
  <c r="F157"/>
  <c r="F157" i="34"/>
  <c r="F156"/>
  <c r="F157" i="31"/>
  <c r="F156"/>
  <c r="K154" i="8"/>
  <c r="L21" i="52"/>
  <c r="F156" i="36"/>
  <c r="F157"/>
  <c r="F157" i="26"/>
  <c r="F156"/>
  <c r="F157" i="24"/>
  <c r="F156"/>
  <c r="F156" i="38"/>
  <c r="F157"/>
  <c r="F157" i="19"/>
  <c r="F156"/>
  <c r="F156" i="27"/>
  <c r="F157"/>
  <c r="F156" i="25"/>
  <c r="F157"/>
  <c r="M31" i="52"/>
  <c r="M35" s="1"/>
  <c r="K35"/>
  <c r="F157" i="16"/>
  <c r="F156"/>
  <c r="M81" i="52"/>
  <c r="K81"/>
  <c r="L81" s="1"/>
  <c r="K154" i="4"/>
  <c r="F157" i="14"/>
  <c r="F156"/>
  <c r="K154" i="43"/>
  <c r="K48" i="39"/>
  <c r="K145" s="1"/>
  <c r="K99" i="18"/>
  <c r="K149" s="1"/>
  <c r="K154" s="1"/>
  <c r="K154" i="15"/>
  <c r="J154" i="39"/>
  <c r="K92" i="40"/>
  <c r="L54" i="52" s="1"/>
  <c r="K40" i="40"/>
  <c r="I154" i="20"/>
  <c r="K82" i="40"/>
  <c r="K148" s="1"/>
  <c r="M82" i="52" s="1"/>
  <c r="H154" i="40"/>
  <c r="I20" i="52"/>
  <c r="L72"/>
  <c r="I56"/>
  <c r="K56" s="1"/>
  <c r="M56" s="1"/>
  <c r="I52"/>
  <c r="K52" s="1"/>
  <c r="M52" s="1"/>
  <c r="I50"/>
  <c r="K50" s="1"/>
  <c r="M50" s="1"/>
  <c r="L38"/>
  <c r="L44" s="1"/>
  <c r="L22"/>
  <c r="J78"/>
  <c r="J88" s="1"/>
  <c r="K54" i="39"/>
  <c r="K63" s="1"/>
  <c r="I48"/>
  <c r="I145" s="1"/>
  <c r="I154" s="1"/>
  <c r="K18"/>
  <c r="K34" s="1"/>
  <c r="K144" s="1"/>
  <c r="K154" i="13"/>
  <c r="I21" i="52"/>
  <c r="K21" s="1"/>
  <c r="M21" s="1"/>
  <c r="I62"/>
  <c r="K62" s="1"/>
  <c r="M62" s="1"/>
  <c r="I34" i="5"/>
  <c r="I144" s="1"/>
  <c r="I63" i="52"/>
  <c r="K63" s="1"/>
  <c r="M63" s="1"/>
  <c r="I28"/>
  <c r="I154" i="34"/>
  <c r="I154" i="9"/>
  <c r="H84" i="52"/>
  <c r="J154" i="31"/>
  <c r="K154" i="10"/>
  <c r="K154" i="9"/>
  <c r="H154" i="7"/>
  <c r="K23" i="52"/>
  <c r="M23" s="1"/>
  <c r="F157" i="35"/>
  <c r="F156"/>
  <c r="K72" i="52"/>
  <c r="I75"/>
  <c r="I110" i="40"/>
  <c r="I150" s="1"/>
  <c r="I84" i="52" s="1"/>
  <c r="K103" i="40"/>
  <c r="K110" s="1"/>
  <c r="K150" s="1"/>
  <c r="I99"/>
  <c r="I149" s="1"/>
  <c r="I154" s="1"/>
  <c r="K86"/>
  <c r="K99" s="1"/>
  <c r="K149" s="1"/>
  <c r="K83" i="52" s="1"/>
  <c r="F157" i="21"/>
  <c r="F156"/>
  <c r="F156" i="33"/>
  <c r="F157"/>
  <c r="F156" i="30"/>
  <c r="F157"/>
  <c r="K154" i="51"/>
  <c r="K154" i="50"/>
  <c r="K154" i="44"/>
  <c r="K140" i="23"/>
  <c r="K152" s="1"/>
  <c r="K86" i="52" s="1"/>
  <c r="L86" s="1"/>
  <c r="I110" i="18"/>
  <c r="I150" s="1"/>
  <c r="K99" i="39"/>
  <c r="K149" s="1"/>
  <c r="H154"/>
  <c r="K48" i="11"/>
  <c r="K145" s="1"/>
  <c r="K154" i="7"/>
  <c r="K110" i="5"/>
  <c r="K150" s="1"/>
  <c r="K84" i="52" s="1"/>
  <c r="L84" s="1"/>
  <c r="I12"/>
  <c r="K12" s="1"/>
  <c r="M12" s="1"/>
  <c r="H80"/>
  <c r="L63"/>
  <c r="I61"/>
  <c r="I55"/>
  <c r="K55" s="1"/>
  <c r="M55" s="1"/>
  <c r="I53"/>
  <c r="K53" s="1"/>
  <c r="M53" s="1"/>
  <c r="I51"/>
  <c r="K51" s="1"/>
  <c r="M51" s="1"/>
  <c r="I49"/>
  <c r="K49" s="1"/>
  <c r="M49" s="1"/>
  <c r="L31"/>
  <c r="L35" s="1"/>
  <c r="H28"/>
  <c r="L28" s="1"/>
  <c r="F79"/>
  <c r="F88" s="1"/>
  <c r="H78"/>
  <c r="H88" s="1"/>
  <c r="K82" i="20"/>
  <c r="K148" s="1"/>
  <c r="K154" s="1"/>
  <c r="I99" i="18"/>
  <c r="I149" s="1"/>
  <c r="I154" s="1"/>
  <c r="I44" i="52"/>
  <c r="I154" i="7"/>
  <c r="K22" i="5"/>
  <c r="L8" i="52" s="1"/>
  <c r="I4"/>
  <c r="I80"/>
  <c r="L71"/>
  <c r="L75" s="1"/>
  <c r="L61"/>
  <c r="L65" s="1"/>
  <c r="L48"/>
  <c r="L58" s="1"/>
  <c r="L10"/>
  <c r="I79"/>
  <c r="G78"/>
  <c r="G88" s="1"/>
  <c r="I154" i="46"/>
  <c r="J154" i="4"/>
  <c r="F154"/>
  <c r="I154"/>
  <c r="K146" i="39" l="1"/>
  <c r="K28" i="52"/>
  <c r="M28" s="1"/>
  <c r="F157" i="18"/>
  <c r="F156"/>
  <c r="F157" i="20"/>
  <c r="F156"/>
  <c r="F157" i="44"/>
  <c r="F156"/>
  <c r="F156" i="51"/>
  <c r="F157"/>
  <c r="F157" i="10"/>
  <c r="F156"/>
  <c r="F157" i="13"/>
  <c r="F156"/>
  <c r="L20" i="52"/>
  <c r="L25" s="1"/>
  <c r="K48" i="40"/>
  <c r="K145" s="1"/>
  <c r="K154" s="1"/>
  <c r="F157" i="4"/>
  <c r="F156"/>
  <c r="M48" i="52"/>
  <c r="M58" s="1"/>
  <c r="K58"/>
  <c r="K34" i="5"/>
  <c r="K144" s="1"/>
  <c r="M84" i="52"/>
  <c r="K154" i="11"/>
  <c r="K82" i="52"/>
  <c r="L82" s="1"/>
  <c r="M83"/>
  <c r="M79"/>
  <c r="I83"/>
  <c r="L83" s="1"/>
  <c r="M86"/>
  <c r="I15"/>
  <c r="K4"/>
  <c r="I65"/>
  <c r="K61"/>
  <c r="F156" i="7"/>
  <c r="F157"/>
  <c r="F157" i="50"/>
  <c r="F156"/>
  <c r="M72" i="52"/>
  <c r="M75" s="1"/>
  <c r="K75"/>
  <c r="F157" i="9"/>
  <c r="F156"/>
  <c r="I154" i="5"/>
  <c r="I78" i="52"/>
  <c r="I88" s="1"/>
  <c r="I25"/>
  <c r="K20"/>
  <c r="F156" i="15"/>
  <c r="F157"/>
  <c r="F156" i="43"/>
  <c r="F157"/>
  <c r="F157" i="8"/>
  <c r="F156"/>
  <c r="K154" i="23"/>
  <c r="K154" i="39"/>
  <c r="L4" i="52"/>
  <c r="L15" s="1"/>
  <c r="M44"/>
  <c r="I58"/>
  <c r="F156" i="39" l="1"/>
  <c r="F157"/>
  <c r="K80" i="52"/>
  <c r="L80" s="1"/>
  <c r="M80"/>
  <c r="K79"/>
  <c r="L79" s="1"/>
  <c r="M20"/>
  <c r="K25"/>
  <c r="M25" s="1"/>
  <c r="K65"/>
  <c r="M65" s="1"/>
  <c r="M61"/>
  <c r="M4"/>
  <c r="M15" s="1"/>
  <c r="K15"/>
  <c r="F156" i="23"/>
  <c r="F157"/>
  <c r="F157" i="11"/>
  <c r="F156"/>
  <c r="K154" i="5"/>
  <c r="K78" i="52"/>
  <c r="M78"/>
  <c r="M88" s="1"/>
  <c r="F156" i="40"/>
  <c r="F157"/>
  <c r="C94" i="52" l="1"/>
  <c r="F94"/>
  <c r="L78"/>
  <c r="L88" s="1"/>
  <c r="K88"/>
  <c r="F156" i="5"/>
  <c r="F157"/>
  <c r="C92" i="52" l="1"/>
  <c r="F92"/>
</calcChain>
</file>

<file path=xl/comments1.xml><?xml version="1.0" encoding="utf-8"?>
<comments xmlns="http://schemas.openxmlformats.org/spreadsheetml/2006/main">
  <authors>
    <author>Amanda Greene</author>
  </authors>
  <commentList>
    <comment ref="B42" authorId="0">
      <text>
        <r>
          <rPr>
            <b/>
            <sz val="10"/>
            <color indexed="81"/>
            <rFont val="Tahoma"/>
            <family val="2"/>
          </rPr>
          <t>Amanda Greene:</t>
        </r>
        <r>
          <rPr>
            <sz val="10"/>
            <color indexed="81"/>
            <rFont val="Tahoma"/>
            <family val="2"/>
          </rPr>
          <t xml:space="preserve">
Southern Maryland is the only for-profit hospital and therefor the only hospital which pays the listed taxes</t>
        </r>
      </text>
    </comment>
  </commentList>
</comments>
</file>

<file path=xl/sharedStrings.xml><?xml version="1.0" encoding="utf-8"?>
<sst xmlns="http://schemas.openxmlformats.org/spreadsheetml/2006/main" count="11867" uniqueCount="689">
  <si>
    <t>FY 2009 COMMUNITY BENEFIT INVENTORY SPREADSHEET</t>
  </si>
  <si>
    <t>GENERAL INFORMATION</t>
  </si>
  <si>
    <t>Hospital Name:</t>
  </si>
  <si>
    <t>Anne Arundel Medical Center</t>
  </si>
  <si>
    <t>HSCRC Hospital ID #:</t>
  </si>
  <si>
    <t># of Employees:</t>
  </si>
  <si>
    <t>Contact Person:</t>
  </si>
  <si>
    <t>Ellen Flaherty</t>
  </si>
  <si>
    <t>Contact Number:</t>
  </si>
  <si>
    <t>443 481-5360</t>
  </si>
  <si>
    <t>Contact Email:</t>
  </si>
  <si>
    <t>eflaherty@aahs.org</t>
  </si>
  <si>
    <t>COMMUNITY BENEFIT ACTIVITES</t>
  </si>
  <si>
    <t># OF STAFF HOURS</t>
  </si>
  <si>
    <t># OF ENCOUNTERS</t>
  </si>
  <si>
    <t>DIRECT COST($)</t>
  </si>
  <si>
    <t>INDIRECT COST($)</t>
  </si>
  <si>
    <t>OFFSETTING REVENUE($)</t>
  </si>
  <si>
    <t>NET COMMUNITY BENEFIT</t>
  </si>
  <si>
    <t>A.</t>
  </si>
  <si>
    <t>COMMUNITY HEALTH SERVICES</t>
  </si>
  <si>
    <t>A1</t>
  </si>
  <si>
    <t>Community Health Education</t>
  </si>
  <si>
    <t>Support Groups</t>
  </si>
  <si>
    <t>Self-Help</t>
  </si>
  <si>
    <t>A2</t>
  </si>
  <si>
    <t>Community-Based Clinical Services</t>
  </si>
  <si>
    <t>Screenings</t>
  </si>
  <si>
    <t>One-Time/Occasionally Held Clinics</t>
  </si>
  <si>
    <t>Free Clinics</t>
  </si>
  <si>
    <t>Mobile Units</t>
  </si>
  <si>
    <t>A3</t>
  </si>
  <si>
    <t>Health Care Support Services</t>
  </si>
  <si>
    <t>A4</t>
  </si>
  <si>
    <t>Other (Please indicate below):</t>
  </si>
  <si>
    <t>A5</t>
  </si>
  <si>
    <t>Pharmacy Assistance Program</t>
  </si>
  <si>
    <t>A6</t>
  </si>
  <si>
    <t>A7</t>
  </si>
  <si>
    <t>A8</t>
  </si>
  <si>
    <t>A9</t>
  </si>
  <si>
    <t>TOTAL</t>
  </si>
  <si>
    <t>B.</t>
  </si>
  <si>
    <t>HEALTH PROFESSIONS EDUCATION</t>
  </si>
  <si>
    <t>B1</t>
  </si>
  <si>
    <t>Physicians/Medical Students</t>
  </si>
  <si>
    <t>B2</t>
  </si>
  <si>
    <t>Scholarships/Funding for Professional Education</t>
  </si>
  <si>
    <t>B3</t>
  </si>
  <si>
    <t>Nurses/Nursing Students</t>
  </si>
  <si>
    <t>B4</t>
  </si>
  <si>
    <t>Technicians</t>
  </si>
  <si>
    <t>B5</t>
  </si>
  <si>
    <t>Other Health Professionals</t>
  </si>
  <si>
    <t>B6</t>
  </si>
  <si>
    <t>B7</t>
  </si>
  <si>
    <t>Quality and Patient Safety Interns</t>
  </si>
  <si>
    <t>B8</t>
  </si>
  <si>
    <t>B9</t>
  </si>
  <si>
    <t>C.</t>
  </si>
  <si>
    <t>MISSION DRIVEN HEALTH SERVICES (please list)</t>
  </si>
  <si>
    <t>C1</t>
  </si>
  <si>
    <t>Annapolis Outreach Clinic</t>
  </si>
  <si>
    <t>C2</t>
  </si>
  <si>
    <t>Cholesterol Screening for Blood Donors</t>
  </si>
  <si>
    <t>C3</t>
  </si>
  <si>
    <t>Therapeutic Phlebotomy for Hereditary Hemochromatosis</t>
  </si>
  <si>
    <t>C4</t>
  </si>
  <si>
    <t>Prenatal Care at AACounty Health Dept.</t>
  </si>
  <si>
    <t>C5</t>
  </si>
  <si>
    <t>Kent Island Urgent Care Community Physicians</t>
  </si>
  <si>
    <t>C6</t>
  </si>
  <si>
    <t>Anne Arundel Diagnostics</t>
  </si>
  <si>
    <t>C7</t>
  </si>
  <si>
    <t>Hospice</t>
  </si>
  <si>
    <t>C8</t>
  </si>
  <si>
    <t>C9</t>
  </si>
  <si>
    <t>C10</t>
  </si>
  <si>
    <t>D.</t>
  </si>
  <si>
    <t>RESEARCH</t>
  </si>
  <si>
    <t>D1</t>
  </si>
  <si>
    <t>Clinical Research</t>
  </si>
  <si>
    <t>D2</t>
  </si>
  <si>
    <t>Community Health Research</t>
  </si>
  <si>
    <t>D3</t>
  </si>
  <si>
    <t>Other (Please indicate below)</t>
  </si>
  <si>
    <t>D4</t>
  </si>
  <si>
    <t>D5</t>
  </si>
  <si>
    <t>D6</t>
  </si>
  <si>
    <t>E.</t>
  </si>
  <si>
    <t>FINANCIAL CONTRIBUTIONS</t>
  </si>
  <si>
    <t>E1</t>
  </si>
  <si>
    <t>Cash Donations</t>
  </si>
  <si>
    <t>E2</t>
  </si>
  <si>
    <t>Grants</t>
  </si>
  <si>
    <t>E3</t>
  </si>
  <si>
    <t>In-Kind Donations</t>
  </si>
  <si>
    <t>Cost of Fund Raising for Community Programs</t>
  </si>
  <si>
    <t>F.</t>
  </si>
  <si>
    <t>COMMUNITY BUILDING ACTIVITIES</t>
  </si>
  <si>
    <t>F1</t>
  </si>
  <si>
    <t>Physical Improvements/Housing</t>
  </si>
  <si>
    <t>F2</t>
  </si>
  <si>
    <t>Economic Development</t>
  </si>
  <si>
    <t>F3</t>
  </si>
  <si>
    <t>Support System Enhancements</t>
  </si>
  <si>
    <t>F4</t>
  </si>
  <si>
    <t>Environmental Improvements</t>
  </si>
  <si>
    <t>F5</t>
  </si>
  <si>
    <t>Leadership Development/Training for Community Members</t>
  </si>
  <si>
    <t>F6</t>
  </si>
  <si>
    <t>Coalition Building</t>
  </si>
  <si>
    <t>F7</t>
  </si>
  <si>
    <t>Community Health Improvement Advocacy</t>
  </si>
  <si>
    <t>F8</t>
  </si>
  <si>
    <t>Workforce Enhancement</t>
  </si>
  <si>
    <t>F9</t>
  </si>
  <si>
    <t>G.</t>
  </si>
  <si>
    <t>COMMUNITY BENEFIT OPERATIONS</t>
  </si>
  <si>
    <t>G1</t>
  </si>
  <si>
    <t>Dedicated Staff</t>
  </si>
  <si>
    <t>G2</t>
  </si>
  <si>
    <t>Community health/health assets assessments</t>
  </si>
  <si>
    <t>G3</t>
  </si>
  <si>
    <t>Other Resources (please indicate below)</t>
  </si>
  <si>
    <t>G4</t>
  </si>
  <si>
    <t>G5</t>
  </si>
  <si>
    <t>G6</t>
  </si>
  <si>
    <t>H.</t>
  </si>
  <si>
    <t>CHARITY CARE (report total only)</t>
  </si>
  <si>
    <t>I.</t>
  </si>
  <si>
    <t>FINANCIAL DATA</t>
  </si>
  <si>
    <t>I1</t>
  </si>
  <si>
    <t>INDIRECT COST RATIO</t>
  </si>
  <si>
    <t>I2</t>
  </si>
  <si>
    <t>OPERATING REVENUE</t>
  </si>
  <si>
    <t>Net Patient Service Revenue</t>
  </si>
  <si>
    <t>Other Revenue</t>
  </si>
  <si>
    <t>Total Revenue</t>
  </si>
  <si>
    <t>I3</t>
  </si>
  <si>
    <t>TOTAL OPERATING EXPENSES</t>
  </si>
  <si>
    <t>I4</t>
  </si>
  <si>
    <t>NET REVENUE (LOSS) FROM OPERATIONS</t>
  </si>
  <si>
    <t>I5</t>
  </si>
  <si>
    <t>NON-OPERATING GAINS (LOSSES)</t>
  </si>
  <si>
    <t>I6</t>
  </si>
  <si>
    <t>NET REVENUE (LOSS)</t>
  </si>
  <si>
    <t>J</t>
  </si>
  <si>
    <t>FOUNDATION COMMUNITY BENEFIT</t>
  </si>
  <si>
    <t>J1</t>
  </si>
  <si>
    <t>Community Services</t>
  </si>
  <si>
    <t>J2</t>
  </si>
  <si>
    <t>Community Building</t>
  </si>
  <si>
    <t>J3</t>
  </si>
  <si>
    <t>J4</t>
  </si>
  <si>
    <t>J5</t>
  </si>
  <si>
    <t>J6</t>
  </si>
  <si>
    <t>TOTAL FOUNDATION COMMUNITY BENEFIT</t>
  </si>
  <si>
    <t>K</t>
  </si>
  <si>
    <t>TOTAL HOSPITAL COMMUNITY BENEFIT</t>
  </si>
  <si>
    <t>A</t>
  </si>
  <si>
    <t>Community Health Services</t>
  </si>
  <si>
    <t>B</t>
  </si>
  <si>
    <t>Health Professions Education</t>
  </si>
  <si>
    <t>C</t>
  </si>
  <si>
    <t>Mission Driven Health Care Services</t>
  </si>
  <si>
    <t>D</t>
  </si>
  <si>
    <t>Research</t>
  </si>
  <si>
    <t>E</t>
  </si>
  <si>
    <t>Financial Contributions</t>
  </si>
  <si>
    <t>F</t>
  </si>
  <si>
    <t>Community Building Activities</t>
  </si>
  <si>
    <t>G</t>
  </si>
  <si>
    <t>Community Benefit Operations</t>
  </si>
  <si>
    <t>H</t>
  </si>
  <si>
    <t>Charity Care</t>
  </si>
  <si>
    <t>N/A</t>
  </si>
  <si>
    <t>Foundation Funded Community Benefit</t>
  </si>
  <si>
    <t>% OF OPERATING EXPENSES</t>
  </si>
  <si>
    <t>% of NET REVENUE</t>
  </si>
  <si>
    <t>Atlantic General Hospital</t>
  </si>
  <si>
    <t>Bruce Todd</t>
  </si>
  <si>
    <t>410-641-9095</t>
  </si>
  <si>
    <t>mtodd@atlanticgeneral.org</t>
  </si>
  <si>
    <t>SAFE Program</t>
  </si>
  <si>
    <t>Emergency and Trauma Services</t>
  </si>
  <si>
    <t>Pallative Care</t>
  </si>
  <si>
    <t>Physician Recruitment</t>
  </si>
  <si>
    <t>Amortization of Physician Loans</t>
  </si>
  <si>
    <t>Diabetic Clinic</t>
  </si>
  <si>
    <t>Stork's Nest</t>
  </si>
  <si>
    <t>Conference Room Space for Community Outreach Activities</t>
  </si>
  <si>
    <t>$</t>
  </si>
  <si>
    <t>Camp Airways</t>
  </si>
  <si>
    <t xml:space="preserve">Spirit of Women </t>
  </si>
  <si>
    <t xml:space="preserve">Cancer Community Outreach </t>
  </si>
  <si>
    <t>Board Involvement</t>
  </si>
  <si>
    <t xml:space="preserve">Medical Minute </t>
  </si>
  <si>
    <t>Community Publications</t>
  </si>
  <si>
    <t>Arundel Mills Outreach Center</t>
  </si>
  <si>
    <t>Employee Involvement in Community Benefit Activities</t>
  </si>
  <si>
    <t>Yoga and Pilates Classes</t>
  </si>
  <si>
    <t>BWMC Foundation Donations</t>
  </si>
  <si>
    <t>Bon Secours Hospital</t>
  </si>
  <si>
    <t>21-0013</t>
  </si>
  <si>
    <t>847</t>
  </si>
  <si>
    <t xml:space="preserve">Joseph Muth </t>
  </si>
  <si>
    <t>410 362 4472</t>
  </si>
  <si>
    <t>joseph_muth@bshsi.org</t>
  </si>
  <si>
    <t xml:space="preserve">Transportation of patients </t>
  </si>
  <si>
    <t xml:space="preserve">Woman's Resource Center </t>
  </si>
  <si>
    <t>Braddock Hospital</t>
  </si>
  <si>
    <t>0027</t>
  </si>
  <si>
    <t>1315</t>
  </si>
  <si>
    <t>Scott Lutton</t>
  </si>
  <si>
    <t>240-964-8032</t>
  </si>
  <si>
    <t>slutton@wmhs.com</t>
  </si>
  <si>
    <t>Organization Owned Urgent Care Center- Frostburg</t>
  </si>
  <si>
    <t>Blood Drives</t>
  </si>
  <si>
    <t>Adult Medical Day Care</t>
  </si>
  <si>
    <t>CALVERT MEMORIAL HOSPITAL OF CALVERT COUNTY</t>
  </si>
  <si>
    <t>BARBARA POLAK, V.P. OF CLINICAL SERVICES</t>
  </si>
  <si>
    <t>410-535-8216</t>
  </si>
  <si>
    <t>BPOLAK@CMHLINK.ORG</t>
  </si>
  <si>
    <t>URGENT CARE CENTER SERVICES</t>
  </si>
  <si>
    <t>HEALTH CARE CLINIC SERVICES</t>
  </si>
  <si>
    <t>TRANSITIONAL CARE UNIT (SNF) SERVICES</t>
  </si>
  <si>
    <t>HOSPITAL EMERGENCY &amp; BEHAVIORAL HEALTH SERVICES</t>
  </si>
  <si>
    <t>ACUTE CARE &amp; PEDIATRIC HOSPITALIST PROGRAM</t>
  </si>
  <si>
    <t>OBSTETRICS &amp; GYNECOLOGY CARE COVERAGE SUBSIDY</t>
  </si>
  <si>
    <t>PHYSICIAN INCOME GUARANTEES FULFILLING HEALTH CARE NEED</t>
  </si>
  <si>
    <t>Carroll Hospital Center</t>
  </si>
  <si>
    <t>21-0033</t>
  </si>
  <si>
    <t>Teresa Fletcher</t>
  </si>
  <si>
    <t>410-871-6979</t>
  </si>
  <si>
    <t>teresaf@carrollhospitalcenter.org</t>
  </si>
  <si>
    <t>Interpreter Services</t>
  </si>
  <si>
    <t>Medicaid Enrollment</t>
  </si>
  <si>
    <t>Access Carroll Free Health Clinic (Op)</t>
  </si>
  <si>
    <t>Medical Library</t>
  </si>
  <si>
    <t>Physician Support Activities</t>
  </si>
  <si>
    <t>CHESTER RIVER HOSPITAL CENTER, INC.</t>
  </si>
  <si>
    <t>JULIANNA L. VALLECILLO</t>
  </si>
  <si>
    <t>410-778-7654</t>
  </si>
  <si>
    <t>JVallecillo@chesterriverhealth.org</t>
  </si>
  <si>
    <t>High School Scholarships</t>
  </si>
  <si>
    <t>Hospitalist Program</t>
  </si>
  <si>
    <t>Physician On Call Coverage for Emergency Services</t>
  </si>
  <si>
    <t>Obstetric Services Subsidy</t>
  </si>
  <si>
    <t>Civista Medical Center</t>
  </si>
  <si>
    <t>William Chen</t>
  </si>
  <si>
    <t>301-609-4498</t>
  </si>
  <si>
    <t>william.chen@civista.org</t>
  </si>
  <si>
    <t>Women's and Children's Services</t>
  </si>
  <si>
    <t>Renal Dialysis Services</t>
  </si>
  <si>
    <t>Behavioral Health Services</t>
  </si>
  <si>
    <t>Memorial Hospital</t>
  </si>
  <si>
    <t>0025</t>
  </si>
  <si>
    <t>1025</t>
  </si>
  <si>
    <t xml:space="preserve">Miltenberger Trauma Symposium </t>
  </si>
  <si>
    <t>Organization Owned Urgent Care Center- Hunt Club</t>
  </si>
  <si>
    <t>Hospice Services</t>
  </si>
  <si>
    <t xml:space="preserve">Doctors Community Hospital </t>
  </si>
  <si>
    <t>21-0051</t>
  </si>
  <si>
    <t>Mary Dudley</t>
  </si>
  <si>
    <t>301-552-8601</t>
  </si>
  <si>
    <t>Mdudley@dchweb.org</t>
  </si>
  <si>
    <t xml:space="preserve">OASIS-Senior Wellness Program </t>
  </si>
  <si>
    <t>Physician Debt Forgiveness</t>
  </si>
  <si>
    <t xml:space="preserve"> </t>
  </si>
  <si>
    <t>Physician Interventional Cardiology</t>
  </si>
  <si>
    <t>Physician Intensivist</t>
  </si>
  <si>
    <t>Physician Anesthesia Call</t>
  </si>
  <si>
    <t>Physician ED Call</t>
  </si>
  <si>
    <t>Physician OB Call</t>
  </si>
  <si>
    <t>Physician Hospitalist</t>
  </si>
  <si>
    <t>mgaskins@fmh.org</t>
  </si>
  <si>
    <t>240-566-3233</t>
  </si>
  <si>
    <t>MIKE GASKINS</t>
  </si>
  <si>
    <t>2,062</t>
  </si>
  <si>
    <t>21-0005</t>
  </si>
  <si>
    <t>FREDERICK MEMORIAL HOSPITAL, INC</t>
  </si>
  <si>
    <t>mlesane@nexushealth.org</t>
  </si>
  <si>
    <t>(301) 686-9010</t>
  </si>
  <si>
    <t>Michelle Lesane</t>
  </si>
  <si>
    <t>Fort Washington Medical Center</t>
  </si>
  <si>
    <t>Indigent Drug Program</t>
  </si>
  <si>
    <t>mherpel@gcmh.com</t>
  </si>
  <si>
    <t>301-533-4257</t>
  </si>
  <si>
    <t>Marianna Herpel</t>
  </si>
  <si>
    <t>Garrett County Memorial Hospital</t>
  </si>
  <si>
    <t>PHYSICIAN SUBSIDIES - MEDICAL ASSISTANCE OB/GYN</t>
  </si>
  <si>
    <t>MARYLAND MEDICAL ASSISTANCE</t>
  </si>
  <si>
    <t>FINANCIAL ASSISTANCE PROGRAM</t>
  </si>
  <si>
    <t>GERIATRIC NURSE PRACTITIONER</t>
  </si>
  <si>
    <t>HOSPICE OF BALTIMORE</t>
  </si>
  <si>
    <t>Preceptor for JHU NP student</t>
  </si>
  <si>
    <t>MMYERS@GBMC.ORG</t>
  </si>
  <si>
    <t>(443) 849-4328</t>
  </si>
  <si>
    <t>MICHAEL MYERS</t>
  </si>
  <si>
    <t>GREATER BALTIMORE MEDICAL CENTER</t>
  </si>
  <si>
    <t>HMH Behavioral Health Physician Subsidies</t>
  </si>
  <si>
    <t>HMH ED Physician Subsidies</t>
  </si>
  <si>
    <t>cce.01@ex.uchs.org</t>
  </si>
  <si>
    <t>443-843-5736</t>
  </si>
  <si>
    <t>Charles Elly</t>
  </si>
  <si>
    <t>Harford Memorial Hospital</t>
  </si>
  <si>
    <t>FND - HCH Foundation</t>
  </si>
  <si>
    <t>CBM - Community Beneift Ministry Operations - Other Resources</t>
  </si>
  <si>
    <t>CEO Review Committee on Community Benefit</t>
  </si>
  <si>
    <t>Health Centers</t>
  </si>
  <si>
    <t>Pediatric Attending Physicians</t>
  </si>
  <si>
    <t>Physician Subsidies House Officers and Hospitalists</t>
  </si>
  <si>
    <t>Physician Subsidies ED Call and Uninsured</t>
  </si>
  <si>
    <t>Women's and Children</t>
  </si>
  <si>
    <t>Continuing Care</t>
  </si>
  <si>
    <t>Public Health</t>
  </si>
  <si>
    <t>Social Work</t>
  </si>
  <si>
    <t>Pharmacy</t>
  </si>
  <si>
    <t>mcbrik@holycrosshealth.org</t>
  </si>
  <si>
    <t>301-754-7149</t>
  </si>
  <si>
    <t>Kimberley McBride</t>
  </si>
  <si>
    <t>Holy Cross Hospital</t>
  </si>
  <si>
    <t>NICU -Reunion</t>
  </si>
  <si>
    <t>Healthy Families, Howardy Cty (HFHC)</t>
  </si>
  <si>
    <t>Agewell Grant</t>
  </si>
  <si>
    <t>Let Go of Tobacco - Grant</t>
  </si>
  <si>
    <t xml:space="preserve">Mission Driven Services - Physician Subsidies - Hospitalist </t>
  </si>
  <si>
    <t>Mission Driven Services - Physician Subsidies - OB/GYN (ED &amp; IP Coverage)</t>
  </si>
  <si>
    <t>Mission Driven Services - Physician Subsidies - Interventional Cardiology On-Call</t>
  </si>
  <si>
    <t>Mission Driven Services - Physician Subsidies - Urology On-Call</t>
  </si>
  <si>
    <t>Mission Driven Services - Physician Subsides -  Otolaryngology On-Call</t>
  </si>
  <si>
    <t>Mission Driven Services - Physician Subsidies - Psych ED &amp; IP Coverage</t>
  </si>
  <si>
    <t>Mission Driven Services - Physician Subsidies - ED On-Call</t>
  </si>
  <si>
    <t>fmoll1@jhmi.edu</t>
  </si>
  <si>
    <t>(410) 550-0795</t>
  </si>
  <si>
    <t>Fran Moll</t>
  </si>
  <si>
    <t>21-0048</t>
  </si>
  <si>
    <t>Howard County General Hospital</t>
  </si>
  <si>
    <t>Date:mm/dd/yyyy</t>
  </si>
  <si>
    <t>Date of Community Benefits Evaluation</t>
  </si>
  <si>
    <t>NO</t>
  </si>
  <si>
    <t>No Community Benefits Evaluation</t>
  </si>
  <si>
    <t>YES</t>
  </si>
  <si>
    <t>Community Benefits Evaluation Undertaken</t>
  </si>
  <si>
    <t>Used</t>
  </si>
  <si>
    <t>Please submit a narrative describing the hosital's evaluation efforts with this spreadsheet</t>
  </si>
  <si>
    <t>Community Benefits Evaluation (Indicate "Yes" or "No")</t>
  </si>
  <si>
    <t>M</t>
  </si>
  <si>
    <t xml:space="preserve">Date on Which Last Needs Assessment Conducted </t>
  </si>
  <si>
    <t>No Community Needs Assessment Used</t>
  </si>
  <si>
    <t>Combination of County and Hospital Needs Assessment Used</t>
  </si>
  <si>
    <t>YES - FY'04</t>
  </si>
  <si>
    <t>Hospital Needs Assessment Used</t>
  </si>
  <si>
    <t>County Needs Assessment Used</t>
  </si>
  <si>
    <t xml:space="preserve">Used </t>
  </si>
  <si>
    <t>COMMUNITY NEEDS ASSESSMENT (Indicate "Yes" or "No")</t>
  </si>
  <si>
    <t>L</t>
  </si>
  <si>
    <t>Live Near Your Work</t>
  </si>
  <si>
    <t>Coalition Building (included in A1)</t>
  </si>
  <si>
    <t>E4</t>
  </si>
  <si>
    <t>Mental Health Program Subsidies</t>
  </si>
  <si>
    <t>Baltimore Medical System (BMS)</t>
  </si>
  <si>
    <t>Teaching Community Education</t>
  </si>
  <si>
    <t>Wyman Park Community Services</t>
  </si>
  <si>
    <t>OB/GYN on-call</t>
  </si>
  <si>
    <t>Emergency Medicine on-call</t>
  </si>
  <si>
    <t xml:space="preserve">Trauma on-call </t>
  </si>
  <si>
    <t>Short-term post acute care for people in need</t>
  </si>
  <si>
    <t>Social Work Prescriptions</t>
  </si>
  <si>
    <t>gadams@jhmi.edu or kmoelle@jhmi.edu</t>
  </si>
  <si>
    <t>410-550-0289 or 410-550-1339</t>
  </si>
  <si>
    <t>Gayle Adams or Kim Moeller</t>
  </si>
  <si>
    <t>3,531</t>
  </si>
  <si>
    <t>0029</t>
  </si>
  <si>
    <t>Johns Hopkins Bayview Medical Center</t>
  </si>
  <si>
    <t>Office Expense</t>
  </si>
  <si>
    <t>CBR</t>
  </si>
  <si>
    <t>See Attachment</t>
  </si>
  <si>
    <t>Other (See Attachment)</t>
  </si>
  <si>
    <t>Pain Treatment Day Hospital Housing</t>
  </si>
  <si>
    <t>Substance Abuse Housing - Port Recovery, Helping Up and ATS</t>
  </si>
  <si>
    <t>Schizophrenia Day Hospital Housing</t>
  </si>
  <si>
    <t>Eating Disorders Day Hospital Pat. Housing</t>
  </si>
  <si>
    <t>Geriatric Psych Day Hospital Pat. Trans.</t>
  </si>
  <si>
    <t>Targeted Case Management</t>
  </si>
  <si>
    <t>DJS Family Intervention Specialist</t>
  </si>
  <si>
    <t>Child Development Community Policing</t>
  </si>
  <si>
    <t>CPP Case Management</t>
  </si>
  <si>
    <t>mjenkins@jhmi.edu</t>
  </si>
  <si>
    <t>410-614-0745</t>
  </si>
  <si>
    <t>Michael Jenkins</t>
  </si>
  <si>
    <t>9600</t>
  </si>
  <si>
    <t>0009</t>
  </si>
  <si>
    <t>The Johns Hopkins Hospital</t>
  </si>
  <si>
    <t>THE JAMES LAWRENCE KERNAN HOSPITAL, INC.</t>
  </si>
  <si>
    <t>Gaylene Adamczyk</t>
  </si>
  <si>
    <t>410-448-6370</t>
  </si>
  <si>
    <t>gadamczyk@kernan.umm.edu</t>
  </si>
  <si>
    <t>Woodlawn Senior Center Health Fair</t>
  </si>
  <si>
    <t>Wheelchair Basketball Clinic</t>
  </si>
  <si>
    <t>St.  Michael's Health Fair</t>
  </si>
  <si>
    <t>Dental</t>
  </si>
  <si>
    <t>Student Volunteers</t>
  </si>
  <si>
    <t>Athletic Trainers</t>
  </si>
  <si>
    <t>Sports Physicals</t>
  </si>
  <si>
    <t>Career Day/Education Roundtable</t>
  </si>
  <si>
    <t>Catonsville Arts &amp; Crafts Festival</t>
  </si>
  <si>
    <t>Blood Drive/Food Drive/Tree of Hope</t>
  </si>
  <si>
    <t>Physician Subsidies</t>
  </si>
  <si>
    <t>SHERVON.YANCEY@DIMENSIONSHEALTH.ORG</t>
  </si>
  <si>
    <t>301-497-7950</t>
  </si>
  <si>
    <t>SHERVON YANCEY</t>
  </si>
  <si>
    <t>LAUREL REGIONAL HOSPITAL</t>
  </si>
  <si>
    <t>CHEC</t>
  </si>
  <si>
    <t>Take a Loved One to the Doctor Day</t>
  </si>
  <si>
    <t>Community Partnerships / Events</t>
  </si>
  <si>
    <t>Red Cross Blood Drives</t>
  </si>
  <si>
    <t>glhoward@marylandgeneral.org</t>
  </si>
  <si>
    <t>410-225-8218</t>
  </si>
  <si>
    <t>Garet Howard</t>
  </si>
  <si>
    <t>1,060</t>
  </si>
  <si>
    <t>0038</t>
  </si>
  <si>
    <t>Maryland General Hospital</t>
  </si>
  <si>
    <t>Mammography Screenings for Medically Indigent (Grant Program)</t>
  </si>
  <si>
    <t>In-Home Personal Care Services for Medically Indigent (Grant Program)</t>
  </si>
  <si>
    <t>Free Blood Draws for LabCorp Patients</t>
  </si>
  <si>
    <t>astitcher@mccreadyfoundation.org</t>
  </si>
  <si>
    <t>410-968-1200</t>
  </si>
  <si>
    <t>Amy Stitcher</t>
  </si>
  <si>
    <t>McCready Memorial Hospital</t>
  </si>
  <si>
    <t>Lyon Software &amp; Other Admin</t>
  </si>
  <si>
    <t>Pastoral Care - Funerals</t>
  </si>
  <si>
    <t>Emergency and Trauma Services (Category 4)</t>
  </si>
  <si>
    <t>Hospitalist (Category 2)</t>
  </si>
  <si>
    <t>Primary Care (Category 1)</t>
  </si>
  <si>
    <t>Family Health Center (Category 1)</t>
  </si>
  <si>
    <t>Pastoral Care</t>
  </si>
  <si>
    <t>kathy.talbot@medstar.net</t>
  </si>
  <si>
    <t>410-933-2375</t>
  </si>
  <si>
    <t>Kathy Talbot</t>
  </si>
  <si>
    <t>21-0015</t>
  </si>
  <si>
    <t>Franklin Square Hospital Center</t>
  </si>
  <si>
    <t>Good Samaritan Hospital</t>
  </si>
  <si>
    <t>Patient Transportation</t>
  </si>
  <si>
    <t>Women's Services (Category 1)</t>
  </si>
  <si>
    <t>ENT Services (Category 2)</t>
  </si>
  <si>
    <t>Psychiatry (Category 3)</t>
  </si>
  <si>
    <t>Urology (Category 3)</t>
  </si>
  <si>
    <t>ED Coverage - OB/GYN (Category 3)</t>
  </si>
  <si>
    <t>ED Coverage - Surgery (Category 3)</t>
  </si>
  <si>
    <t>Outpatient Renal (Other)</t>
  </si>
  <si>
    <t>Low Income Housing (Other)</t>
  </si>
  <si>
    <t>Child Daycare (Other)</t>
  </si>
  <si>
    <t>Lyon Software</t>
  </si>
  <si>
    <t>Harbor Hospital</t>
  </si>
  <si>
    <t>Drugs &amp; Pharmaceuticals</t>
  </si>
  <si>
    <t>Harbor Family Care</t>
  </si>
  <si>
    <t>Women's &amp; Children's</t>
  </si>
  <si>
    <t>Psychiatry</t>
  </si>
  <si>
    <t>Hospitalist</t>
  </si>
  <si>
    <t>ED On Call</t>
  </si>
  <si>
    <t>Lyon Software &amp; Training</t>
  </si>
  <si>
    <t>Emergency Room (Category 1)</t>
  </si>
  <si>
    <t>Psychiatry (Category 1)</t>
  </si>
  <si>
    <t>Health Education (for high school students)</t>
  </si>
  <si>
    <t>21-0018</t>
  </si>
  <si>
    <t>Montgomery General Hospital</t>
  </si>
  <si>
    <t>Union Memorial Hospital</t>
  </si>
  <si>
    <t>BTE USER TOUR (CURTIS REHAB)</t>
  </si>
  <si>
    <t>Psychiatric Physicians Subsidy (Category 1)</t>
  </si>
  <si>
    <t>Hospitalists (Category 2)</t>
  </si>
  <si>
    <t>ER Physician Subsidies (Category 3)</t>
  </si>
  <si>
    <t>Pediatric ER (Category 3)</t>
  </si>
  <si>
    <t>PYSCHIATRIC CARE COVERAGE/SAFE PROGRAM  (2)</t>
  </si>
  <si>
    <t>HEALTHCARE FOR THE HOMELESS</t>
  </si>
  <si>
    <t>ANTENATAL PHYSICIAN SUBSIDY  (1)</t>
  </si>
  <si>
    <t>OB COVERAGE  (1)</t>
  </si>
  <si>
    <t>PHYSICIAN CHARITY CARE (3)</t>
  </si>
  <si>
    <t>EMERGENCY ROOM PHYSICIAN SERVICES  (3)</t>
  </si>
  <si>
    <t>CHARITY PRESCRIPTION PROGRAM</t>
  </si>
  <si>
    <t>jtopper@mdmercy.com</t>
  </si>
  <si>
    <t>410-332-9313</t>
  </si>
  <si>
    <t>JOHN TOPPER</t>
  </si>
  <si>
    <t>0008</t>
  </si>
  <si>
    <t>MERCY MEDICAL CENTER, INC.</t>
  </si>
  <si>
    <t>ER SUBSIDY</t>
  </si>
  <si>
    <t>HOSPITALISTS SUBSIDIZED CARE</t>
  </si>
  <si>
    <t>AEROBICS AND YOGA CLASSES</t>
  </si>
  <si>
    <t>TCOLLINS@LIFEBRIDGEHEALTH.ORG</t>
  </si>
  <si>
    <t>410.601.8192</t>
  </si>
  <si>
    <t>TAWNI COLLINS</t>
  </si>
  <si>
    <t>NORTHWEST HOSPITAL CENTER</t>
  </si>
  <si>
    <t>Community Benefit Planning/Reporting</t>
  </si>
  <si>
    <t>Physician Subsidies 5 - Recruitment</t>
  </si>
  <si>
    <t>Physician Subsidies 2 - Hospitalists</t>
  </si>
  <si>
    <t>Trauma On-Call</t>
  </si>
  <si>
    <t>Peninsula Partners</t>
  </si>
  <si>
    <t>Pediatric Specialties</t>
  </si>
  <si>
    <t>CPR Courses throughout Community</t>
  </si>
  <si>
    <t>Dietician Internship</t>
  </si>
  <si>
    <t>renee.white@peninsula.org</t>
  </si>
  <si>
    <t>410-543-7530 Ext 4810</t>
  </si>
  <si>
    <t>Renee' White</t>
  </si>
  <si>
    <t>0019</t>
  </si>
  <si>
    <t>Peninsula Regional Medical Center</t>
  </si>
  <si>
    <t>Health Program</t>
  </si>
  <si>
    <t>Career Day</t>
  </si>
  <si>
    <t>patricia.tihansky@dimensionshealth.org</t>
  </si>
  <si>
    <t>301-583-4053</t>
  </si>
  <si>
    <t>Patricia Tihansky</t>
  </si>
  <si>
    <t>PRINCE GEORGE'S HOSPITAL CENTER</t>
  </si>
  <si>
    <t>Board Community Involvement</t>
  </si>
  <si>
    <t>Other - Disaster Preparedness</t>
  </si>
  <si>
    <t>Subsidized Continuing Care</t>
  </si>
  <si>
    <t xml:space="preserve">Germantown Emergency Center </t>
  </si>
  <si>
    <t>Coverage of ED On-Call</t>
  </si>
  <si>
    <t>Non-Resident Hosp Staff and Hospitalist</t>
  </si>
  <si>
    <t>Hospital Based Physicians</t>
  </si>
  <si>
    <t>Immunizations</t>
  </si>
  <si>
    <t>mwood@adventisthealthcare.com</t>
  </si>
  <si>
    <t>(301)315-3385</t>
  </si>
  <si>
    <t>Mike Wood</t>
  </si>
  <si>
    <t>Shady Grove Adventist Hospital</t>
  </si>
  <si>
    <t>Memorial Hospital at Easton,</t>
  </si>
  <si>
    <t>0037</t>
  </si>
  <si>
    <t>Michael Silgen / Kathleen McGrath / Frank Fields</t>
  </si>
  <si>
    <t xml:space="preserve">410 822 1000 </t>
  </si>
  <si>
    <t>kfmcgrath@shorehealth.org, ffields@shorehealth.org</t>
  </si>
  <si>
    <t xml:space="preserve">MHE Anesthesia Physician Subsidy </t>
  </si>
  <si>
    <t>MHE ER Physician Subsidy</t>
  </si>
  <si>
    <t>Emergency Assistance Transportation</t>
  </si>
  <si>
    <t>Dorchester General Hospital</t>
  </si>
  <si>
    <t>0010</t>
  </si>
  <si>
    <t xml:space="preserve">DGH Anesthesia Physician Subsidy </t>
  </si>
  <si>
    <t xml:space="preserve">DGH Emergency Services Physician Subsidy </t>
  </si>
  <si>
    <t>DEVELOPMENT OF HEALTHCARE DELIVERY MODELS</t>
  </si>
  <si>
    <t>PARK WEST CLINIC</t>
  </si>
  <si>
    <t>SHARP - SINAI HOSP. ADDICTIONS RECOVERY PROGRAM</t>
  </si>
  <si>
    <t>PSYCHIATRIC ED CONSULTATION SERVICE</t>
  </si>
  <si>
    <t xml:space="preserve">INTENSIVE OUTPATIENT/ INPATIENT PROGRAM PSYCHIATRY </t>
  </si>
  <si>
    <t>OB/GYN, INTERNAL MEDICINE, MEDICINE ACADEMIC HOSPITALISTS</t>
  </si>
  <si>
    <t>ADULT OUTPATIENT PSYCHIATRY - CLINIC</t>
  </si>
  <si>
    <t>PARK HEIGHTS COMMUNITY - CLINIC</t>
  </si>
  <si>
    <t>EMCARE - ER subisidary</t>
  </si>
  <si>
    <t>tcollins@lifebridgehealth.org</t>
  </si>
  <si>
    <t>Tawni Collins</t>
  </si>
  <si>
    <t>Sinai Hospital of Baltimore</t>
  </si>
  <si>
    <t>Sales Taxes, Property Taxes, Income Taxes</t>
  </si>
  <si>
    <t>Sub Acute Services (unregulated)</t>
  </si>
  <si>
    <t>Baby Auto Seat Checks</t>
  </si>
  <si>
    <t>Transport Service</t>
  </si>
  <si>
    <t>Mall Walkers</t>
  </si>
  <si>
    <t>chuckstewart@southernmarylandhospital.com</t>
  </si>
  <si>
    <t>301-877-5527</t>
  </si>
  <si>
    <t>Charles R Stewart</t>
  </si>
  <si>
    <t>Southern Maryland Hospital</t>
  </si>
  <si>
    <t>Physician ED Indigent Care Subsidies</t>
  </si>
  <si>
    <t>Community Care Center</t>
  </si>
  <si>
    <t>Morrell Park</t>
  </si>
  <si>
    <t>Mission of Mercy</t>
  </si>
  <si>
    <t>My Brother's Keeper</t>
  </si>
  <si>
    <t>Sarah's Hope</t>
  </si>
  <si>
    <t>mlomax@stagnes.org</t>
  </si>
  <si>
    <t>410.368.2926</t>
  </si>
  <si>
    <t>Mitch Lomax   Director, Reimbursement</t>
  </si>
  <si>
    <t>Saint Agnes Hospital</t>
  </si>
  <si>
    <t>Community Benefit Planning/Grant Review</t>
  </si>
  <si>
    <t>A4-Spiritual Care Orthopedic Group</t>
  </si>
  <si>
    <t>A4-Community Cancer Advisory Council</t>
  </si>
  <si>
    <t>A4- Center for Health Enhancement</t>
  </si>
  <si>
    <t>bethkelly@chi-east.org</t>
  </si>
  <si>
    <t>410-337-1507</t>
  </si>
  <si>
    <t>Beth Kelly</t>
  </si>
  <si>
    <t>St. Joseph Medical Center</t>
  </si>
  <si>
    <t>Foundation Scholarships</t>
  </si>
  <si>
    <t>Community Benefits Paragraph Coordination</t>
  </si>
  <si>
    <t>Physician Recruitment &amp; Retainage</t>
  </si>
  <si>
    <t>Patient Healthcare Needs</t>
  </si>
  <si>
    <t>Immunization Clinics</t>
  </si>
  <si>
    <t>American Red Cross Blood Drives</t>
  </si>
  <si>
    <t>richard _braam@smhwecare.com</t>
  </si>
  <si>
    <t>301-475-6003</t>
  </si>
  <si>
    <t>Richard A. Braam, CPA, MBA, Vice President, Finance</t>
  </si>
  <si>
    <t>St. Mary's Hospital</t>
  </si>
  <si>
    <t>Behavioral Health On-Call (ED)</t>
  </si>
  <si>
    <t>OB/GYN On-Call (ED)</t>
  </si>
  <si>
    <t>ENT On-Call (ED)</t>
  </si>
  <si>
    <t>Heartwell Program</t>
  </si>
  <si>
    <t>Elderwell/Care Management Program</t>
  </si>
  <si>
    <t>Trauma On-Call Coverage</t>
  </si>
  <si>
    <t>Tutoring/Mentoring</t>
  </si>
  <si>
    <t>Heart Walk</t>
  </si>
  <si>
    <t>msanfuentes@suburbanhospital.org</t>
  </si>
  <si>
    <t>301-896-3572</t>
  </si>
  <si>
    <t>Monique Sanfuentes</t>
  </si>
  <si>
    <t>21-0022</t>
  </si>
  <si>
    <t>Suburban Hospital</t>
  </si>
  <si>
    <t>UH Hardship Fund</t>
  </si>
  <si>
    <t>Maryland Health Institute Grant</t>
  </si>
  <si>
    <t xml:space="preserve">Adult Day Care Services </t>
  </si>
  <si>
    <t>Physician Referrals</t>
  </si>
  <si>
    <t xml:space="preserve">Physician Income Guarantees </t>
  </si>
  <si>
    <t>Meals on Wheels</t>
  </si>
  <si>
    <t>Lifeline</t>
  </si>
  <si>
    <t>tbartow@uhcc.com</t>
  </si>
  <si>
    <t>410-398-4000 Ext. 1902</t>
  </si>
  <si>
    <t xml:space="preserve">Toni Bartow </t>
  </si>
  <si>
    <t>1022</t>
  </si>
  <si>
    <t>0032</t>
  </si>
  <si>
    <t xml:space="preserve">Union Hospital of Cecil County </t>
  </si>
  <si>
    <t>COMMUNITY OUTPATIENT PSYCHIATRIC CLINICS</t>
  </si>
  <si>
    <t>UNIVERSITY CARE COMMUNITY CLINICS/UCARE</t>
  </si>
  <si>
    <t>ACUNNINGHAM@UMM.EDU</t>
  </si>
  <si>
    <t>410-328-1380</t>
  </si>
  <si>
    <t>ALICIA CUNNINGHAM</t>
  </si>
  <si>
    <t>0002, 8992, 8994</t>
  </si>
  <si>
    <t>UNIVERSITY OF MARYLAND MEDICAL CENTER</t>
  </si>
  <si>
    <t>UCMC ED Physician Subsidies</t>
  </si>
  <si>
    <t>Upper Chesapeake Medical Center</t>
  </si>
  <si>
    <t>Disaster Preparedness</t>
  </si>
  <si>
    <t>Womens &amp; Childrens Services</t>
  </si>
  <si>
    <t>Non-Resident House Staff and Hospitalist</t>
  </si>
  <si>
    <t>Washington Adventist Hospital</t>
  </si>
  <si>
    <t>JRM Cancer Education Fund</t>
  </si>
  <si>
    <t>Hospital Owned Respiratory Care Program</t>
  </si>
  <si>
    <t>On-Call Fees - Emergency Specialist Call</t>
  </si>
  <si>
    <t>Emergency Department Physician Subsidy ~ contract terminated effective 10/1/2008</t>
  </si>
  <si>
    <t>Level III Trauma Program</t>
  </si>
  <si>
    <t>Hospital Owned Psychiatric Practice</t>
  </si>
  <si>
    <t>Hospital Owned Women's Health Program ~ Transferred to For-Profit effective 10/1/2008</t>
  </si>
  <si>
    <t>Western Maryland Prescription Drug Program</t>
  </si>
  <si>
    <t>Hospital Owned Endocrinology &amp; Diabetes Program</t>
  </si>
  <si>
    <t>Interships and "Job Shadowing" Mentoring Program Costs</t>
  </si>
  <si>
    <t>Dianna.Rounds@wchsys.org</t>
  </si>
  <si>
    <t>301-790-8882</t>
  </si>
  <si>
    <t>Dianna V. Rounds, Cost &amp; Reimbursement Manager</t>
  </si>
  <si>
    <t>Washington County Hospital Association</t>
  </si>
  <si>
    <t># of Staff Hours</t>
  </si>
  <si>
    <t># of Encounters</t>
  </si>
  <si>
    <t>Direct Cost ($)</t>
  </si>
  <si>
    <t>Indirect Cost ($)</t>
  </si>
  <si>
    <t>Net Community Benefit W/Indirect Cost</t>
  </si>
  <si>
    <t>Net Community Benefit W/O Indirect Cost</t>
  </si>
  <si>
    <t>One-Time/Occassionally Held Clinics</t>
  </si>
  <si>
    <t>Other</t>
  </si>
  <si>
    <t>totals</t>
  </si>
  <si>
    <t xml:space="preserve">Other  </t>
  </si>
  <si>
    <t>Totals</t>
  </si>
  <si>
    <t>Mission Driven Health Services</t>
  </si>
  <si>
    <t>Clinical</t>
  </si>
  <si>
    <t>E5</t>
  </si>
  <si>
    <t>Sales Taxes, Property Taxes, Income Taxes*</t>
  </si>
  <si>
    <t xml:space="preserve">F4 </t>
  </si>
  <si>
    <t>Community Health/Health Assets Assessments</t>
  </si>
  <si>
    <t>Other Resources</t>
  </si>
  <si>
    <t>Charity Care (report total only)</t>
  </si>
  <si>
    <t>Total Hospital Community Benefit</t>
  </si>
  <si>
    <t>Finanical Contributions</t>
  </si>
  <si>
    <t>Total Hospital Community Benefits</t>
  </si>
  <si>
    <t>TOTAL OPERATING EXPENSE</t>
  </si>
  <si>
    <t>% OF OPERATING EXPENSES W/IC</t>
  </si>
  <si>
    <t>% OF OPERATING EXPENSES W/O IC</t>
  </si>
  <si>
    <t>FY 2009 Maryland Hospital Community Benefit Totals</t>
  </si>
  <si>
    <t>Total</t>
  </si>
  <si>
    <t xml:space="preserve">Hospital Name: </t>
  </si>
  <si>
    <t xml:space="preserve">   Baltimore Washington Medical Center</t>
  </si>
  <si>
    <t xml:space="preserve">    Kim Davidson</t>
  </si>
  <si>
    <t xml:space="preserve">   410-787-4366</t>
  </si>
  <si>
    <t xml:space="preserve">    kdavidson@bwmc.umms.org</t>
  </si>
  <si>
    <r>
      <t>HSCRC Hospital ID #</t>
    </r>
    <r>
      <rPr>
        <sz val="10"/>
        <rFont val="Times New Roman"/>
        <family val="1"/>
      </rPr>
      <t>:</t>
    </r>
  </si>
  <si>
    <r>
      <t># of Employees</t>
    </r>
    <r>
      <rPr>
        <sz val="10"/>
        <rFont val="Times New Roman"/>
        <family val="1"/>
      </rPr>
      <t>:</t>
    </r>
  </si>
  <si>
    <r>
      <t>Contact Person</t>
    </r>
    <r>
      <rPr>
        <sz val="10"/>
        <rFont val="Times New Roman"/>
        <family val="1"/>
      </rPr>
      <t>:</t>
    </r>
  </si>
  <si>
    <r>
      <t>Contact Number</t>
    </r>
    <r>
      <rPr>
        <sz val="10"/>
        <rFont val="Times New Roman"/>
        <family val="1"/>
      </rPr>
      <t xml:space="preserve">: </t>
    </r>
  </si>
  <si>
    <t>Offsetting Revenue</t>
  </si>
  <si>
    <t>w/indirect cost</t>
  </si>
  <si>
    <t>offsetting revenue</t>
  </si>
  <si>
    <t>FY 2008 Maryland Hospital Community Benefit Totals</t>
  </si>
  <si>
    <t>Net Community Benefit W/Indirect Costs</t>
  </si>
  <si>
    <t>Net Community Benefit W/O Indirect Costs</t>
  </si>
  <si>
    <t>FY 2008</t>
  </si>
  <si>
    <t>2008 Net Community Benefit W/Indirect Cost</t>
  </si>
  <si>
    <t>2008 Net Community Benefit W/O Indirect Cost</t>
  </si>
  <si>
    <t>FY 2009</t>
  </si>
  <si>
    <t>2009 Net Community Benefit W/Indirect Cost</t>
  </si>
  <si>
    <t>2009 Net Community Benefit W/O Indirect Cost</t>
  </si>
  <si>
    <t>% Increase from 2008 to 2009 W/Indirect costs</t>
  </si>
  <si>
    <t>% Increase from 2008 to 2009 W/O Indirect costs</t>
  </si>
  <si>
    <t>FY 2009 CBR versus FY 2008 CBR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</si>
</sst>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  <numFmt numFmtId="166" formatCode="0.00_)"/>
    <numFmt numFmtId="167" formatCode="&quot;$&quot;#,##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Arial"/>
      <family val="2"/>
    </font>
    <font>
      <b/>
      <i/>
      <sz val="16"/>
      <name val="Helv"/>
    </font>
    <font>
      <b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name val="CG Times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6" fontId="19" fillId="0" borderId="0"/>
    <xf numFmtId="0" fontId="1" fillId="0" borderId="0"/>
    <xf numFmtId="0" fontId="16" fillId="0" borderId="0"/>
    <xf numFmtId="0" fontId="8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3">
    <xf numFmtId="0" fontId="0" fillId="0" borderId="0" xfId="0"/>
    <xf numFmtId="0" fontId="1" fillId="0" borderId="0" xfId="7" applyAlignment="1">
      <alignment horizontal="left"/>
    </xf>
    <xf numFmtId="0" fontId="1" fillId="0" borderId="0" xfId="7"/>
    <xf numFmtId="0" fontId="1" fillId="0" borderId="0" xfId="7" applyAlignment="1">
      <alignment horizontal="centerContinuous"/>
    </xf>
    <xf numFmtId="0" fontId="2" fillId="0" borderId="0" xfId="7" applyFont="1" applyAlignment="1">
      <alignment horizontal="centerContinuous"/>
    </xf>
    <xf numFmtId="0" fontId="2" fillId="0" borderId="0" xfId="7" applyFont="1"/>
    <xf numFmtId="0" fontId="2" fillId="0" borderId="0" xfId="7" applyFont="1" applyAlignment="1">
      <alignment horizontal="right"/>
    </xf>
    <xf numFmtId="0" fontId="4" fillId="0" borderId="0" xfId="7" applyFont="1" applyFill="1" applyBorder="1" applyAlignment="1">
      <alignment horizontal="left"/>
    </xf>
    <xf numFmtId="0" fontId="2" fillId="0" borderId="0" xfId="7" applyFont="1" applyAlignment="1">
      <alignment horizontal="center" wrapText="1"/>
    </xf>
    <xf numFmtId="0" fontId="2" fillId="0" borderId="0" xfId="7" applyFont="1" applyAlignment="1">
      <alignment horizontal="left"/>
    </xf>
    <xf numFmtId="0" fontId="1" fillId="0" borderId="0" xfId="7" applyFont="1"/>
    <xf numFmtId="3" fontId="1" fillId="2" borderId="1" xfId="7" applyNumberFormat="1" applyFill="1" applyBorder="1" applyProtection="1">
      <protection locked="0"/>
    </xf>
    <xf numFmtId="165" fontId="1" fillId="2" borderId="1" xfId="7" applyNumberFormat="1" applyFill="1" applyBorder="1" applyProtection="1">
      <protection locked="0"/>
    </xf>
    <xf numFmtId="165" fontId="1" fillId="2" borderId="2" xfId="7" applyNumberFormat="1" applyFill="1" applyBorder="1" applyProtection="1">
      <protection locked="0"/>
    </xf>
    <xf numFmtId="165" fontId="1" fillId="2" borderId="1" xfId="7" applyNumberFormat="1" applyFill="1" applyBorder="1"/>
    <xf numFmtId="49" fontId="7" fillId="2" borderId="2" xfId="7" applyNumberFormat="1" applyFont="1" applyFill="1" applyBorder="1" applyAlignment="1" applyProtection="1">
      <protection locked="0"/>
    </xf>
    <xf numFmtId="49" fontId="7" fillId="2" borderId="3" xfId="7" applyNumberFormat="1" applyFont="1" applyFill="1" applyBorder="1" applyAlignment="1" applyProtection="1">
      <protection locked="0"/>
    </xf>
    <xf numFmtId="49" fontId="7" fillId="2" borderId="4" xfId="7" applyNumberFormat="1" applyFont="1" applyFill="1" applyBorder="1" applyAlignment="1" applyProtection="1">
      <protection locked="0"/>
    </xf>
    <xf numFmtId="165" fontId="1" fillId="0" borderId="1" xfId="7" applyNumberFormat="1" applyFill="1" applyBorder="1"/>
    <xf numFmtId="3" fontId="1" fillId="2" borderId="1" xfId="7" applyNumberFormat="1" applyFill="1" applyBorder="1"/>
    <xf numFmtId="3" fontId="1" fillId="0" borderId="5" xfId="7" applyNumberFormat="1" applyFill="1" applyBorder="1"/>
    <xf numFmtId="165" fontId="1" fillId="0" borderId="5" xfId="7" applyNumberFormat="1" applyFill="1" applyBorder="1"/>
    <xf numFmtId="165" fontId="1" fillId="3" borderId="6" xfId="7" applyNumberFormat="1" applyFill="1" applyBorder="1"/>
    <xf numFmtId="0" fontId="1" fillId="0" borderId="0" xfId="7" applyFont="1" applyBorder="1"/>
    <xf numFmtId="0" fontId="1" fillId="0" borderId="0" xfId="7" applyBorder="1"/>
    <xf numFmtId="1" fontId="1" fillId="2" borderId="1" xfId="7" applyNumberFormat="1" applyFill="1" applyBorder="1"/>
    <xf numFmtId="0" fontId="1" fillId="0" borderId="5" xfId="7" applyBorder="1"/>
    <xf numFmtId="49" fontId="1" fillId="2" borderId="2" xfId="7" applyNumberFormat="1" applyFill="1" applyBorder="1" applyAlignment="1" applyProtection="1">
      <protection locked="0"/>
    </xf>
    <xf numFmtId="49" fontId="1" fillId="2" borderId="3" xfId="7" applyNumberFormat="1" applyFill="1" applyBorder="1" applyAlignment="1" applyProtection="1">
      <protection locked="0"/>
    </xf>
    <xf numFmtId="49" fontId="1" fillId="2" borderId="4" xfId="7" applyNumberFormat="1" applyFill="1" applyBorder="1" applyAlignment="1" applyProtection="1">
      <protection locked="0"/>
    </xf>
    <xf numFmtId="49" fontId="1" fillId="2" borderId="2" xfId="7" applyNumberFormat="1" applyFont="1" applyFill="1" applyBorder="1" applyAlignment="1" applyProtection="1">
      <protection locked="0"/>
    </xf>
    <xf numFmtId="165" fontId="1" fillId="3" borderId="2" xfId="7" applyNumberFormat="1" applyFill="1" applyBorder="1" applyProtection="1"/>
    <xf numFmtId="0" fontId="1" fillId="3" borderId="1" xfId="7" applyFill="1" applyBorder="1"/>
    <xf numFmtId="165" fontId="1" fillId="3" borderId="1" xfId="7" applyNumberFormat="1" applyFill="1" applyBorder="1"/>
    <xf numFmtId="0" fontId="1" fillId="2" borderId="1" xfId="7" applyFill="1" applyBorder="1" applyProtection="1">
      <protection locked="0"/>
    </xf>
    <xf numFmtId="3" fontId="1" fillId="2" borderId="7" xfId="7" applyNumberFormat="1" applyFill="1" applyBorder="1" applyProtection="1">
      <protection locked="0"/>
    </xf>
    <xf numFmtId="165" fontId="1" fillId="2" borderId="7" xfId="7" applyNumberFormat="1" applyFill="1" applyBorder="1" applyProtection="1">
      <protection locked="0"/>
    </xf>
    <xf numFmtId="49" fontId="1" fillId="2" borderId="8" xfId="7" applyNumberFormat="1" applyFill="1" applyBorder="1" applyAlignment="1" applyProtection="1">
      <protection locked="0"/>
    </xf>
    <xf numFmtId="49" fontId="1" fillId="2" borderId="9" xfId="7" applyNumberFormat="1" applyFill="1" applyBorder="1" applyAlignment="1" applyProtection="1">
      <protection locked="0"/>
    </xf>
    <xf numFmtId="49" fontId="1" fillId="2" borderId="10" xfId="7" applyNumberFormat="1" applyFill="1" applyBorder="1" applyAlignment="1" applyProtection="1">
      <protection locked="0"/>
    </xf>
    <xf numFmtId="3" fontId="1" fillId="3" borderId="1" xfId="7" applyNumberFormat="1" applyFill="1" applyBorder="1" applyProtection="1">
      <protection locked="0"/>
    </xf>
    <xf numFmtId="165" fontId="1" fillId="3" borderId="1" xfId="7" applyNumberFormat="1" applyFill="1" applyBorder="1" applyProtection="1">
      <protection locked="0"/>
    </xf>
    <xf numFmtId="165" fontId="1" fillId="3" borderId="1" xfId="7" applyNumberFormat="1" applyFill="1" applyBorder="1" applyProtection="1"/>
    <xf numFmtId="0" fontId="1" fillId="2" borderId="1" xfId="7" applyFill="1" applyBorder="1"/>
    <xf numFmtId="0" fontId="1" fillId="2" borderId="1" xfId="7" applyFill="1" applyBorder="1" applyProtection="1"/>
    <xf numFmtId="165" fontId="1" fillId="2" borderId="1" xfId="7" applyNumberFormat="1" applyFill="1" applyBorder="1" applyProtection="1"/>
    <xf numFmtId="3" fontId="1" fillId="2" borderId="11" xfId="7" applyNumberFormat="1" applyFill="1" applyBorder="1" applyProtection="1">
      <protection locked="0"/>
    </xf>
    <xf numFmtId="165" fontId="1" fillId="2" borderId="11" xfId="7" applyNumberFormat="1" applyFill="1" applyBorder="1" applyProtection="1">
      <protection locked="0"/>
    </xf>
    <xf numFmtId="165" fontId="1" fillId="2" borderId="1" xfId="7" applyNumberFormat="1" applyFont="1" applyFill="1" applyBorder="1" applyProtection="1">
      <protection locked="0"/>
    </xf>
    <xf numFmtId="0" fontId="1" fillId="0" borderId="9" xfId="7" applyBorder="1" applyAlignment="1">
      <alignment horizontal="left"/>
    </xf>
    <xf numFmtId="0" fontId="2" fillId="0" borderId="9" xfId="7" applyFont="1" applyBorder="1"/>
    <xf numFmtId="0" fontId="1" fillId="0" borderId="9" xfId="7" applyBorder="1"/>
    <xf numFmtId="0" fontId="1" fillId="0" borderId="0" xfId="7" applyFill="1" applyBorder="1"/>
    <xf numFmtId="10" fontId="1" fillId="2" borderId="1" xfId="7" applyNumberFormat="1" applyFill="1" applyBorder="1" applyProtection="1">
      <protection locked="0"/>
    </xf>
    <xf numFmtId="3" fontId="1" fillId="2" borderId="7" xfId="7" applyNumberFormat="1" applyFill="1" applyBorder="1"/>
    <xf numFmtId="3" fontId="1" fillId="3" borderId="7" xfId="7" applyNumberFormat="1" applyFill="1" applyBorder="1"/>
    <xf numFmtId="165" fontId="1" fillId="3" borderId="7" xfId="7" applyNumberFormat="1" applyFill="1" applyBorder="1"/>
    <xf numFmtId="165" fontId="1" fillId="2" borderId="7" xfId="7" applyNumberFormat="1" applyFill="1" applyBorder="1"/>
    <xf numFmtId="0" fontId="1" fillId="0" borderId="12" xfId="7" applyBorder="1"/>
    <xf numFmtId="3" fontId="1" fillId="2" borderId="13" xfId="7" applyNumberFormat="1" applyFill="1" applyBorder="1"/>
    <xf numFmtId="3" fontId="1" fillId="2" borderId="14" xfId="7" applyNumberFormat="1" applyFill="1" applyBorder="1"/>
    <xf numFmtId="3" fontId="1" fillId="2" borderId="15" xfId="7" applyNumberFormat="1" applyFill="1" applyBorder="1"/>
    <xf numFmtId="0" fontId="24" fillId="2" borderId="1" xfId="10" applyNumberFormat="1" applyFont="1" applyFill="1" applyBorder="1" applyProtection="1"/>
    <xf numFmtId="0" fontId="8" fillId="0" borderId="0" xfId="7" applyFont="1"/>
    <xf numFmtId="0" fontId="8" fillId="0" borderId="0" xfId="7" applyFont="1" applyBorder="1"/>
    <xf numFmtId="0" fontId="9" fillId="0" borderId="0" xfId="7" applyFont="1" applyAlignment="1">
      <alignment horizontal="left"/>
    </xf>
    <xf numFmtId="0" fontId="10" fillId="0" borderId="0" xfId="7" applyFont="1"/>
    <xf numFmtId="0" fontId="11" fillId="0" borderId="0" xfId="7" applyFont="1" applyAlignment="1">
      <alignment horizontal="center"/>
    </xf>
    <xf numFmtId="0" fontId="10" fillId="0" borderId="0" xfId="7" applyFont="1" applyAlignment="1">
      <alignment horizontal="left"/>
    </xf>
    <xf numFmtId="0" fontId="12" fillId="0" borderId="0" xfId="7" applyFont="1"/>
    <xf numFmtId="0" fontId="10" fillId="0" borderId="0" xfId="7" applyFont="1" applyAlignment="1">
      <alignment horizontal="center"/>
    </xf>
    <xf numFmtId="0" fontId="12" fillId="0" borderId="0" xfId="7" applyFont="1" applyAlignment="1">
      <alignment horizontal="left"/>
    </xf>
    <xf numFmtId="49" fontId="10" fillId="0" borderId="0" xfId="7" applyNumberFormat="1" applyFont="1" applyFill="1" applyBorder="1" applyAlignment="1" applyProtection="1">
      <protection locked="0"/>
    </xf>
    <xf numFmtId="49" fontId="10" fillId="0" borderId="0" xfId="7" applyNumberFormat="1" applyFont="1" applyFill="1" applyBorder="1" applyAlignment="1" applyProtection="1">
      <alignment horizontal="center"/>
      <protection locked="0"/>
    </xf>
    <xf numFmtId="0" fontId="12" fillId="0" borderId="0" xfId="7" applyFont="1" applyAlignment="1">
      <alignment horizontal="right"/>
    </xf>
    <xf numFmtId="0" fontId="12" fillId="0" borderId="0" xfId="7" applyFont="1" applyAlignment="1">
      <alignment horizontal="center"/>
    </xf>
    <xf numFmtId="0" fontId="10" fillId="0" borderId="0" xfId="7" applyFont="1" applyAlignment="1">
      <alignment horizontal="centerContinuous"/>
    </xf>
    <xf numFmtId="0" fontId="13" fillId="0" borderId="0" xfId="7" applyFont="1" applyAlignment="1">
      <alignment horizontal="center" wrapText="1"/>
    </xf>
    <xf numFmtId="3" fontId="10" fillId="2" borderId="1" xfId="7" applyNumberFormat="1" applyFont="1" applyFill="1" applyBorder="1" applyAlignment="1" applyProtection="1">
      <alignment horizontal="center"/>
      <protection locked="0"/>
    </xf>
    <xf numFmtId="42" fontId="10" fillId="2" borderId="1" xfId="7" applyNumberFormat="1" applyFont="1" applyFill="1" applyBorder="1" applyProtection="1">
      <protection locked="0"/>
    </xf>
    <xf numFmtId="42" fontId="10" fillId="2" borderId="2" xfId="7" applyNumberFormat="1" applyFont="1" applyFill="1" applyBorder="1" applyProtection="1">
      <protection locked="0"/>
    </xf>
    <xf numFmtId="42" fontId="10" fillId="2" borderId="1" xfId="7" applyNumberFormat="1" applyFont="1" applyFill="1" applyBorder="1"/>
    <xf numFmtId="0" fontId="10" fillId="0" borderId="0" xfId="7" applyFont="1" applyBorder="1"/>
    <xf numFmtId="49" fontId="10" fillId="2" borderId="1" xfId="7" applyNumberFormat="1" applyFont="1" applyFill="1" applyBorder="1" applyAlignment="1" applyProtection="1">
      <protection locked="0"/>
    </xf>
    <xf numFmtId="42" fontId="10" fillId="0" borderId="0" xfId="7" applyNumberFormat="1" applyFont="1"/>
    <xf numFmtId="42" fontId="10" fillId="0" borderId="1" xfId="7" applyNumberFormat="1" applyFont="1" applyFill="1" applyBorder="1"/>
    <xf numFmtId="3" fontId="10" fillId="2" borderId="1" xfId="7" applyNumberFormat="1" applyFont="1" applyFill="1" applyBorder="1" applyAlignment="1">
      <alignment horizontal="center"/>
    </xf>
    <xf numFmtId="0" fontId="10" fillId="0" borderId="16" xfId="7" applyFont="1" applyBorder="1" applyAlignment="1">
      <alignment horizontal="left"/>
    </xf>
    <xf numFmtId="0" fontId="12" fillId="0" borderId="16" xfId="7" applyFont="1" applyBorder="1"/>
    <xf numFmtId="0" fontId="10" fillId="0" borderId="16" xfId="7" applyFont="1" applyBorder="1"/>
    <xf numFmtId="3" fontId="10" fillId="0" borderId="5" xfId="7" applyNumberFormat="1" applyFont="1" applyFill="1" applyBorder="1" applyAlignment="1">
      <alignment horizontal="center"/>
    </xf>
    <xf numFmtId="165" fontId="10" fillId="0" borderId="5" xfId="7" applyNumberFormat="1" applyFont="1" applyFill="1" applyBorder="1"/>
    <xf numFmtId="165" fontId="10" fillId="3" borderId="6" xfId="7" applyNumberFormat="1" applyFont="1" applyFill="1" applyBorder="1"/>
    <xf numFmtId="0" fontId="10" fillId="0" borderId="0" xfId="7" applyFont="1" applyAlignment="1"/>
    <xf numFmtId="49" fontId="14" fillId="2" borderId="1" xfId="7" applyNumberFormat="1" applyFont="1" applyFill="1" applyBorder="1" applyAlignment="1" applyProtection="1">
      <protection locked="0"/>
    </xf>
    <xf numFmtId="3" fontId="10" fillId="0" borderId="0" xfId="7" applyNumberFormat="1" applyFont="1" applyAlignment="1">
      <alignment horizontal="center"/>
    </xf>
    <xf numFmtId="0" fontId="10" fillId="0" borderId="16" xfId="7" applyFont="1" applyBorder="1" applyAlignment="1">
      <alignment horizontal="center"/>
    </xf>
    <xf numFmtId="0" fontId="10" fillId="0" borderId="5" xfId="7" applyFont="1" applyBorder="1" applyAlignment="1">
      <alignment horizontal="center"/>
    </xf>
    <xf numFmtId="0" fontId="10" fillId="0" borderId="5" xfId="7" applyFont="1" applyBorder="1"/>
    <xf numFmtId="0" fontId="12" fillId="0" borderId="9" xfId="7" applyFont="1" applyBorder="1" applyAlignment="1">
      <alignment wrapText="1"/>
    </xf>
    <xf numFmtId="42" fontId="10" fillId="2" borderId="1" xfId="7" applyNumberFormat="1" applyFont="1" applyFill="1" applyBorder="1" applyProtection="1"/>
    <xf numFmtId="0" fontId="10" fillId="0" borderId="0" xfId="7" applyFont="1" applyBorder="1" applyAlignment="1">
      <alignment horizontal="center"/>
    </xf>
    <xf numFmtId="42" fontId="10" fillId="2" borderId="7" xfId="7" applyNumberFormat="1" applyFont="1" applyFill="1" applyBorder="1" applyProtection="1">
      <protection locked="0"/>
    </xf>
    <xf numFmtId="3" fontId="10" fillId="3" borderId="1" xfId="7" applyNumberFormat="1" applyFont="1" applyFill="1" applyBorder="1" applyAlignment="1" applyProtection="1">
      <alignment horizontal="center"/>
      <protection locked="0"/>
    </xf>
    <xf numFmtId="42" fontId="10" fillId="3" borderId="1" xfId="7" applyNumberFormat="1" applyFont="1" applyFill="1" applyBorder="1" applyProtection="1">
      <protection locked="0"/>
    </xf>
    <xf numFmtId="42" fontId="10" fillId="3" borderId="1" xfId="7" applyNumberFormat="1" applyFont="1" applyFill="1" applyBorder="1" applyProtection="1"/>
    <xf numFmtId="42" fontId="10" fillId="3" borderId="1" xfId="7" applyNumberFormat="1" applyFont="1" applyFill="1" applyBorder="1"/>
    <xf numFmtId="3" fontId="10" fillId="2" borderId="1" xfId="7" applyNumberFormat="1" applyFont="1" applyFill="1" applyBorder="1" applyAlignment="1" applyProtection="1">
      <alignment horizontal="center"/>
    </xf>
    <xf numFmtId="0" fontId="12" fillId="0" borderId="16" xfId="7" applyFont="1" applyBorder="1" applyAlignment="1">
      <alignment horizontal="right"/>
    </xf>
    <xf numFmtId="42" fontId="10" fillId="2" borderId="11" xfId="7" applyNumberFormat="1" applyFont="1" applyFill="1" applyBorder="1" applyProtection="1">
      <protection locked="0"/>
    </xf>
    <xf numFmtId="42" fontId="10" fillId="2" borderId="1" xfId="7" applyNumberFormat="1" applyFont="1" applyFill="1" applyBorder="1" applyAlignment="1" applyProtection="1">
      <alignment horizontal="center"/>
      <protection locked="0"/>
    </xf>
    <xf numFmtId="0" fontId="10" fillId="0" borderId="0" xfId="7" applyFont="1" applyFill="1" applyBorder="1" applyAlignment="1">
      <alignment horizontal="center"/>
    </xf>
    <xf numFmtId="10" fontId="10" fillId="2" borderId="1" xfId="7" applyNumberFormat="1" applyFont="1" applyFill="1" applyBorder="1" applyAlignment="1" applyProtection="1">
      <alignment horizontal="center"/>
      <protection locked="0"/>
    </xf>
    <xf numFmtId="49" fontId="10" fillId="2" borderId="2" xfId="7" applyNumberFormat="1" applyFont="1" applyFill="1" applyBorder="1" applyAlignment="1" applyProtection="1">
      <protection locked="0"/>
    </xf>
    <xf numFmtId="49" fontId="14" fillId="2" borderId="2" xfId="7" applyNumberFormat="1" applyFont="1" applyFill="1" applyBorder="1" applyAlignment="1" applyProtection="1">
      <protection locked="0"/>
    </xf>
    <xf numFmtId="42" fontId="10" fillId="2" borderId="7" xfId="7" applyNumberFormat="1" applyFont="1" applyFill="1" applyBorder="1"/>
    <xf numFmtId="3" fontId="10" fillId="3" borderId="7" xfId="7" applyNumberFormat="1" applyFont="1" applyFill="1" applyBorder="1" applyAlignment="1">
      <alignment horizontal="center"/>
    </xf>
    <xf numFmtId="165" fontId="10" fillId="3" borderId="7" xfId="7" applyNumberFormat="1" applyFont="1" applyFill="1" applyBorder="1"/>
    <xf numFmtId="0" fontId="10" fillId="0" borderId="12" xfId="7" applyFont="1" applyBorder="1" applyAlignment="1">
      <alignment horizontal="center"/>
    </xf>
    <xf numFmtId="0" fontId="10" fillId="0" borderId="12" xfId="7" applyFont="1" applyBorder="1"/>
    <xf numFmtId="3" fontId="10" fillId="2" borderId="13" xfId="7" applyNumberFormat="1" applyFont="1" applyFill="1" applyBorder="1" applyAlignment="1">
      <alignment horizontal="center"/>
    </xf>
    <xf numFmtId="3" fontId="10" fillId="2" borderId="14" xfId="7" applyNumberFormat="1" applyFont="1" applyFill="1" applyBorder="1" applyAlignment="1">
      <alignment horizontal="center"/>
    </xf>
    <xf numFmtId="42" fontId="10" fillId="2" borderId="14" xfId="7" applyNumberFormat="1" applyFont="1" applyFill="1" applyBorder="1"/>
    <xf numFmtId="42" fontId="10" fillId="2" borderId="15" xfId="7" applyNumberFormat="1" applyFont="1" applyFill="1" applyBorder="1"/>
    <xf numFmtId="10" fontId="10" fillId="2" borderId="1" xfId="10" applyNumberFormat="1" applyFont="1" applyFill="1" applyBorder="1" applyAlignment="1" applyProtection="1">
      <alignment horizontal="center"/>
    </xf>
    <xf numFmtId="0" fontId="12" fillId="0" borderId="0" xfId="7" applyFont="1" applyAlignment="1"/>
    <xf numFmtId="0" fontId="11" fillId="0" borderId="0" xfId="7" applyFont="1"/>
    <xf numFmtId="0" fontId="10" fillId="0" borderId="0" xfId="7" applyFont="1" applyFill="1" applyBorder="1"/>
    <xf numFmtId="49" fontId="8" fillId="2" borderId="2" xfId="7" applyNumberFormat="1" applyFont="1" applyFill="1" applyBorder="1" applyAlignment="1" applyProtection="1">
      <protection locked="0"/>
    </xf>
    <xf numFmtId="0" fontId="17" fillId="0" borderId="0" xfId="8" applyFont="1"/>
    <xf numFmtId="0" fontId="17" fillId="0" borderId="0" xfId="8" applyFont="1" applyAlignment="1">
      <alignment horizontal="left"/>
    </xf>
    <xf numFmtId="14" fontId="17" fillId="2" borderId="1" xfId="8" applyNumberFormat="1" applyFont="1" applyFill="1" applyBorder="1" applyProtection="1">
      <protection locked="0"/>
    </xf>
    <xf numFmtId="0" fontId="3" fillId="0" borderId="0" xfId="8" applyFont="1"/>
    <xf numFmtId="49" fontId="17" fillId="2" borderId="1" xfId="8" applyNumberFormat="1" applyFont="1" applyFill="1" applyBorder="1" applyProtection="1">
      <protection locked="0"/>
    </xf>
    <xf numFmtId="49" fontId="17" fillId="0" borderId="1" xfId="8" applyNumberFormat="1" applyFont="1" applyBorder="1" applyAlignment="1" applyProtection="1">
      <protection locked="0"/>
    </xf>
    <xf numFmtId="49" fontId="17" fillId="2" borderId="1" xfId="8" applyNumberFormat="1" applyFont="1" applyFill="1" applyBorder="1" applyAlignment="1" applyProtection="1">
      <protection locked="0"/>
    </xf>
    <xf numFmtId="49" fontId="3" fillId="2" borderId="1" xfId="8" applyNumberFormat="1" applyFont="1" applyFill="1" applyBorder="1" applyProtection="1">
      <protection locked="0"/>
    </xf>
    <xf numFmtId="0" fontId="17" fillId="0" borderId="0" xfId="8" applyFont="1" applyAlignment="1"/>
    <xf numFmtId="0" fontId="18" fillId="0" borderId="0" xfId="8" applyFont="1" applyAlignment="1"/>
    <xf numFmtId="0" fontId="3" fillId="0" borderId="0" xfId="8" applyFont="1" applyAlignment="1"/>
    <xf numFmtId="0" fontId="3" fillId="0" borderId="0" xfId="8" applyFont="1" applyAlignment="1">
      <alignment horizontal="left"/>
    </xf>
    <xf numFmtId="0" fontId="3" fillId="0" borderId="0" xfId="8" applyFont="1" applyAlignment="1">
      <alignment horizontal="right"/>
    </xf>
    <xf numFmtId="49" fontId="17" fillId="2" borderId="1" xfId="8" quotePrefix="1" applyNumberFormat="1" applyFont="1" applyFill="1" applyBorder="1" applyAlignment="1" applyProtection="1">
      <alignment horizontal="left"/>
      <protection locked="0"/>
    </xf>
    <xf numFmtId="0" fontId="18" fillId="0" borderId="0" xfId="8" applyFont="1"/>
    <xf numFmtId="10" fontId="17" fillId="2" borderId="1" xfId="11" applyNumberFormat="1" applyFont="1" applyFill="1" applyBorder="1" applyProtection="1"/>
    <xf numFmtId="7" fontId="17" fillId="0" borderId="0" xfId="8" applyNumberFormat="1" applyFont="1"/>
    <xf numFmtId="7" fontId="17" fillId="2" borderId="15" xfId="8" applyNumberFormat="1" applyFont="1" applyFill="1" applyBorder="1"/>
    <xf numFmtId="7" fontId="17" fillId="2" borderId="14" xfId="8" applyNumberFormat="1" applyFont="1" applyFill="1" applyBorder="1"/>
    <xf numFmtId="3" fontId="17" fillId="2" borderId="14" xfId="8" applyNumberFormat="1" applyFont="1" applyFill="1" applyBorder="1"/>
    <xf numFmtId="3" fontId="17" fillId="2" borderId="13" xfId="8" applyNumberFormat="1" applyFont="1" applyFill="1" applyBorder="1"/>
    <xf numFmtId="7" fontId="17" fillId="0" borderId="12" xfId="8" applyNumberFormat="1" applyFont="1" applyBorder="1"/>
    <xf numFmtId="0" fontId="17" fillId="0" borderId="12" xfId="8" applyFont="1" applyBorder="1"/>
    <xf numFmtId="7" fontId="17" fillId="2" borderId="1" xfId="8" applyNumberFormat="1" applyFont="1" applyFill="1" applyBorder="1"/>
    <xf numFmtId="3" fontId="17" fillId="2" borderId="1" xfId="8" applyNumberFormat="1" applyFont="1" applyFill="1" applyBorder="1"/>
    <xf numFmtId="7" fontId="17" fillId="2" borderId="7" xfId="8" applyNumberFormat="1" applyFont="1" applyFill="1" applyBorder="1"/>
    <xf numFmtId="7" fontId="17" fillId="3" borderId="7" xfId="8" applyNumberFormat="1" applyFont="1" applyFill="1" applyBorder="1"/>
    <xf numFmtId="3" fontId="17" fillId="3" borderId="7" xfId="8" applyNumberFormat="1" applyFont="1" applyFill="1" applyBorder="1"/>
    <xf numFmtId="3" fontId="17" fillId="2" borderId="7" xfId="8" applyNumberFormat="1" applyFont="1" applyFill="1" applyBorder="1"/>
    <xf numFmtId="7" fontId="3" fillId="0" borderId="0" xfId="8" applyNumberFormat="1" applyFont="1" applyAlignment="1">
      <alignment horizontal="center" wrapText="1"/>
    </xf>
    <xf numFmtId="0" fontId="3" fillId="0" borderId="0" xfId="8" applyFont="1" applyAlignment="1">
      <alignment horizontal="center" wrapText="1"/>
    </xf>
    <xf numFmtId="7" fontId="17" fillId="2" borderId="1" xfId="8" applyNumberFormat="1" applyFont="1" applyFill="1" applyBorder="1" applyProtection="1">
      <protection locked="0"/>
    </xf>
    <xf numFmtId="7" fontId="17" fillId="2" borderId="2" xfId="8" applyNumberFormat="1" applyFont="1" applyFill="1" applyBorder="1" applyProtection="1">
      <protection locked="0"/>
    </xf>
    <xf numFmtId="3" fontId="17" fillId="2" borderId="1" xfId="8" applyNumberFormat="1" applyFont="1" applyFill="1" applyBorder="1" applyProtection="1">
      <protection locked="0"/>
    </xf>
    <xf numFmtId="49" fontId="17" fillId="2" borderId="4" xfId="8" applyNumberFormat="1" applyFont="1" applyFill="1" applyBorder="1" applyAlignment="1" applyProtection="1">
      <protection locked="0"/>
    </xf>
    <xf numFmtId="49" fontId="17" fillId="2" borderId="3" xfId="8" applyNumberFormat="1" applyFont="1" applyFill="1" applyBorder="1" applyAlignment="1" applyProtection="1">
      <protection locked="0"/>
    </xf>
    <xf numFmtId="49" fontId="17" fillId="2" borderId="2" xfId="8" applyNumberFormat="1" applyFont="1" applyFill="1" applyBorder="1" applyAlignment="1" applyProtection="1">
      <protection locked="0"/>
    </xf>
    <xf numFmtId="165" fontId="17" fillId="2" borderId="1" xfId="8" applyNumberFormat="1" applyFont="1" applyFill="1" applyBorder="1" applyProtection="1">
      <protection locked="0"/>
    </xf>
    <xf numFmtId="10" fontId="17" fillId="2" borderId="1" xfId="8" applyNumberFormat="1" applyFont="1" applyFill="1" applyBorder="1" applyProtection="1">
      <protection locked="0"/>
    </xf>
    <xf numFmtId="0" fontId="17" fillId="0" borderId="0" xfId="8" applyFont="1" applyFill="1" applyBorder="1"/>
    <xf numFmtId="0" fontId="17" fillId="0" borderId="0" xfId="8" applyFont="1" applyBorder="1"/>
    <xf numFmtId="7" fontId="17" fillId="0" borderId="5" xfId="8" applyNumberFormat="1" applyFont="1" applyBorder="1"/>
    <xf numFmtId="0" fontId="17" fillId="0" borderId="5" xfId="8" applyFont="1" applyBorder="1"/>
    <xf numFmtId="0" fontId="17" fillId="0" borderId="9" xfId="8" applyFont="1" applyBorder="1"/>
    <xf numFmtId="0" fontId="3" fillId="0" borderId="9" xfId="8" applyFont="1" applyBorder="1"/>
    <xf numFmtId="0" fontId="17" fillId="0" borderId="9" xfId="8" applyFont="1" applyBorder="1" applyAlignment="1">
      <alignment horizontal="left"/>
    </xf>
    <xf numFmtId="37" fontId="17" fillId="2" borderId="1" xfId="8" applyNumberFormat="1" applyFont="1" applyFill="1" applyBorder="1"/>
    <xf numFmtId="37" fontId="17" fillId="0" borderId="0" xfId="8" applyNumberFormat="1" applyFont="1"/>
    <xf numFmtId="37" fontId="17" fillId="2" borderId="1" xfId="8" applyNumberFormat="1" applyFont="1" applyFill="1" applyBorder="1" applyProtection="1">
      <protection locked="0"/>
    </xf>
    <xf numFmtId="37" fontId="3" fillId="0" borderId="0" xfId="8" applyNumberFormat="1" applyFont="1" applyAlignment="1">
      <alignment horizontal="center" wrapText="1"/>
    </xf>
    <xf numFmtId="37" fontId="17" fillId="0" borderId="5" xfId="8" applyNumberFormat="1" applyFont="1" applyBorder="1"/>
    <xf numFmtId="7" fontId="17" fillId="2" borderId="11" xfId="8" applyNumberFormat="1" applyFont="1" applyFill="1" applyBorder="1" applyProtection="1">
      <protection locked="0"/>
    </xf>
    <xf numFmtId="37" fontId="17" fillId="2" borderId="11" xfId="8" applyNumberFormat="1" applyFont="1" applyFill="1" applyBorder="1" applyProtection="1">
      <protection locked="0"/>
    </xf>
    <xf numFmtId="0" fontId="17" fillId="0" borderId="0" xfId="8" quotePrefix="1" applyFont="1" applyAlignment="1">
      <alignment horizontal="left"/>
    </xf>
    <xf numFmtId="7" fontId="17" fillId="2" borderId="1" xfId="8" applyNumberFormat="1" applyFont="1" applyFill="1" applyBorder="1" applyProtection="1"/>
    <xf numFmtId="37" fontId="17" fillId="2" borderId="1" xfId="8" applyNumberFormat="1" applyFont="1" applyFill="1" applyBorder="1" applyProtection="1"/>
    <xf numFmtId="7" fontId="17" fillId="3" borderId="1" xfId="8" applyNumberFormat="1" applyFont="1" applyFill="1" applyBorder="1"/>
    <xf numFmtId="0" fontId="3" fillId="0" borderId="0" xfId="8" quotePrefix="1" applyFont="1" applyAlignment="1">
      <alignment horizontal="right"/>
    </xf>
    <xf numFmtId="7" fontId="17" fillId="3" borderId="1" xfId="8" applyNumberFormat="1" applyFont="1" applyFill="1" applyBorder="1" applyProtection="1">
      <protection locked="0"/>
    </xf>
    <xf numFmtId="7" fontId="17" fillId="3" borderId="1" xfId="8" applyNumberFormat="1" applyFont="1" applyFill="1" applyBorder="1" applyProtection="1"/>
    <xf numFmtId="37" fontId="17" fillId="3" borderId="1" xfId="8" applyNumberFormat="1" applyFont="1" applyFill="1" applyBorder="1" applyProtection="1">
      <protection locked="0"/>
    </xf>
    <xf numFmtId="49" fontId="17" fillId="2" borderId="10" xfId="8" applyNumberFormat="1" applyFont="1" applyFill="1" applyBorder="1" applyAlignment="1" applyProtection="1">
      <protection locked="0"/>
    </xf>
    <xf numFmtId="49" fontId="17" fillId="2" borderId="9" xfId="8" applyNumberFormat="1" applyFont="1" applyFill="1" applyBorder="1" applyAlignment="1" applyProtection="1">
      <protection locked="0"/>
    </xf>
    <xf numFmtId="49" fontId="17" fillId="2" borderId="8" xfId="8" applyNumberFormat="1" applyFont="1" applyFill="1" applyBorder="1" applyAlignment="1" applyProtection="1">
      <protection locked="0"/>
    </xf>
    <xf numFmtId="7" fontId="17" fillId="2" borderId="7" xfId="8" applyNumberFormat="1" applyFont="1" applyFill="1" applyBorder="1" applyProtection="1">
      <protection locked="0"/>
    </xf>
    <xf numFmtId="37" fontId="17" fillId="2" borderId="7" xfId="8" applyNumberFormat="1" applyFont="1" applyFill="1" applyBorder="1" applyProtection="1">
      <protection locked="0"/>
    </xf>
    <xf numFmtId="7" fontId="17" fillId="3" borderId="2" xfId="8" applyNumberFormat="1" applyFont="1" applyFill="1" applyBorder="1" applyProtection="1"/>
    <xf numFmtId="37" fontId="17" fillId="3" borderId="1" xfId="8" applyNumberFormat="1" applyFont="1" applyFill="1" applyBorder="1"/>
    <xf numFmtId="49" fontId="17" fillId="2" borderId="2" xfId="8" applyNumberFormat="1" applyFont="1" applyFill="1" applyBorder="1" applyAlignment="1" applyProtection="1">
      <alignment horizontal="left"/>
      <protection locked="0"/>
    </xf>
    <xf numFmtId="49" fontId="17" fillId="2" borderId="2" xfId="8" quotePrefix="1" applyNumberFormat="1" applyFont="1" applyFill="1" applyBorder="1" applyAlignment="1" applyProtection="1">
      <alignment horizontal="left"/>
      <protection locked="0"/>
    </xf>
    <xf numFmtId="0" fontId="17" fillId="0" borderId="9" xfId="8" applyFont="1" applyBorder="1" applyAlignment="1">
      <alignment wrapText="1"/>
    </xf>
    <xf numFmtId="0" fontId="3" fillId="0" borderId="9" xfId="8" applyFont="1" applyBorder="1" applyAlignment="1">
      <alignment wrapText="1"/>
    </xf>
    <xf numFmtId="7" fontId="17" fillId="3" borderId="6" xfId="8" applyNumberFormat="1" applyFont="1" applyFill="1" applyBorder="1"/>
    <xf numFmtId="7" fontId="17" fillId="0" borderId="5" xfId="8" applyNumberFormat="1" applyFont="1" applyFill="1" applyBorder="1"/>
    <xf numFmtId="37" fontId="17" fillId="0" borderId="5" xfId="8" applyNumberFormat="1" applyFont="1" applyFill="1" applyBorder="1"/>
    <xf numFmtId="7" fontId="17" fillId="0" borderId="1" xfId="8" applyNumberFormat="1" applyFont="1" applyFill="1" applyBorder="1"/>
    <xf numFmtId="7" fontId="17" fillId="2" borderId="1" xfId="8" applyNumberFormat="1" applyFont="1" applyFill="1" applyBorder="1" applyProtection="1">
      <protection hidden="1"/>
    </xf>
    <xf numFmtId="37" fontId="17" fillId="2" borderId="1" xfId="8" applyNumberFormat="1" applyFont="1" applyFill="1" applyBorder="1" applyProtection="1">
      <protection hidden="1"/>
    </xf>
    <xf numFmtId="0" fontId="17" fillId="0" borderId="0" xfId="8" applyFont="1" applyAlignment="1">
      <alignment horizontal="centerContinuous"/>
    </xf>
    <xf numFmtId="0" fontId="3" fillId="0" borderId="0" xfId="8" applyFont="1" applyAlignment="1">
      <alignment horizontal="centerContinuous"/>
    </xf>
    <xf numFmtId="0" fontId="18" fillId="0" borderId="0" xfId="8" applyFont="1" applyFill="1" applyBorder="1" applyAlignment="1">
      <alignment horizontal="left"/>
    </xf>
    <xf numFmtId="49" fontId="17" fillId="4" borderId="4" xfId="8" applyNumberFormat="1" applyFont="1" applyFill="1" applyBorder="1" applyAlignment="1" applyProtection="1">
      <alignment horizontal="centerContinuous"/>
      <protection locked="0"/>
    </xf>
    <xf numFmtId="49" fontId="17" fillId="4" borderId="3" xfId="8" applyNumberFormat="1" applyFont="1" applyFill="1" applyBorder="1" applyAlignment="1" applyProtection="1">
      <alignment horizontal="centerContinuous"/>
      <protection locked="0"/>
    </xf>
    <xf numFmtId="49" fontId="17" fillId="4" borderId="2" xfId="8" applyNumberFormat="1" applyFont="1" applyFill="1" applyBorder="1" applyAlignment="1" applyProtection="1">
      <alignment horizontal="centerContinuous"/>
      <protection locked="0"/>
    </xf>
    <xf numFmtId="0" fontId="17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 applyAlignment="1">
      <alignment horizontal="centerContinuous"/>
    </xf>
    <xf numFmtId="0" fontId="3" fillId="0" borderId="0" xfId="8" quotePrefix="1" applyFont="1" applyAlignment="1">
      <alignment horizontal="centerContinuous"/>
    </xf>
    <xf numFmtId="0" fontId="11" fillId="0" borderId="0" xfId="7" applyFont="1" applyAlignment="1"/>
    <xf numFmtId="0" fontId="9" fillId="0" borderId="0" xfId="7" applyFont="1" applyAlignment="1"/>
    <xf numFmtId="0" fontId="1" fillId="2" borderId="1" xfId="10" applyNumberFormat="1" applyFont="1" applyFill="1" applyBorder="1" applyProtection="1"/>
    <xf numFmtId="43" fontId="1" fillId="2" borderId="1" xfId="7" applyNumberFormat="1" applyFill="1" applyBorder="1" applyProtection="1">
      <protection locked="0"/>
    </xf>
    <xf numFmtId="0" fontId="1" fillId="2" borderId="0" xfId="2" quotePrefix="1" applyNumberFormat="1" applyFont="1" applyFill="1" applyProtection="1">
      <protection locked="0"/>
    </xf>
    <xf numFmtId="167" fontId="1" fillId="2" borderId="1" xfId="7" applyNumberFormat="1" applyFill="1" applyBorder="1" applyProtection="1">
      <protection locked="0"/>
    </xf>
    <xf numFmtId="3" fontId="1" fillId="2" borderId="1" xfId="7" applyNumberFormat="1" applyFont="1" applyFill="1" applyBorder="1" applyProtection="1">
      <protection locked="0"/>
    </xf>
    <xf numFmtId="49" fontId="7" fillId="2" borderId="2" xfId="7" quotePrefix="1" applyNumberFormat="1" applyFont="1" applyFill="1" applyBorder="1" applyAlignment="1" applyProtection="1">
      <alignment horizontal="left"/>
      <protection locked="0"/>
    </xf>
    <xf numFmtId="167" fontId="1" fillId="0" borderId="0" xfId="7" applyNumberFormat="1"/>
    <xf numFmtId="167" fontId="8" fillId="0" borderId="0" xfId="7" applyNumberFormat="1" applyFont="1"/>
    <xf numFmtId="3" fontId="1" fillId="0" borderId="0" xfId="7" applyNumberFormat="1"/>
    <xf numFmtId="0" fontId="2" fillId="0" borderId="0" xfId="9" applyFont="1"/>
    <xf numFmtId="167" fontId="8" fillId="2" borderId="1" xfId="9" applyNumberFormat="1" applyFill="1" applyBorder="1"/>
    <xf numFmtId="0" fontId="8" fillId="0" borderId="0" xfId="9"/>
    <xf numFmtId="10" fontId="8" fillId="2" borderId="1" xfId="12" applyNumberFormat="1" applyFont="1" applyFill="1" applyBorder="1" applyProtection="1"/>
    <xf numFmtId="10" fontId="8" fillId="2" borderId="1" xfId="9" applyNumberFormat="1" applyFill="1" applyBorder="1"/>
    <xf numFmtId="10" fontId="24" fillId="2" borderId="1" xfId="10" applyNumberFormat="1" applyFont="1" applyFill="1" applyBorder="1" applyProtection="1"/>
    <xf numFmtId="165" fontId="1" fillId="0" borderId="0" xfId="7" applyNumberFormat="1"/>
    <xf numFmtId="10" fontId="24" fillId="2" borderId="1" xfId="12" applyNumberFormat="1" applyFont="1" applyFill="1" applyBorder="1" applyProtection="1"/>
    <xf numFmtId="49" fontId="15" fillId="0" borderId="0" xfId="5" applyNumberFormat="1" applyFill="1" applyBorder="1" applyAlignment="1" applyProtection="1">
      <alignment shrinkToFit="1"/>
      <protection locked="0"/>
    </xf>
    <xf numFmtId="49" fontId="10" fillId="0" borderId="0" xfId="7" applyNumberFormat="1" applyFont="1" applyFill="1" applyBorder="1" applyAlignment="1" applyProtection="1">
      <alignment shrinkToFit="1"/>
      <protection locked="0"/>
    </xf>
    <xf numFmtId="37" fontId="10" fillId="2" borderId="1" xfId="7" applyNumberFormat="1" applyFont="1" applyFill="1" applyBorder="1" applyProtection="1">
      <protection locked="0"/>
    </xf>
    <xf numFmtId="37" fontId="10" fillId="2" borderId="2" xfId="7" applyNumberFormat="1" applyFont="1" applyFill="1" applyBorder="1" applyProtection="1">
      <protection locked="0"/>
    </xf>
    <xf numFmtId="37" fontId="10" fillId="2" borderId="1" xfId="7" applyNumberFormat="1" applyFont="1" applyFill="1" applyBorder="1"/>
    <xf numFmtId="37" fontId="10" fillId="0" borderId="1" xfId="7" applyNumberFormat="1" applyFont="1" applyFill="1" applyBorder="1"/>
    <xf numFmtId="0" fontId="10" fillId="0" borderId="0" xfId="7" applyFont="1" applyAlignment="1">
      <alignment horizontal="right"/>
    </xf>
    <xf numFmtId="165" fontId="10" fillId="3" borderId="17" xfId="7" applyNumberFormat="1" applyFont="1" applyFill="1" applyBorder="1"/>
    <xf numFmtId="0" fontId="10" fillId="0" borderId="1" xfId="7" applyFont="1" applyFill="1" applyBorder="1"/>
    <xf numFmtId="3" fontId="10" fillId="0" borderId="1" xfId="7" applyNumberFormat="1" applyFont="1" applyFill="1" applyBorder="1" applyAlignment="1" applyProtection="1">
      <alignment horizontal="center"/>
      <protection locked="0"/>
    </xf>
    <xf numFmtId="37" fontId="10" fillId="0" borderId="1" xfId="7" applyNumberFormat="1" applyFont="1" applyFill="1" applyBorder="1" applyProtection="1">
      <protection locked="0"/>
    </xf>
    <xf numFmtId="37" fontId="10" fillId="0" borderId="2" xfId="7" applyNumberFormat="1" applyFont="1" applyFill="1" applyBorder="1" applyProtection="1">
      <protection locked="0"/>
    </xf>
    <xf numFmtId="42" fontId="10" fillId="0" borderId="0" xfId="7" applyNumberFormat="1" applyFont="1" applyAlignment="1">
      <alignment horizontal="center"/>
    </xf>
    <xf numFmtId="0" fontId="12" fillId="0" borderId="0" xfId="7" applyFont="1" applyAlignment="1">
      <alignment horizontal="centerContinuous"/>
    </xf>
    <xf numFmtId="0" fontId="14" fillId="0" borderId="0" xfId="7" applyFont="1" applyAlignment="1">
      <alignment horizontal="centerContinuous"/>
    </xf>
    <xf numFmtId="3" fontId="10" fillId="2" borderId="1" xfId="7" applyNumberFormat="1" applyFont="1" applyFill="1" applyBorder="1" applyProtection="1">
      <protection locked="0"/>
    </xf>
    <xf numFmtId="165" fontId="10" fillId="2" borderId="1" xfId="7" applyNumberFormat="1" applyFont="1" applyFill="1" applyBorder="1" applyProtection="1">
      <protection locked="0"/>
    </xf>
    <xf numFmtId="165" fontId="10" fillId="2" borderId="2" xfId="7" applyNumberFormat="1" applyFont="1" applyFill="1" applyBorder="1" applyProtection="1">
      <protection locked="0"/>
    </xf>
    <xf numFmtId="165" fontId="10" fillId="2" borderId="1" xfId="7" applyNumberFormat="1" applyFont="1" applyFill="1" applyBorder="1"/>
    <xf numFmtId="49" fontId="14" fillId="2" borderId="3" xfId="7" applyNumberFormat="1" applyFont="1" applyFill="1" applyBorder="1" applyAlignment="1" applyProtection="1">
      <protection locked="0"/>
    </xf>
    <xf numFmtId="49" fontId="14" fillId="2" borderId="4" xfId="7" applyNumberFormat="1" applyFont="1" applyFill="1" applyBorder="1" applyAlignment="1" applyProtection="1">
      <protection locked="0"/>
    </xf>
    <xf numFmtId="165" fontId="10" fillId="0" borderId="1" xfId="7" applyNumberFormat="1" applyFont="1" applyFill="1" applyBorder="1"/>
    <xf numFmtId="3" fontId="10" fillId="2" borderId="1" xfId="7" applyNumberFormat="1" applyFont="1" applyFill="1" applyBorder="1"/>
    <xf numFmtId="3" fontId="10" fillId="0" borderId="5" xfId="7" applyNumberFormat="1" applyFont="1" applyFill="1" applyBorder="1"/>
    <xf numFmtId="1" fontId="10" fillId="2" borderId="1" xfId="7" applyNumberFormat="1" applyFont="1" applyFill="1" applyBorder="1"/>
    <xf numFmtId="49" fontId="10" fillId="2" borderId="3" xfId="7" applyNumberFormat="1" applyFont="1" applyFill="1" applyBorder="1" applyAlignment="1" applyProtection="1">
      <protection locked="0"/>
    </xf>
    <xf numFmtId="49" fontId="10" fillId="2" borderId="4" xfId="7" applyNumberFormat="1" applyFont="1" applyFill="1" applyBorder="1" applyAlignment="1" applyProtection="1">
      <protection locked="0"/>
    </xf>
    <xf numFmtId="165" fontId="10" fillId="3" borderId="2" xfId="7" applyNumberFormat="1" applyFont="1" applyFill="1" applyBorder="1" applyProtection="1"/>
    <xf numFmtId="0" fontId="10" fillId="3" borderId="1" xfId="7" applyFont="1" applyFill="1" applyBorder="1"/>
    <xf numFmtId="165" fontId="10" fillId="3" borderId="1" xfId="7" applyNumberFormat="1" applyFont="1" applyFill="1" applyBorder="1"/>
    <xf numFmtId="0" fontId="10" fillId="2" borderId="1" xfId="7" applyFont="1" applyFill="1" applyBorder="1" applyProtection="1">
      <protection locked="0"/>
    </xf>
    <xf numFmtId="3" fontId="10" fillId="2" borderId="7" xfId="7" applyNumberFormat="1" applyFont="1" applyFill="1" applyBorder="1" applyProtection="1">
      <protection locked="0"/>
    </xf>
    <xf numFmtId="165" fontId="10" fillId="2" borderId="7" xfId="7" applyNumberFormat="1" applyFont="1" applyFill="1" applyBorder="1" applyProtection="1">
      <protection locked="0"/>
    </xf>
    <xf numFmtId="49" fontId="10" fillId="2" borderId="8" xfId="7" applyNumberFormat="1" applyFont="1" applyFill="1" applyBorder="1" applyAlignment="1" applyProtection="1">
      <protection locked="0"/>
    </xf>
    <xf numFmtId="49" fontId="10" fillId="2" borderId="9" xfId="7" applyNumberFormat="1" applyFont="1" applyFill="1" applyBorder="1" applyAlignment="1" applyProtection="1">
      <protection locked="0"/>
    </xf>
    <xf numFmtId="49" fontId="10" fillId="2" borderId="10" xfId="7" applyNumberFormat="1" applyFont="1" applyFill="1" applyBorder="1" applyAlignment="1" applyProtection="1">
      <protection locked="0"/>
    </xf>
    <xf numFmtId="3" fontId="10" fillId="3" borderId="1" xfId="7" applyNumberFormat="1" applyFont="1" applyFill="1" applyBorder="1" applyProtection="1">
      <protection locked="0"/>
    </xf>
    <xf numFmtId="165" fontId="10" fillId="3" borderId="1" xfId="7" applyNumberFormat="1" applyFont="1" applyFill="1" applyBorder="1" applyProtection="1">
      <protection locked="0"/>
    </xf>
    <xf numFmtId="165" fontId="10" fillId="3" borderId="1" xfId="7" applyNumberFormat="1" applyFont="1" applyFill="1" applyBorder="1" applyProtection="1"/>
    <xf numFmtId="0" fontId="10" fillId="2" borderId="1" xfId="7" applyFont="1" applyFill="1" applyBorder="1"/>
    <xf numFmtId="0" fontId="10" fillId="2" borderId="1" xfId="7" applyFont="1" applyFill="1" applyBorder="1" applyProtection="1"/>
    <xf numFmtId="165" fontId="10" fillId="2" borderId="1" xfId="7" applyNumberFormat="1" applyFont="1" applyFill="1" applyBorder="1" applyProtection="1"/>
    <xf numFmtId="3" fontId="10" fillId="2" borderId="11" xfId="7" applyNumberFormat="1" applyFont="1" applyFill="1" applyBorder="1" applyProtection="1">
      <protection locked="0"/>
    </xf>
    <xf numFmtId="165" fontId="10" fillId="2" borderId="11" xfId="7" applyNumberFormat="1" applyFont="1" applyFill="1" applyBorder="1" applyProtection="1">
      <protection locked="0"/>
    </xf>
    <xf numFmtId="0" fontId="10" fillId="0" borderId="9" xfId="7" applyFont="1" applyBorder="1" applyAlignment="1">
      <alignment horizontal="left"/>
    </xf>
    <xf numFmtId="0" fontId="12" fillId="0" borderId="9" xfId="7" applyFont="1" applyBorder="1"/>
    <xf numFmtId="0" fontId="10" fillId="0" borderId="9" xfId="7" applyFont="1" applyBorder="1"/>
    <xf numFmtId="10" fontId="10" fillId="2" borderId="1" xfId="7" applyNumberFormat="1" applyFont="1" applyFill="1" applyBorder="1" applyProtection="1">
      <protection locked="0"/>
    </xf>
    <xf numFmtId="3" fontId="10" fillId="2" borderId="7" xfId="7" applyNumberFormat="1" applyFont="1" applyFill="1" applyBorder="1"/>
    <xf numFmtId="3" fontId="10" fillId="3" borderId="7" xfId="7" applyNumberFormat="1" applyFont="1" applyFill="1" applyBorder="1"/>
    <xf numFmtId="165" fontId="10" fillId="2" borderId="7" xfId="7" applyNumberFormat="1" applyFont="1" applyFill="1" applyBorder="1"/>
    <xf numFmtId="3" fontId="10" fillId="2" borderId="13" xfId="7" applyNumberFormat="1" applyFont="1" applyFill="1" applyBorder="1"/>
    <xf numFmtId="3" fontId="10" fillId="2" borderId="14" xfId="7" applyNumberFormat="1" applyFont="1" applyFill="1" applyBorder="1"/>
    <xf numFmtId="3" fontId="10" fillId="2" borderId="15" xfId="7" applyNumberFormat="1" applyFont="1" applyFill="1" applyBorder="1"/>
    <xf numFmtId="10" fontId="25" fillId="2" borderId="1" xfId="10" applyNumberFormat="1" applyFont="1" applyFill="1" applyBorder="1" applyProtection="1"/>
    <xf numFmtId="10" fontId="1" fillId="2" borderId="1" xfId="10" applyNumberFormat="1" applyFont="1" applyFill="1" applyBorder="1" applyProtection="1"/>
    <xf numFmtId="165" fontId="1" fillId="2" borderId="18" xfId="7" applyNumberFormat="1" applyFill="1" applyBorder="1" applyProtection="1">
      <protection locked="0"/>
    </xf>
    <xf numFmtId="0" fontId="1" fillId="0" borderId="16" xfId="7" applyBorder="1"/>
    <xf numFmtId="0" fontId="2" fillId="0" borderId="19" xfId="7" applyFont="1" applyBorder="1"/>
    <xf numFmtId="0" fontId="1" fillId="0" borderId="0" xfId="7" applyProtection="1"/>
    <xf numFmtId="7" fontId="1" fillId="0" borderId="0" xfId="7" applyNumberFormat="1" applyProtection="1"/>
    <xf numFmtId="0" fontId="20" fillId="0" borderId="0" xfId="7" applyFont="1" applyAlignment="1" applyProtection="1">
      <alignment horizontal="center" wrapText="1"/>
    </xf>
    <xf numFmtId="7" fontId="20" fillId="0" borderId="0" xfId="7" applyNumberFormat="1" applyFont="1" applyAlignment="1" applyProtection="1">
      <alignment horizontal="center" wrapText="1"/>
    </xf>
    <xf numFmtId="3" fontId="1" fillId="6" borderId="1" xfId="7" applyNumberFormat="1" applyFill="1" applyBorder="1" applyProtection="1"/>
    <xf numFmtId="7" fontId="1" fillId="6" borderId="1" xfId="7" applyNumberFormat="1" applyFill="1" applyBorder="1" applyProtection="1"/>
    <xf numFmtId="3" fontId="2" fillId="6" borderId="1" xfId="7" applyNumberFormat="1" applyFont="1" applyFill="1" applyBorder="1" applyProtection="1"/>
    <xf numFmtId="7" fontId="2" fillId="6" borderId="1" xfId="7" applyNumberFormat="1" applyFont="1" applyFill="1" applyBorder="1" applyProtection="1"/>
    <xf numFmtId="3" fontId="1" fillId="0" borderId="0" xfId="7" applyNumberFormat="1" applyProtection="1"/>
    <xf numFmtId="167" fontId="2" fillId="6" borderId="1" xfId="7" applyNumberFormat="1" applyFont="1" applyFill="1" applyBorder="1" applyProtection="1"/>
    <xf numFmtId="167" fontId="8" fillId="2" borderId="1" xfId="9" applyNumberFormat="1" applyFill="1" applyBorder="1" applyProtection="1"/>
    <xf numFmtId="0" fontId="8" fillId="0" borderId="0" xfId="9" applyProtection="1"/>
    <xf numFmtId="10" fontId="8" fillId="2" borderId="1" xfId="9" applyNumberFormat="1" applyFill="1" applyBorder="1" applyProtection="1"/>
    <xf numFmtId="3" fontId="0" fillId="0" borderId="0" xfId="0" applyNumberFormat="1"/>
    <xf numFmtId="3" fontId="2" fillId="6" borderId="1" xfId="0" applyNumberFormat="1" applyFont="1" applyFill="1" applyBorder="1"/>
    <xf numFmtId="49" fontId="3" fillId="0" borderId="0" xfId="0" applyNumberFormat="1" applyFont="1"/>
    <xf numFmtId="167" fontId="0" fillId="0" borderId="0" xfId="0" applyNumberFormat="1"/>
    <xf numFmtId="167" fontId="2" fillId="6" borderId="1" xfId="0" applyNumberFormat="1" applyFont="1" applyFill="1" applyBorder="1"/>
    <xf numFmtId="0" fontId="2" fillId="0" borderId="0" xfId="0" applyFont="1"/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right"/>
    </xf>
    <xf numFmtId="167" fontId="0" fillId="6" borderId="1" xfId="0" applyNumberFormat="1" applyFill="1" applyBorder="1"/>
    <xf numFmtId="3" fontId="0" fillId="6" borderId="1" xfId="0" applyNumberFormat="1" applyFill="1" applyBorder="1"/>
    <xf numFmtId="0" fontId="0" fillId="0" borderId="0" xfId="0" applyAlignment="1">
      <alignment horizontal="right"/>
    </xf>
    <xf numFmtId="0" fontId="8" fillId="0" borderId="0" xfId="0" applyFont="1"/>
    <xf numFmtId="167" fontId="8" fillId="0" borderId="0" xfId="0" applyNumberFormat="1" applyFont="1"/>
    <xf numFmtId="0" fontId="2" fillId="0" borderId="0" xfId="9" applyFont="1" applyAlignment="1">
      <alignment horizontal="center" wrapText="1"/>
    </xf>
    <xf numFmtId="165" fontId="2" fillId="0" borderId="0" xfId="9" applyNumberFormat="1" applyFont="1" applyAlignment="1">
      <alignment vertical="center" wrapText="1"/>
    </xf>
    <xf numFmtId="7" fontId="2" fillId="0" borderId="0" xfId="9" applyNumberFormat="1" applyFont="1" applyAlignment="1">
      <alignment vertical="center" wrapText="1"/>
    </xf>
    <xf numFmtId="0" fontId="2" fillId="0" borderId="0" xfId="9" applyFont="1" applyAlignment="1">
      <alignment horizontal="right"/>
    </xf>
    <xf numFmtId="0" fontId="8" fillId="0" borderId="0" xfId="9" applyAlignment="1">
      <alignment horizontal="left"/>
    </xf>
    <xf numFmtId="0" fontId="2" fillId="0" borderId="0" xfId="9" applyFont="1" applyAlignment="1">
      <alignment horizontal="left"/>
    </xf>
    <xf numFmtId="3" fontId="8" fillId="7" borderId="0" xfId="9" applyNumberFormat="1" applyFill="1" applyBorder="1"/>
    <xf numFmtId="5" fontId="8" fillId="7" borderId="0" xfId="9" applyNumberFormat="1" applyFill="1" applyBorder="1"/>
    <xf numFmtId="0" fontId="20" fillId="0" borderId="0" xfId="9" applyFont="1" applyAlignment="1">
      <alignment horizontal="center" wrapText="1"/>
    </xf>
    <xf numFmtId="0" fontId="20" fillId="0" borderId="0" xfId="9" applyFont="1" applyAlignment="1">
      <alignment horizontal="right"/>
    </xf>
    <xf numFmtId="0" fontId="20" fillId="0" borderId="0" xfId="9" applyFont="1" applyAlignment="1">
      <alignment wrapText="1"/>
    </xf>
    <xf numFmtId="165" fontId="8" fillId="0" borderId="0" xfId="9" applyNumberFormat="1"/>
    <xf numFmtId="5" fontId="8" fillId="2" borderId="1" xfId="9" applyNumberFormat="1" applyFill="1" applyBorder="1" applyProtection="1"/>
    <xf numFmtId="10" fontId="8" fillId="5" borderId="20" xfId="9" applyNumberFormat="1" applyFont="1" applyFill="1" applyBorder="1" applyAlignment="1" applyProtection="1">
      <alignment horizontal="center"/>
    </xf>
    <xf numFmtId="3" fontId="2" fillId="2" borderId="1" xfId="9" applyNumberFormat="1" applyFont="1" applyFill="1" applyBorder="1" applyProtection="1"/>
    <xf numFmtId="5" fontId="2" fillId="2" borderId="1" xfId="9" applyNumberFormat="1" applyFont="1" applyFill="1" applyBorder="1"/>
    <xf numFmtId="3" fontId="2" fillId="0" borderId="1" xfId="9" applyNumberFormat="1" applyFont="1" applyFill="1" applyBorder="1" applyProtection="1">
      <protection locked="0"/>
    </xf>
    <xf numFmtId="0" fontId="2" fillId="0" borderId="12" xfId="9" applyFont="1" applyBorder="1"/>
    <xf numFmtId="5" fontId="2" fillId="0" borderId="0" xfId="9" applyNumberFormat="1" applyFont="1"/>
    <xf numFmtId="3" fontId="2" fillId="2" borderId="1" xfId="9" applyNumberFormat="1" applyFont="1" applyFill="1" applyBorder="1"/>
    <xf numFmtId="3" fontId="8" fillId="0" borderId="1" xfId="9" applyNumberFormat="1" applyFont="1" applyFill="1" applyBorder="1" applyProtection="1">
      <protection locked="0"/>
    </xf>
    <xf numFmtId="0" fontId="8" fillId="0" borderId="12" xfId="9" applyFont="1" applyBorder="1"/>
    <xf numFmtId="5" fontId="8" fillId="0" borderId="0" xfId="9" applyNumberFormat="1" applyFont="1"/>
    <xf numFmtId="0" fontId="26" fillId="0" borderId="0" xfId="7" applyFont="1"/>
    <xf numFmtId="49" fontId="26" fillId="0" borderId="0" xfId="7" applyNumberFormat="1" applyFont="1" applyAlignment="1">
      <alignment horizontal="right"/>
    </xf>
    <xf numFmtId="49" fontId="26" fillId="0" borderId="0" xfId="7" applyNumberFormat="1" applyFont="1"/>
    <xf numFmtId="0" fontId="27" fillId="0" borderId="0" xfId="7" applyFont="1" applyAlignment="1">
      <alignment horizontal="right"/>
    </xf>
    <xf numFmtId="0" fontId="27" fillId="0" borderId="0" xfId="7" applyFont="1"/>
    <xf numFmtId="0" fontId="26" fillId="0" borderId="0" xfId="9" applyFont="1"/>
    <xf numFmtId="0" fontId="27" fillId="0" borderId="0" xfId="9" applyFont="1"/>
    <xf numFmtId="5" fontId="1" fillId="6" borderId="1" xfId="7" applyNumberFormat="1" applyFill="1" applyBorder="1" applyProtection="1"/>
    <xf numFmtId="10" fontId="1" fillId="6" borderId="1" xfId="7" applyNumberFormat="1" applyFill="1" applyBorder="1" applyProtection="1"/>
    <xf numFmtId="0" fontId="23" fillId="0" borderId="0" xfId="9" applyFont="1" applyAlignment="1" applyProtection="1">
      <alignment horizontal="center"/>
      <protection locked="0"/>
    </xf>
    <xf numFmtId="0" fontId="1" fillId="0" borderId="0" xfId="7" applyFont="1" applyAlignment="1"/>
    <xf numFmtId="0" fontId="1" fillId="0" borderId="0" xfId="7" applyAlignment="1"/>
    <xf numFmtId="49" fontId="1" fillId="2" borderId="2" xfId="7" applyNumberFormat="1" applyFont="1" applyFill="1" applyBorder="1" applyAlignment="1" applyProtection="1">
      <protection locked="0"/>
    </xf>
    <xf numFmtId="49" fontId="1" fillId="2" borderId="3" xfId="7" applyNumberFormat="1" applyFill="1" applyBorder="1" applyAlignment="1" applyProtection="1">
      <protection locked="0"/>
    </xf>
    <xf numFmtId="49" fontId="1" fillId="2" borderId="4" xfId="7" applyNumberFormat="1" applyFill="1" applyBorder="1" applyAlignment="1" applyProtection="1">
      <protection locked="0"/>
    </xf>
    <xf numFmtId="0" fontId="3" fillId="0" borderId="0" xfId="7" applyFont="1" applyAlignment="1">
      <alignment horizontal="center"/>
    </xf>
    <xf numFmtId="0" fontId="4" fillId="0" borderId="0" xfId="7" applyFont="1" applyAlignment="1">
      <alignment horizontal="center"/>
    </xf>
    <xf numFmtId="49" fontId="1" fillId="4" borderId="2" xfId="7" applyNumberFormat="1" applyFont="1" applyFill="1" applyBorder="1" applyAlignment="1" applyProtection="1">
      <alignment shrinkToFit="1"/>
      <protection locked="0"/>
    </xf>
    <xf numFmtId="49" fontId="1" fillId="0" borderId="3" xfId="7" applyNumberFormat="1" applyBorder="1" applyAlignment="1" applyProtection="1">
      <alignment shrinkToFit="1"/>
      <protection locked="0"/>
    </xf>
    <xf numFmtId="49" fontId="1" fillId="0" borderId="4" xfId="7" applyNumberFormat="1" applyBorder="1" applyAlignment="1" applyProtection="1">
      <alignment shrinkToFit="1"/>
      <protection locked="0"/>
    </xf>
    <xf numFmtId="1" fontId="1" fillId="4" borderId="2" xfId="7" quotePrefix="1" applyNumberFormat="1" applyFill="1" applyBorder="1" applyAlignment="1" applyProtection="1">
      <alignment shrinkToFit="1"/>
      <protection locked="0"/>
    </xf>
    <xf numFmtId="0" fontId="1" fillId="0" borderId="3" xfId="7" applyBorder="1" applyAlignment="1" applyProtection="1">
      <alignment shrinkToFit="1"/>
      <protection locked="0"/>
    </xf>
    <xf numFmtId="0" fontId="1" fillId="0" borderId="4" xfId="7" applyBorder="1" applyAlignment="1" applyProtection="1">
      <alignment shrinkToFit="1"/>
      <protection locked="0"/>
    </xf>
    <xf numFmtId="3" fontId="1" fillId="4" borderId="2" xfId="7" applyNumberFormat="1" applyFill="1" applyBorder="1" applyAlignment="1" applyProtection="1">
      <alignment shrinkToFit="1"/>
      <protection locked="0"/>
    </xf>
    <xf numFmtId="3" fontId="1" fillId="0" borderId="3" xfId="7" applyNumberFormat="1" applyBorder="1" applyAlignment="1" applyProtection="1">
      <alignment shrinkToFit="1"/>
      <protection locked="0"/>
    </xf>
    <xf numFmtId="3" fontId="1" fillId="0" borderId="4" xfId="7" applyNumberFormat="1" applyBorder="1" applyAlignment="1" applyProtection="1">
      <alignment shrinkToFit="1"/>
      <protection locked="0"/>
    </xf>
    <xf numFmtId="164" fontId="1" fillId="4" borderId="2" xfId="7" applyNumberFormat="1" applyFont="1" applyFill="1" applyBorder="1" applyAlignment="1" applyProtection="1">
      <alignment shrinkToFit="1"/>
      <protection locked="0"/>
    </xf>
    <xf numFmtId="164" fontId="1" fillId="0" borderId="3" xfId="7" applyNumberFormat="1" applyBorder="1" applyAlignment="1" applyProtection="1">
      <alignment shrinkToFit="1"/>
      <protection locked="0"/>
    </xf>
    <xf numFmtId="164" fontId="1" fillId="0" borderId="4" xfId="7" applyNumberFormat="1" applyBorder="1" applyAlignment="1" applyProtection="1">
      <alignment shrinkToFit="1"/>
      <protection locked="0"/>
    </xf>
    <xf numFmtId="49" fontId="1" fillId="4" borderId="3" xfId="7" applyNumberFormat="1" applyFill="1" applyBorder="1" applyAlignment="1" applyProtection="1">
      <alignment shrinkToFit="1"/>
      <protection locked="0"/>
    </xf>
    <xf numFmtId="0" fontId="5" fillId="0" borderId="0" xfId="7" applyFont="1" applyFill="1" applyBorder="1" applyAlignment="1">
      <alignment vertical="justify" wrapText="1"/>
    </xf>
    <xf numFmtId="0" fontId="6" fillId="0" borderId="0" xfId="7" applyFont="1" applyAlignment="1">
      <alignment vertical="justify" wrapText="1"/>
    </xf>
    <xf numFmtId="0" fontId="6" fillId="0" borderId="0" xfId="7" applyFont="1" applyAlignment="1"/>
    <xf numFmtId="49" fontId="7" fillId="2" borderId="2" xfId="7" applyNumberFormat="1" applyFont="1" applyFill="1" applyBorder="1" applyAlignment="1" applyProtection="1">
      <protection locked="0"/>
    </xf>
    <xf numFmtId="49" fontId="7" fillId="2" borderId="3" xfId="7" applyNumberFormat="1" applyFont="1" applyFill="1" applyBorder="1" applyAlignment="1" applyProtection="1">
      <protection locked="0"/>
    </xf>
    <xf numFmtId="49" fontId="7" fillId="2" borderId="4" xfId="7" applyNumberFormat="1" applyFont="1" applyFill="1" applyBorder="1" applyAlignment="1" applyProtection="1">
      <protection locked="0"/>
    </xf>
    <xf numFmtId="49" fontId="1" fillId="2" borderId="2" xfId="7" applyNumberFormat="1" applyFill="1" applyBorder="1" applyAlignment="1" applyProtection="1">
      <protection locked="0"/>
    </xf>
    <xf numFmtId="0" fontId="2" fillId="0" borderId="9" xfId="7" applyFont="1" applyBorder="1" applyAlignment="1">
      <alignment wrapText="1"/>
    </xf>
    <xf numFmtId="0" fontId="1" fillId="0" borderId="9" xfId="7" applyBorder="1" applyAlignment="1">
      <alignment wrapText="1"/>
    </xf>
    <xf numFmtId="49" fontId="1" fillId="2" borderId="8" xfId="7" applyNumberFormat="1" applyFont="1" applyFill="1" applyBorder="1" applyAlignment="1" applyProtection="1">
      <protection locked="0"/>
    </xf>
    <xf numFmtId="49" fontId="1" fillId="2" borderId="9" xfId="7" applyNumberFormat="1" applyFill="1" applyBorder="1" applyAlignment="1" applyProtection="1">
      <protection locked="0"/>
    </xf>
    <xf numFmtId="0" fontId="8" fillId="0" borderId="0" xfId="7" applyFont="1" applyAlignment="1"/>
    <xf numFmtId="49" fontId="1" fillId="4" borderId="2" xfId="7" applyNumberFormat="1" applyFill="1" applyBorder="1" applyAlignment="1" applyProtection="1">
      <alignment shrinkToFit="1"/>
      <protection locked="0"/>
    </xf>
    <xf numFmtId="164" fontId="1" fillId="4" borderId="2" xfId="7" applyNumberFormat="1" applyFill="1" applyBorder="1" applyAlignment="1" applyProtection="1">
      <alignment shrinkToFit="1"/>
      <protection locked="0"/>
    </xf>
    <xf numFmtId="49" fontId="1" fillId="2" borderId="8" xfId="7" applyNumberFormat="1" applyFill="1" applyBorder="1" applyAlignment="1" applyProtection="1">
      <protection locked="0"/>
    </xf>
    <xf numFmtId="49" fontId="14" fillId="2" borderId="2" xfId="7" applyNumberFormat="1" applyFont="1" applyFill="1" applyBorder="1" applyAlignment="1" applyProtection="1">
      <protection locked="0"/>
    </xf>
    <xf numFmtId="49" fontId="14" fillId="2" borderId="3" xfId="7" applyNumberFormat="1" applyFont="1" applyFill="1" applyBorder="1" applyAlignment="1" applyProtection="1">
      <protection locked="0"/>
    </xf>
    <xf numFmtId="49" fontId="14" fillId="2" borderId="4" xfId="7" applyNumberFormat="1" applyFont="1" applyFill="1" applyBorder="1" applyAlignment="1" applyProtection="1">
      <protection locked="0"/>
    </xf>
    <xf numFmtId="49" fontId="10" fillId="2" borderId="2" xfId="7" applyNumberFormat="1" applyFont="1" applyFill="1" applyBorder="1" applyAlignment="1" applyProtection="1">
      <protection locked="0"/>
    </xf>
    <xf numFmtId="49" fontId="10" fillId="2" borderId="3" xfId="7" applyNumberFormat="1" applyFont="1" applyFill="1" applyBorder="1" applyAlignment="1" applyProtection="1">
      <protection locked="0"/>
    </xf>
    <xf numFmtId="49" fontId="10" fillId="2" borderId="4" xfId="7" applyNumberFormat="1" applyFont="1" applyFill="1" applyBorder="1" applyAlignment="1" applyProtection="1">
      <protection locked="0"/>
    </xf>
    <xf numFmtId="0" fontId="10" fillId="0" borderId="0" xfId="7" applyFont="1" applyAlignment="1"/>
    <xf numFmtId="0" fontId="12" fillId="0" borderId="9" xfId="7" applyFont="1" applyBorder="1" applyAlignment="1">
      <alignment wrapText="1"/>
    </xf>
    <xf numFmtId="0" fontId="10" fillId="0" borderId="9" xfId="7" applyFont="1" applyBorder="1" applyAlignment="1">
      <alignment wrapText="1"/>
    </xf>
    <xf numFmtId="49" fontId="10" fillId="2" borderId="8" xfId="7" applyNumberFormat="1" applyFont="1" applyFill="1" applyBorder="1" applyAlignment="1" applyProtection="1">
      <protection locked="0"/>
    </xf>
    <xf numFmtId="49" fontId="10" fillId="2" borderId="9" xfId="7" applyNumberFormat="1" applyFont="1" applyFill="1" applyBorder="1" applyAlignment="1" applyProtection="1">
      <protection locked="0"/>
    </xf>
    <xf numFmtId="49" fontId="10" fillId="4" borderId="1" xfId="7" applyNumberFormat="1" applyFont="1" applyFill="1" applyBorder="1" applyAlignment="1" applyProtection="1">
      <alignment horizontal="left" shrinkToFit="1"/>
      <protection locked="0"/>
    </xf>
    <xf numFmtId="1" fontId="10" fillId="4" borderId="1" xfId="7" applyNumberFormat="1" applyFont="1" applyFill="1" applyBorder="1" applyAlignment="1" applyProtection="1">
      <alignment horizontal="left" shrinkToFit="1"/>
      <protection locked="0"/>
    </xf>
    <xf numFmtId="3" fontId="10" fillId="4" borderId="1" xfId="7" quotePrefix="1" applyNumberFormat="1" applyFont="1" applyFill="1" applyBorder="1" applyAlignment="1" applyProtection="1">
      <alignment horizontal="left" shrinkToFit="1"/>
      <protection locked="0"/>
    </xf>
    <xf numFmtId="0" fontId="10" fillId="0" borderId="1" xfId="7" applyFont="1" applyFill="1" applyBorder="1" applyAlignment="1">
      <alignment horizontal="left"/>
    </xf>
    <xf numFmtId="164" fontId="10" fillId="4" borderId="1" xfId="7" applyNumberFormat="1" applyFont="1" applyFill="1" applyBorder="1" applyAlignment="1" applyProtection="1">
      <alignment horizontal="left" shrinkToFit="1"/>
      <protection locked="0"/>
    </xf>
    <xf numFmtId="1" fontId="1" fillId="4" borderId="2" xfId="7" applyNumberFormat="1" applyFill="1" applyBorder="1" applyAlignment="1" applyProtection="1">
      <alignment shrinkToFit="1"/>
      <protection locked="0"/>
    </xf>
    <xf numFmtId="3" fontId="1" fillId="4" borderId="2" xfId="7" quotePrefix="1" applyNumberFormat="1" applyFill="1" applyBorder="1" applyAlignment="1" applyProtection="1">
      <alignment shrinkToFit="1"/>
      <protection locked="0"/>
    </xf>
    <xf numFmtId="49" fontId="8" fillId="4" borderId="2" xfId="7" applyNumberFormat="1" applyFont="1" applyFill="1" applyBorder="1" applyAlignment="1" applyProtection="1">
      <alignment shrinkToFit="1"/>
      <protection locked="0"/>
    </xf>
    <xf numFmtId="164" fontId="8" fillId="4" borderId="2" xfId="7" applyNumberFormat="1" applyFont="1" applyFill="1" applyBorder="1" applyAlignment="1" applyProtection="1">
      <alignment shrinkToFit="1"/>
      <protection locked="0"/>
    </xf>
    <xf numFmtId="0" fontId="1" fillId="2" borderId="2" xfId="7" applyNumberFormat="1" applyFill="1" applyBorder="1" applyAlignment="1" applyProtection="1">
      <protection locked="0"/>
    </xf>
    <xf numFmtId="0" fontId="1" fillId="2" borderId="3" xfId="7" applyNumberFormat="1" applyFill="1" applyBorder="1" applyAlignment="1" applyProtection="1">
      <protection locked="0"/>
    </xf>
    <xf numFmtId="0" fontId="1" fillId="2" borderId="4" xfId="7" applyNumberFormat="1" applyFill="1" applyBorder="1" applyAlignment="1" applyProtection="1">
      <protection locked="0"/>
    </xf>
    <xf numFmtId="49" fontId="2" fillId="4" borderId="2" xfId="7" applyNumberFormat="1" applyFont="1" applyFill="1" applyBorder="1" applyAlignment="1" applyProtection="1">
      <alignment shrinkToFit="1"/>
      <protection locked="0"/>
    </xf>
    <xf numFmtId="49" fontId="2" fillId="0" borderId="3" xfId="7" applyNumberFormat="1" applyFont="1" applyBorder="1" applyAlignment="1" applyProtection="1">
      <alignment shrinkToFit="1"/>
      <protection locked="0"/>
    </xf>
    <xf numFmtId="49" fontId="2" fillId="0" borderId="4" xfId="7" applyNumberFormat="1" applyFont="1" applyBorder="1" applyAlignment="1" applyProtection="1">
      <alignment shrinkToFit="1"/>
      <protection locked="0"/>
    </xf>
    <xf numFmtId="1" fontId="2" fillId="4" borderId="2" xfId="7" quotePrefix="1" applyNumberFormat="1" applyFont="1" applyFill="1" applyBorder="1" applyAlignment="1" applyProtection="1">
      <alignment shrinkToFit="1"/>
      <protection locked="0"/>
    </xf>
    <xf numFmtId="0" fontId="2" fillId="0" borderId="3" xfId="7" applyFont="1" applyBorder="1" applyAlignment="1" applyProtection="1">
      <alignment shrinkToFit="1"/>
      <protection locked="0"/>
    </xf>
    <xf numFmtId="0" fontId="2" fillId="0" borderId="4" xfId="7" applyFont="1" applyBorder="1" applyAlignment="1" applyProtection="1">
      <alignment shrinkToFit="1"/>
      <protection locked="0"/>
    </xf>
    <xf numFmtId="49" fontId="15" fillId="4" borderId="2" xfId="5" applyNumberFormat="1" applyFill="1" applyBorder="1" applyAlignment="1" applyProtection="1">
      <alignment shrinkToFit="1"/>
      <protection locked="0"/>
    </xf>
    <xf numFmtId="49" fontId="8" fillId="2" borderId="8" xfId="7" applyNumberFormat="1" applyFont="1" applyFill="1" applyBorder="1" applyAlignment="1" applyProtection="1">
      <protection locked="0"/>
    </xf>
    <xf numFmtId="49" fontId="8" fillId="2" borderId="2" xfId="7" applyNumberFormat="1" applyFont="1" applyFill="1" applyBorder="1" applyAlignment="1" applyProtection="1">
      <protection locked="0"/>
    </xf>
    <xf numFmtId="164" fontId="10" fillId="4" borderId="2" xfId="7" applyNumberFormat="1" applyFont="1" applyFill="1" applyBorder="1" applyAlignment="1" applyProtection="1">
      <alignment shrinkToFit="1"/>
      <protection locked="0"/>
    </xf>
    <xf numFmtId="164" fontId="10" fillId="4" borderId="3" xfId="7" applyNumberFormat="1" applyFont="1" applyFill="1" applyBorder="1" applyAlignment="1" applyProtection="1">
      <alignment shrinkToFit="1"/>
      <protection locked="0"/>
    </xf>
    <xf numFmtId="164" fontId="10" fillId="0" borderId="3" xfId="7" applyNumberFormat="1" applyFont="1" applyBorder="1" applyAlignment="1" applyProtection="1">
      <alignment shrinkToFit="1"/>
      <protection locked="0"/>
    </xf>
    <xf numFmtId="164" fontId="10" fillId="0" borderId="4" xfId="7" applyNumberFormat="1" applyFont="1" applyBorder="1" applyAlignment="1" applyProtection="1">
      <alignment shrinkToFit="1"/>
      <protection locked="0"/>
    </xf>
    <xf numFmtId="49" fontId="15" fillId="4" borderId="3" xfId="5" applyNumberFormat="1" applyFill="1" applyBorder="1" applyAlignment="1" applyProtection="1">
      <alignment shrinkToFit="1"/>
      <protection locked="0"/>
    </xf>
    <xf numFmtId="49" fontId="10" fillId="4" borderId="3" xfId="7" applyNumberFormat="1" applyFont="1" applyFill="1" applyBorder="1" applyAlignment="1" applyProtection="1">
      <alignment shrinkToFit="1"/>
      <protection locked="0"/>
    </xf>
    <xf numFmtId="49" fontId="10" fillId="4" borderId="2" xfId="7" applyNumberFormat="1" applyFont="1" applyFill="1" applyBorder="1" applyAlignment="1" applyProtection="1">
      <alignment shrinkToFit="1"/>
      <protection locked="0"/>
    </xf>
    <xf numFmtId="49" fontId="10" fillId="0" borderId="3" xfId="7" applyNumberFormat="1" applyFont="1" applyBorder="1" applyAlignment="1" applyProtection="1">
      <alignment shrinkToFit="1"/>
      <protection locked="0"/>
    </xf>
    <xf numFmtId="49" fontId="10" fillId="0" borderId="4" xfId="7" applyNumberFormat="1" applyFont="1" applyBorder="1" applyAlignment="1" applyProtection="1">
      <alignment shrinkToFit="1"/>
      <protection locked="0"/>
    </xf>
    <xf numFmtId="1" fontId="10" fillId="4" borderId="2" xfId="7" quotePrefix="1" applyNumberFormat="1" applyFont="1" applyFill="1" applyBorder="1" applyAlignment="1" applyProtection="1">
      <alignment shrinkToFit="1"/>
      <protection locked="0"/>
    </xf>
    <xf numFmtId="1" fontId="10" fillId="4" borderId="3" xfId="7" quotePrefix="1" applyNumberFormat="1" applyFont="1" applyFill="1" applyBorder="1" applyAlignment="1" applyProtection="1">
      <alignment shrinkToFit="1"/>
      <protection locked="0"/>
    </xf>
    <xf numFmtId="1" fontId="10" fillId="0" borderId="3" xfId="7" applyNumberFormat="1" applyFont="1" applyBorder="1" applyAlignment="1" applyProtection="1">
      <alignment shrinkToFit="1"/>
      <protection locked="0"/>
    </xf>
    <xf numFmtId="1" fontId="10" fillId="0" borderId="4" xfId="7" applyNumberFormat="1" applyFont="1" applyBorder="1" applyAlignment="1" applyProtection="1">
      <alignment shrinkToFit="1"/>
      <protection locked="0"/>
    </xf>
    <xf numFmtId="1" fontId="1" fillId="4" borderId="2" xfId="7" quotePrefix="1" applyNumberFormat="1" applyFill="1" applyBorder="1" applyAlignment="1" applyProtection="1">
      <alignment horizontal="left" shrinkToFit="1"/>
      <protection locked="0"/>
    </xf>
    <xf numFmtId="0" fontId="1" fillId="0" borderId="3" xfId="7" applyBorder="1" applyAlignment="1" applyProtection="1">
      <alignment horizontal="left" shrinkToFit="1"/>
      <protection locked="0"/>
    </xf>
    <xf numFmtId="0" fontId="1" fillId="0" borderId="4" xfId="7" applyBorder="1" applyAlignment="1" applyProtection="1">
      <alignment horizontal="left" shrinkToFit="1"/>
      <protection locked="0"/>
    </xf>
    <xf numFmtId="3" fontId="1" fillId="4" borderId="2" xfId="7" applyNumberFormat="1" applyFill="1" applyBorder="1" applyAlignment="1" applyProtection="1">
      <alignment horizontal="left" shrinkToFit="1"/>
      <protection locked="0"/>
    </xf>
    <xf numFmtId="3" fontId="1" fillId="0" borderId="3" xfId="7" applyNumberFormat="1" applyBorder="1" applyAlignment="1" applyProtection="1">
      <alignment horizontal="left" shrinkToFit="1"/>
      <protection locked="0"/>
    </xf>
    <xf numFmtId="3" fontId="1" fillId="0" borderId="4" xfId="7" applyNumberFormat="1" applyBorder="1" applyAlignment="1" applyProtection="1">
      <alignment horizontal="left" shrinkToFit="1"/>
      <protection locked="0"/>
    </xf>
    <xf numFmtId="1" fontId="1" fillId="4" borderId="2" xfId="7" applyNumberFormat="1" applyFill="1" applyBorder="1" applyAlignment="1" applyProtection="1">
      <alignment horizontal="left" shrinkToFit="1"/>
      <protection locked="0"/>
    </xf>
    <xf numFmtId="3" fontId="1" fillId="4" borderId="2" xfId="7" quotePrefix="1" applyNumberFormat="1" applyFill="1" applyBorder="1" applyAlignment="1" applyProtection="1">
      <alignment horizontal="left" shrinkToFit="1"/>
      <protection locked="0"/>
    </xf>
  </cellXfs>
  <cellStyles count="13">
    <cellStyle name="Comma 2" xfId="1"/>
    <cellStyle name="Comma 3" xfId="2"/>
    <cellStyle name="Currency 2" xfId="3"/>
    <cellStyle name="Currency 2 2" xfId="4"/>
    <cellStyle name="Hyperlink" xfId="5" builtinId="8"/>
    <cellStyle name="Normal" xfId="0" builtinId="0"/>
    <cellStyle name="Normal - Style1" xfId="6"/>
    <cellStyle name="Normal 2" xfId="7"/>
    <cellStyle name="Normal 3" xfId="8"/>
    <cellStyle name="Normal 3 2" xfId="9"/>
    <cellStyle name="Percent 2" xfId="10"/>
    <cellStyle name="Percent 3" xfId="11"/>
    <cellStyle name="Percent 4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3.xml"/><Relationship Id="rId58" Type="http://schemas.openxmlformats.org/officeDocument/2006/relationships/externalLink" Target="externalLinks/externalLink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ugustin/Local%20Settings/Temp/DOCUME~1/GHEMIN~1/LOCALS~1/Temp/UMMS_BudBk_FY06_draft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MAS/MASTER/FY03/Control%20Structure/Control%20Structure%20FY03%2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9%20HSCRC/Annual%20Report%202009/Submission%202009/0010%20DGH%20AF_2009%20Submission%201103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U_FILE/FY%202008/UMMC/UMH/AF_2008_UMH%20v2%20Sequence%201A%20110408_LOCK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U_FILE/FY%202008/JLK/JLK%20-%20AF_2008%20(Volume%20Adjustment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reene.HSCRC/Application%20Data/Microsoft/Excel/ShoreHealt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NR/communitybenefits/FY%202009/HH/INVENTORY%20SPREADSHEET_HH_COMM%20BENE_FY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reene.HSCRC/Local%20Settings/Temporary%20Internet%20Files/Content.Outlook/CDMFC8T2/JHB%20FY09%20HSCRC%20CBR%20Worksheet%20Final%20111920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Benefit%20SFY%202009/SGAH%20CB%20List%202009%20(sort%20by%20category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6 BUD IS"/>
      <sheetName val="p7 CONS IS"/>
      <sheetName val="p8 CONS BS"/>
      <sheetName val="p9 NARF"/>
      <sheetName val="p10 CF"/>
      <sheetName val="p11 EBIDA"/>
      <sheetName val="p12 RATIOS"/>
      <sheetName val="p13 SRCS"/>
      <sheetName val="p14 USES"/>
      <sheetName val="p26 UMSH IS"/>
      <sheetName val="p27 JLK IS"/>
      <sheetName val="p28 MGHS IS"/>
      <sheetName val="p29 NAHS IS"/>
      <sheetName val="is fy01"/>
      <sheetName val="is fy02"/>
      <sheetName val="is fy03"/>
      <sheetName val="is fy04"/>
      <sheetName val="proj bs"/>
      <sheetName val="bud bs"/>
      <sheetName val="proj is"/>
      <sheetName val="bud is"/>
      <sheetName val="GAAP JE"/>
      <sheetName val="ELIMS"/>
      <sheetName val="Ummcsh"/>
      <sheetName val="UMMCSH ratios for hank"/>
      <sheetName val="UCare"/>
      <sheetName val="Kernan"/>
      <sheetName val="Kern End"/>
      <sheetName val="MGHS"/>
      <sheetName val="NAHS"/>
      <sheetName val="Fdtn"/>
      <sheetName val="Ship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UMH"/>
      <sheetName val="CC"/>
      <sheetName val="STC"/>
      <sheetName val="CORP"/>
    </sheetNames>
    <sheetDataSet>
      <sheetData sheetId="0" refreshError="1"/>
      <sheetData sheetId="1">
        <row r="976">
          <cell r="A976" t="str">
            <v>0167532</v>
          </cell>
          <cell r="B976" t="str">
            <v xml:space="preserve">  Transitional Rehab Center</v>
          </cell>
          <cell r="C976">
            <v>123</v>
          </cell>
          <cell r="E976" t="str">
            <v>D</v>
          </cell>
          <cell r="F976" t="str">
            <v xml:space="preserve"> </v>
          </cell>
          <cell r="G976" t="str">
            <v xml:space="preserve"> </v>
          </cell>
          <cell r="H976" t="str">
            <v>1INAC</v>
          </cell>
          <cell r="I976" t="str">
            <v>Zhang, Lingwei</v>
          </cell>
          <cell r="J976" t="str">
            <v>Walt Augustin</v>
          </cell>
          <cell r="L976" t="str">
            <v/>
          </cell>
          <cell r="M976" t="str">
            <v/>
          </cell>
          <cell r="N976" t="str">
            <v/>
          </cell>
          <cell r="O976" t="str">
            <v/>
          </cell>
          <cell r="P976" t="str">
            <v/>
          </cell>
          <cell r="Q976" t="str">
            <v/>
          </cell>
          <cell r="R976" t="str">
            <v>Augustin, W</v>
          </cell>
          <cell r="S976" t="str">
            <v/>
          </cell>
          <cell r="T976" t="str">
            <v>Franey, Hank</v>
          </cell>
          <cell r="U976" t="str">
            <v>Schimpff, Stephen</v>
          </cell>
          <cell r="V976" t="str">
            <v>Ashworth, John</v>
          </cell>
          <cell r="W976" t="str">
            <v>Inactive</v>
          </cell>
        </row>
        <row r="977">
          <cell r="A977" t="str">
            <v>0168212</v>
          </cell>
          <cell r="B977" t="str">
            <v xml:space="preserve">  Joslin at Shipleys</v>
          </cell>
          <cell r="C977">
            <v>128</v>
          </cell>
          <cell r="E977" t="str">
            <v>D</v>
          </cell>
          <cell r="F977" t="str">
            <v xml:space="preserve"> </v>
          </cell>
          <cell r="G977" t="str">
            <v xml:space="preserve"> </v>
          </cell>
          <cell r="H977" t="str">
            <v>1INAC</v>
          </cell>
          <cell r="I977" t="str">
            <v>Zhang, Lingwei</v>
          </cell>
          <cell r="J977" t="str">
            <v>Walt Augustin</v>
          </cell>
          <cell r="L977" t="str">
            <v/>
          </cell>
          <cell r="M977" t="str">
            <v/>
          </cell>
          <cell r="N977" t="str">
            <v/>
          </cell>
          <cell r="O977" t="str">
            <v/>
          </cell>
          <cell r="P977" t="str">
            <v/>
          </cell>
          <cell r="Q977" t="str">
            <v/>
          </cell>
          <cell r="R977" t="str">
            <v>Augustin, W</v>
          </cell>
          <cell r="S977" t="str">
            <v/>
          </cell>
          <cell r="T977" t="str">
            <v>Franey, Hank</v>
          </cell>
          <cell r="U977" t="str">
            <v>Schimpff, Stephen</v>
          </cell>
          <cell r="V977" t="str">
            <v>Ashworth, John</v>
          </cell>
          <cell r="W977" t="str">
            <v>Inactive</v>
          </cell>
        </row>
        <row r="978">
          <cell r="A978" t="str">
            <v>0176027</v>
          </cell>
          <cell r="B978" t="str">
            <v xml:space="preserve">  SRGN Acute 10 South</v>
          </cell>
          <cell r="C978">
            <v>146</v>
          </cell>
          <cell r="E978" t="str">
            <v>D</v>
          </cell>
          <cell r="F978" t="str">
            <v xml:space="preserve"> </v>
          </cell>
          <cell r="G978" t="str">
            <v xml:space="preserve"> </v>
          </cell>
          <cell r="H978" t="str">
            <v>1INAC</v>
          </cell>
          <cell r="I978" t="str">
            <v>Zhang, Lingwei</v>
          </cell>
          <cell r="J978" t="str">
            <v>Walt Augustin</v>
          </cell>
          <cell r="L978" t="str">
            <v/>
          </cell>
          <cell r="M978" t="str">
            <v/>
          </cell>
          <cell r="N978" t="str">
            <v/>
          </cell>
          <cell r="O978" t="str">
            <v/>
          </cell>
          <cell r="P978" t="str">
            <v/>
          </cell>
          <cell r="Q978" t="str">
            <v/>
          </cell>
          <cell r="R978" t="str">
            <v>Augustin, W</v>
          </cell>
          <cell r="S978" t="str">
            <v/>
          </cell>
          <cell r="T978" t="str">
            <v>Franey, Hank</v>
          </cell>
          <cell r="U978" t="str">
            <v>Schimpff, Stephen</v>
          </cell>
          <cell r="V978" t="str">
            <v>Ashworth, John</v>
          </cell>
          <cell r="W978" t="str">
            <v>Inactive</v>
          </cell>
        </row>
        <row r="979">
          <cell r="A979" t="str">
            <v>0176053</v>
          </cell>
          <cell r="B979" t="str">
            <v xml:space="preserve">  SRGN SICU/SD GUD 4W</v>
          </cell>
          <cell r="C979">
            <v>147</v>
          </cell>
          <cell r="E979" t="str">
            <v>D</v>
          </cell>
          <cell r="F979" t="str">
            <v xml:space="preserve"> </v>
          </cell>
          <cell r="G979" t="str">
            <v xml:space="preserve"> </v>
          </cell>
          <cell r="H979" t="str">
            <v>1INAC</v>
          </cell>
          <cell r="I979" t="str">
            <v>Zhang, Lingwei</v>
          </cell>
          <cell r="J979" t="str">
            <v>Walt Augustin</v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>Augustin, W</v>
          </cell>
          <cell r="S979" t="str">
            <v/>
          </cell>
          <cell r="T979" t="str">
            <v>Franey, Hank</v>
          </cell>
          <cell r="U979" t="str">
            <v>Schimpff, Stephen</v>
          </cell>
          <cell r="V979" t="str">
            <v>Ashworth, John</v>
          </cell>
          <cell r="W979" t="str">
            <v>Inactive</v>
          </cell>
        </row>
        <row r="980">
          <cell r="A980" t="str">
            <v>0176105</v>
          </cell>
          <cell r="B980" t="str">
            <v xml:space="preserve">  Peds GI Clinic</v>
          </cell>
          <cell r="C980">
            <v>149</v>
          </cell>
          <cell r="E980" t="str">
            <v>D</v>
          </cell>
          <cell r="F980" t="str">
            <v xml:space="preserve"> </v>
          </cell>
          <cell r="G980" t="str">
            <v xml:space="preserve"> </v>
          </cell>
          <cell r="H980" t="str">
            <v>1INAC</v>
          </cell>
          <cell r="I980" t="str">
            <v>Zhang, Lingwei</v>
          </cell>
          <cell r="J980" t="str">
            <v>Walt Augustin</v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>Hernandez, Alexis</v>
          </cell>
          <cell r="Q980" t="str">
            <v/>
          </cell>
          <cell r="R980" t="str">
            <v>Augustin, W</v>
          </cell>
          <cell r="S980" t="str">
            <v/>
          </cell>
          <cell r="T980" t="str">
            <v>Franey, Hank</v>
          </cell>
          <cell r="U980" t="str">
            <v>Schimpff, Stephen</v>
          </cell>
          <cell r="V980" t="str">
            <v>Ashworth, John</v>
          </cell>
          <cell r="W980" t="str">
            <v>Inactive</v>
          </cell>
        </row>
        <row r="981">
          <cell r="A981" t="str">
            <v>0176270</v>
          </cell>
          <cell r="B981" t="str">
            <v xml:space="preserve">  SRGN Step Down</v>
          </cell>
          <cell r="C981">
            <v>169</v>
          </cell>
          <cell r="E981" t="str">
            <v>D</v>
          </cell>
          <cell r="F981" t="str">
            <v xml:space="preserve"> </v>
          </cell>
          <cell r="G981" t="str">
            <v xml:space="preserve"> </v>
          </cell>
          <cell r="H981" t="str">
            <v>1INAC</v>
          </cell>
          <cell r="I981" t="str">
            <v>Zhang, Lingwei</v>
          </cell>
          <cell r="J981" t="str">
            <v>Walt Augustin</v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>Augustin, W</v>
          </cell>
          <cell r="S981" t="str">
            <v/>
          </cell>
          <cell r="T981" t="str">
            <v>Franey, Hank</v>
          </cell>
          <cell r="U981" t="str">
            <v>Schimpff, Stephen</v>
          </cell>
          <cell r="V981" t="str">
            <v>Ashworth, John</v>
          </cell>
          <cell r="W981" t="str">
            <v>Inactive</v>
          </cell>
        </row>
        <row r="982">
          <cell r="A982" t="str">
            <v>0176357</v>
          </cell>
          <cell r="B982" t="str">
            <v xml:space="preserve">  PEDN PICU Step Down</v>
          </cell>
          <cell r="C982">
            <v>171</v>
          </cell>
          <cell r="E982" t="str">
            <v>D</v>
          </cell>
          <cell r="F982" t="str">
            <v xml:space="preserve"> </v>
          </cell>
          <cell r="G982" t="str">
            <v xml:space="preserve"> </v>
          </cell>
          <cell r="H982" t="str">
            <v>1INAC</v>
          </cell>
          <cell r="I982" t="str">
            <v>Zhang, Lingwei</v>
          </cell>
          <cell r="J982" t="str">
            <v>Walt Augustin</v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>Augustin, W</v>
          </cell>
          <cell r="S982" t="str">
            <v/>
          </cell>
          <cell r="T982" t="str">
            <v>Franey, Hank</v>
          </cell>
          <cell r="U982" t="str">
            <v>Schimpff, Stephen</v>
          </cell>
          <cell r="V982" t="str">
            <v>Ashworth, John</v>
          </cell>
          <cell r="W982" t="str">
            <v>Inactive</v>
          </cell>
        </row>
        <row r="983">
          <cell r="A983" t="str">
            <v>0176513</v>
          </cell>
          <cell r="B983" t="str">
            <v xml:space="preserve">  PEDN Transport</v>
          </cell>
          <cell r="C983">
            <v>173</v>
          </cell>
          <cell r="E983" t="str">
            <v>D</v>
          </cell>
          <cell r="F983" t="str">
            <v xml:space="preserve"> </v>
          </cell>
          <cell r="G983" t="str">
            <v xml:space="preserve"> </v>
          </cell>
          <cell r="H983" t="str">
            <v>1INAC</v>
          </cell>
          <cell r="I983" t="str">
            <v>Zhang, Lingwei</v>
          </cell>
          <cell r="J983" t="str">
            <v>Walt Augustin</v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>Augustin, W</v>
          </cell>
          <cell r="S983" t="str">
            <v/>
          </cell>
          <cell r="T983" t="str">
            <v>Franey, Hank</v>
          </cell>
          <cell r="U983" t="str">
            <v>Schimpff, Stephen</v>
          </cell>
          <cell r="V983" t="str">
            <v>Ashworth, John</v>
          </cell>
          <cell r="W983" t="str">
            <v>Inactive</v>
          </cell>
        </row>
        <row r="984">
          <cell r="A984" t="str">
            <v>0177241</v>
          </cell>
          <cell r="B984" t="str">
            <v xml:space="preserve">  LABA Neuropathology</v>
          </cell>
          <cell r="C984">
            <v>227</v>
          </cell>
          <cell r="E984" t="str">
            <v>D</v>
          </cell>
          <cell r="F984" t="str">
            <v xml:space="preserve"> </v>
          </cell>
          <cell r="G984" t="str">
            <v xml:space="preserve"> </v>
          </cell>
          <cell r="H984" t="str">
            <v>1INAC</v>
          </cell>
          <cell r="I984" t="str">
            <v>Zhang, Lingwei</v>
          </cell>
          <cell r="J984" t="str">
            <v>Walt Augustin</v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>Augustin, W</v>
          </cell>
          <cell r="S984" t="str">
            <v/>
          </cell>
          <cell r="T984" t="str">
            <v>Franey, Hank</v>
          </cell>
          <cell r="U984" t="str">
            <v>Schimpff, Stephen</v>
          </cell>
          <cell r="V984" t="str">
            <v>Ashworth, John</v>
          </cell>
          <cell r="W984" t="str">
            <v>Inactive</v>
          </cell>
        </row>
        <row r="985">
          <cell r="A985" t="str">
            <v>0177329</v>
          </cell>
          <cell r="B985" t="str">
            <v xml:space="preserve">  Rad Peds Card Cath</v>
          </cell>
          <cell r="C985">
            <v>238</v>
          </cell>
          <cell r="E985" t="str">
            <v>D</v>
          </cell>
          <cell r="F985" t="str">
            <v xml:space="preserve"> </v>
          </cell>
          <cell r="G985" t="str">
            <v xml:space="preserve"> </v>
          </cell>
          <cell r="H985" t="str">
            <v>1INAC</v>
          </cell>
          <cell r="I985" t="str">
            <v>Zhang, Lingwei</v>
          </cell>
          <cell r="J985" t="str">
            <v>Walt Augustin</v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>Augustin, W</v>
          </cell>
          <cell r="S985" t="str">
            <v/>
          </cell>
          <cell r="T985" t="str">
            <v>Franey, Hank</v>
          </cell>
          <cell r="U985" t="str">
            <v>Schimpff, Stephen</v>
          </cell>
          <cell r="V985" t="str">
            <v>Ashworth, John</v>
          </cell>
          <cell r="W985" t="str">
            <v>Inactive</v>
          </cell>
        </row>
        <row r="986">
          <cell r="A986" t="str">
            <v>0177600</v>
          </cell>
          <cell r="B986" t="str">
            <v xml:space="preserve">  Dermatology</v>
          </cell>
          <cell r="C986">
            <v>252</v>
          </cell>
          <cell r="E986" t="str">
            <v>D</v>
          </cell>
          <cell r="F986" t="str">
            <v xml:space="preserve"> </v>
          </cell>
          <cell r="G986" t="str">
            <v xml:space="preserve"> </v>
          </cell>
          <cell r="H986" t="str">
            <v>1INAC</v>
          </cell>
          <cell r="I986" t="str">
            <v>Zhang, Lingwei</v>
          </cell>
          <cell r="J986" t="str">
            <v>Walt Augustin</v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>Augustin, W</v>
          </cell>
          <cell r="S986" t="str">
            <v/>
          </cell>
          <cell r="T986" t="str">
            <v>Franey, Hank</v>
          </cell>
          <cell r="U986" t="str">
            <v>Schimpff, Stephen</v>
          </cell>
          <cell r="V986" t="str">
            <v>Ashworth, John</v>
          </cell>
          <cell r="W986" t="str">
            <v>Inactive</v>
          </cell>
        </row>
        <row r="987">
          <cell r="A987" t="str">
            <v>0178608</v>
          </cell>
          <cell r="B987" t="str">
            <v xml:space="preserve">  Post Acute Services Administration</v>
          </cell>
          <cell r="C987">
            <v>292</v>
          </cell>
          <cell r="E987" t="str">
            <v>D</v>
          </cell>
          <cell r="F987" t="str">
            <v xml:space="preserve"> </v>
          </cell>
          <cell r="G987" t="str">
            <v xml:space="preserve"> </v>
          </cell>
          <cell r="H987" t="str">
            <v>1INAC</v>
          </cell>
          <cell r="I987" t="str">
            <v>Zhang, Lingwei</v>
          </cell>
          <cell r="J987" t="str">
            <v>Walt Augustin</v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>Augustin, W</v>
          </cell>
          <cell r="S987" t="str">
            <v/>
          </cell>
          <cell r="T987" t="str">
            <v>Franey, Hank</v>
          </cell>
          <cell r="U987" t="str">
            <v>Schimpff, Stephen</v>
          </cell>
          <cell r="V987" t="str">
            <v>Ashworth, John</v>
          </cell>
          <cell r="W987" t="str">
            <v>Inactive</v>
          </cell>
        </row>
        <row r="988">
          <cell r="A988" t="str">
            <v>0178740</v>
          </cell>
          <cell r="B988" t="str">
            <v xml:space="preserve">  Administration </v>
          </cell>
          <cell r="C988">
            <v>313</v>
          </cell>
          <cell r="E988" t="str">
            <v>D</v>
          </cell>
          <cell r="F988" t="str">
            <v xml:space="preserve"> </v>
          </cell>
          <cell r="G988" t="str">
            <v xml:space="preserve"> </v>
          </cell>
          <cell r="H988" t="str">
            <v>1INAC</v>
          </cell>
          <cell r="I988" t="str">
            <v>Zhang, Lingwei</v>
          </cell>
          <cell r="J988" t="str">
            <v>Walt Augustin</v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>Augustin, W</v>
          </cell>
          <cell r="S988" t="str">
            <v/>
          </cell>
          <cell r="T988" t="str">
            <v>Franey, Hank</v>
          </cell>
          <cell r="U988" t="str">
            <v>Schimpff, Stephen</v>
          </cell>
          <cell r="V988" t="str">
            <v>Ashworth, John</v>
          </cell>
          <cell r="W988" t="str">
            <v>Inactive</v>
          </cell>
        </row>
        <row r="989">
          <cell r="A989" t="str">
            <v>0178769</v>
          </cell>
          <cell r="B989" t="str">
            <v xml:space="preserve">  Perioperative Nursing Plan Reduction</v>
          </cell>
          <cell r="C989">
            <v>327</v>
          </cell>
          <cell r="E989" t="str">
            <v>D</v>
          </cell>
          <cell r="F989" t="str">
            <v xml:space="preserve"> </v>
          </cell>
          <cell r="G989" t="str">
            <v xml:space="preserve"> </v>
          </cell>
          <cell r="H989" t="str">
            <v>1INAC</v>
          </cell>
          <cell r="I989" t="str">
            <v>Zhang, Lingwei</v>
          </cell>
          <cell r="J989" t="str">
            <v>Walt Augustin</v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>Augustin, W</v>
          </cell>
          <cell r="S989" t="str">
            <v/>
          </cell>
          <cell r="T989" t="str">
            <v>Franey, Hank</v>
          </cell>
          <cell r="U989" t="str">
            <v>Schimpff, Stephen</v>
          </cell>
          <cell r="V989" t="str">
            <v>Ashworth, John</v>
          </cell>
          <cell r="W989" t="str">
            <v>Inactive</v>
          </cell>
        </row>
        <row r="990">
          <cell r="A990" t="str">
            <v>0178770</v>
          </cell>
          <cell r="B990" t="str">
            <v xml:space="preserve">  Neuro Care Plan Reduction</v>
          </cell>
          <cell r="C990">
            <v>328</v>
          </cell>
          <cell r="E990" t="str">
            <v>D</v>
          </cell>
          <cell r="F990" t="str">
            <v xml:space="preserve"> </v>
          </cell>
          <cell r="G990" t="str">
            <v xml:space="preserve"> </v>
          </cell>
          <cell r="H990" t="str">
            <v>1INAC</v>
          </cell>
          <cell r="I990" t="str">
            <v>Zhang, Lingwei</v>
          </cell>
          <cell r="J990" t="str">
            <v>Walt Augustin</v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>Augustin, W</v>
          </cell>
          <cell r="S990" t="str">
            <v/>
          </cell>
          <cell r="T990" t="str">
            <v>Franey, Hank</v>
          </cell>
          <cell r="U990" t="str">
            <v>Schimpff, Stephen</v>
          </cell>
          <cell r="V990" t="str">
            <v>Ashworth, John</v>
          </cell>
          <cell r="W990" t="str">
            <v>Inactive</v>
          </cell>
        </row>
        <row r="991">
          <cell r="A991" t="str">
            <v>0188414</v>
          </cell>
          <cell r="B991" t="str">
            <v xml:space="preserve">  FAC Building Systems</v>
          </cell>
          <cell r="C991">
            <v>354</v>
          </cell>
          <cell r="E991" t="str">
            <v>D</v>
          </cell>
          <cell r="F991" t="str">
            <v xml:space="preserve"> </v>
          </cell>
          <cell r="G991" t="str">
            <v xml:space="preserve"> </v>
          </cell>
          <cell r="H991" t="str">
            <v>1INAC</v>
          </cell>
          <cell r="I991" t="str">
            <v>Zhang, Lingwei</v>
          </cell>
          <cell r="J991" t="str">
            <v>Walt Augustin</v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/>
          </cell>
          <cell r="R991" t="str">
            <v>Augustin, W</v>
          </cell>
          <cell r="S991" t="str">
            <v/>
          </cell>
          <cell r="T991" t="str">
            <v>Franey, Hank</v>
          </cell>
          <cell r="U991" t="str">
            <v>Schimpff, Stephen</v>
          </cell>
          <cell r="V991" t="str">
            <v>Ashworth, John</v>
          </cell>
          <cell r="W991" t="str">
            <v>Inactive</v>
          </cell>
        </row>
        <row r="992">
          <cell r="A992" t="str">
            <v>0188517</v>
          </cell>
          <cell r="B992" t="str">
            <v xml:space="preserve">  Finance Admin Adj</v>
          </cell>
          <cell r="C992">
            <v>417</v>
          </cell>
          <cell r="F992" t="str">
            <v xml:space="preserve"> </v>
          </cell>
          <cell r="G992" t="str">
            <v xml:space="preserve"> </v>
          </cell>
          <cell r="H992" t="str">
            <v>1INAC</v>
          </cell>
          <cell r="I992" t="str">
            <v>Zhang, Lingwei</v>
          </cell>
          <cell r="J992" t="str">
            <v>Walt Augustin</v>
          </cell>
          <cell r="L992" t="str">
            <v/>
          </cell>
          <cell r="M992" t="str">
            <v/>
          </cell>
          <cell r="N992" t="str">
            <v/>
          </cell>
          <cell r="O992" t="str">
            <v/>
          </cell>
          <cell r="P992" t="str">
            <v/>
          </cell>
          <cell r="Q992" t="str">
            <v/>
          </cell>
          <cell r="R992" t="str">
            <v>Augustin, W</v>
          </cell>
          <cell r="S992" t="str">
            <v/>
          </cell>
          <cell r="T992" t="str">
            <v>Franey, Hank</v>
          </cell>
          <cell r="U992" t="str">
            <v>Schimpff, Stephen</v>
          </cell>
          <cell r="V992" t="str">
            <v>Ashworth, John</v>
          </cell>
          <cell r="W992" t="str">
            <v>Inactive</v>
          </cell>
        </row>
        <row r="993">
          <cell r="A993" t="str">
            <v>0188519</v>
          </cell>
          <cell r="B993" t="str">
            <v xml:space="preserve">  Shipley's PT</v>
          </cell>
          <cell r="C993">
            <v>419</v>
          </cell>
          <cell r="E993" t="str">
            <v>D</v>
          </cell>
          <cell r="F993" t="str">
            <v xml:space="preserve"> </v>
          </cell>
          <cell r="G993" t="str">
            <v xml:space="preserve"> </v>
          </cell>
          <cell r="H993" t="str">
            <v>1INAC</v>
          </cell>
          <cell r="I993" t="str">
            <v>Zhang, Lingwei</v>
          </cell>
          <cell r="J993" t="str">
            <v>Walt Augustin</v>
          </cell>
          <cell r="L993" t="str">
            <v/>
          </cell>
          <cell r="M993" t="str">
            <v/>
          </cell>
          <cell r="N993" t="str">
            <v/>
          </cell>
          <cell r="O993" t="str">
            <v/>
          </cell>
          <cell r="P993" t="str">
            <v/>
          </cell>
          <cell r="Q993" t="str">
            <v/>
          </cell>
          <cell r="R993" t="str">
            <v>Augustin, W</v>
          </cell>
          <cell r="S993" t="str">
            <v/>
          </cell>
          <cell r="T993" t="str">
            <v>Franey, Hank</v>
          </cell>
          <cell r="U993" t="str">
            <v>Schimpff, Stephen</v>
          </cell>
          <cell r="V993" t="str">
            <v>Ashworth, John</v>
          </cell>
          <cell r="W993" t="str">
            <v>Inactive</v>
          </cell>
        </row>
        <row r="994">
          <cell r="A994" t="str">
            <v>0188531</v>
          </cell>
          <cell r="B994" t="str">
            <v xml:space="preserve">  Business Practices Management</v>
          </cell>
          <cell r="C994">
            <v>431</v>
          </cell>
          <cell r="E994" t="str">
            <v>D</v>
          </cell>
          <cell r="F994" t="str">
            <v xml:space="preserve"> </v>
          </cell>
          <cell r="G994" t="str">
            <v xml:space="preserve"> </v>
          </cell>
          <cell r="H994" t="str">
            <v>1INAC</v>
          </cell>
          <cell r="I994" t="str">
            <v>Zhang, Lingwei</v>
          </cell>
          <cell r="J994" t="str">
            <v>Walt Augustin</v>
          </cell>
          <cell r="L994" t="str">
            <v/>
          </cell>
          <cell r="M994" t="str">
            <v/>
          </cell>
          <cell r="N994" t="str">
            <v/>
          </cell>
          <cell r="O994" t="str">
            <v/>
          </cell>
          <cell r="P994" t="str">
            <v/>
          </cell>
          <cell r="Q994" t="str">
            <v/>
          </cell>
          <cell r="R994" t="str">
            <v>Augustin, W</v>
          </cell>
          <cell r="S994" t="str">
            <v/>
          </cell>
          <cell r="T994" t="str">
            <v>Franey, Hank</v>
          </cell>
          <cell r="U994" t="str">
            <v>Schimpff, Stephen</v>
          </cell>
          <cell r="V994" t="str">
            <v>Ashworth, John</v>
          </cell>
          <cell r="W994" t="str">
            <v>Inactive</v>
          </cell>
        </row>
        <row r="995">
          <cell r="A995" t="str">
            <v>0188601</v>
          </cell>
          <cell r="B995" t="str">
            <v xml:space="preserve">  Corporate Rehabilitation</v>
          </cell>
          <cell r="C995">
            <v>444</v>
          </cell>
          <cell r="E995" t="str">
            <v>D</v>
          </cell>
          <cell r="F995" t="str">
            <v xml:space="preserve"> </v>
          </cell>
          <cell r="G995" t="str">
            <v xml:space="preserve"> </v>
          </cell>
          <cell r="H995" t="str">
            <v>1INAC</v>
          </cell>
          <cell r="I995" t="str">
            <v>Zhang, Lingwei</v>
          </cell>
          <cell r="J995" t="str">
            <v>Walt Augustin</v>
          </cell>
          <cell r="L995" t="str">
            <v/>
          </cell>
          <cell r="M995" t="str">
            <v/>
          </cell>
          <cell r="N995" t="str">
            <v/>
          </cell>
          <cell r="O995" t="str">
            <v/>
          </cell>
          <cell r="P995" t="str">
            <v/>
          </cell>
          <cell r="Q995" t="str">
            <v/>
          </cell>
          <cell r="R995" t="str">
            <v>Augustin, W</v>
          </cell>
          <cell r="S995" t="str">
            <v/>
          </cell>
          <cell r="T995" t="str">
            <v>Franey, Hank</v>
          </cell>
          <cell r="U995" t="str">
            <v>Schimpff, Stephen</v>
          </cell>
          <cell r="V995" t="str">
            <v>Ashworth, John</v>
          </cell>
          <cell r="W995" t="str">
            <v>Inactive</v>
          </cell>
        </row>
        <row r="996">
          <cell r="A996" t="str">
            <v>0188602</v>
          </cell>
          <cell r="B996" t="str">
            <v xml:space="preserve">  PLNA Strategic Development</v>
          </cell>
          <cell r="C996">
            <v>445</v>
          </cell>
          <cell r="E996" t="str">
            <v>D</v>
          </cell>
          <cell r="F996" t="str">
            <v xml:space="preserve"> </v>
          </cell>
          <cell r="G996" t="str">
            <v xml:space="preserve"> </v>
          </cell>
          <cell r="H996" t="str">
            <v>1INAC</v>
          </cell>
          <cell r="I996" t="str">
            <v>Zhang, Lingwei</v>
          </cell>
          <cell r="J996" t="str">
            <v>Walt Augustin</v>
          </cell>
          <cell r="L996" t="str">
            <v/>
          </cell>
          <cell r="M996" t="str">
            <v/>
          </cell>
          <cell r="N996" t="str">
            <v/>
          </cell>
          <cell r="O996" t="str">
            <v/>
          </cell>
          <cell r="P996" t="str">
            <v/>
          </cell>
          <cell r="Q996" t="str">
            <v/>
          </cell>
          <cell r="R996" t="str">
            <v>Augustin, W</v>
          </cell>
          <cell r="S996" t="str">
            <v/>
          </cell>
          <cell r="T996" t="str">
            <v>Franey, Hank</v>
          </cell>
          <cell r="U996" t="str">
            <v>Schimpff, Stephen</v>
          </cell>
          <cell r="V996" t="str">
            <v>Ashworth, John</v>
          </cell>
          <cell r="W996" t="str">
            <v>Inactive</v>
          </cell>
        </row>
        <row r="997">
          <cell r="A997" t="str">
            <v>0188637</v>
          </cell>
          <cell r="B997" t="str">
            <v xml:space="preserve">  PHO Development</v>
          </cell>
          <cell r="C997">
            <v>472</v>
          </cell>
          <cell r="E997" t="str">
            <v>D</v>
          </cell>
          <cell r="F997" t="str">
            <v xml:space="preserve"> </v>
          </cell>
          <cell r="G997" t="str">
            <v xml:space="preserve"> </v>
          </cell>
          <cell r="H997" t="str">
            <v>1INAC</v>
          </cell>
          <cell r="I997" t="str">
            <v>Zhang, Lingwei</v>
          </cell>
          <cell r="J997" t="str">
            <v>Walt Augustin</v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>Augustin, W</v>
          </cell>
          <cell r="S997" t="str">
            <v/>
          </cell>
          <cell r="T997" t="str">
            <v>Franey, Hank</v>
          </cell>
          <cell r="U997" t="str">
            <v>Schimpff, Stephen</v>
          </cell>
          <cell r="V997" t="str">
            <v>Ashworth, John</v>
          </cell>
          <cell r="W997" t="str">
            <v>Inactive</v>
          </cell>
        </row>
        <row r="998">
          <cell r="A998" t="str">
            <v>0188758</v>
          </cell>
          <cell r="B998" t="str">
            <v xml:space="preserve">  QPPD Recruitment</v>
          </cell>
          <cell r="C998">
            <v>502</v>
          </cell>
          <cell r="E998" t="str">
            <v>D</v>
          </cell>
          <cell r="F998" t="str">
            <v xml:space="preserve"> </v>
          </cell>
          <cell r="G998" t="str">
            <v xml:space="preserve"> </v>
          </cell>
          <cell r="H998" t="str">
            <v>1INAC</v>
          </cell>
          <cell r="I998" t="str">
            <v>Zhang, Lingwei</v>
          </cell>
          <cell r="J998" t="str">
            <v>Walt Augustin</v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>Augustin, W</v>
          </cell>
          <cell r="S998" t="str">
            <v/>
          </cell>
          <cell r="T998" t="str">
            <v>Franey, Hank</v>
          </cell>
          <cell r="U998" t="str">
            <v>Schimpff, Stephen</v>
          </cell>
          <cell r="V998" t="str">
            <v>Ashworth, John</v>
          </cell>
          <cell r="W998" t="str">
            <v>Inactive</v>
          </cell>
        </row>
        <row r="999">
          <cell r="A999" t="str">
            <v>0199500</v>
          </cell>
          <cell r="B999" t="str">
            <v xml:space="preserve">  Univcare/Edmondson</v>
          </cell>
          <cell r="C999">
            <v>591</v>
          </cell>
          <cell r="E999" t="str">
            <v>D</v>
          </cell>
          <cell r="F999" t="str">
            <v xml:space="preserve"> </v>
          </cell>
          <cell r="G999" t="str">
            <v xml:space="preserve"> </v>
          </cell>
          <cell r="H999" t="str">
            <v>1INAC</v>
          </cell>
          <cell r="I999" t="str">
            <v>Zhang, Lingwei</v>
          </cell>
          <cell r="J999" t="str">
            <v>Walt Augustin</v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>Augustin, W</v>
          </cell>
          <cell r="S999" t="str">
            <v/>
          </cell>
          <cell r="T999" t="str">
            <v>Franey, Hank</v>
          </cell>
          <cell r="U999" t="str">
            <v>Schimpff, Stephen</v>
          </cell>
          <cell r="V999" t="str">
            <v>Ashworth, John</v>
          </cell>
          <cell r="W999" t="str">
            <v>Inactive</v>
          </cell>
        </row>
        <row r="1000">
          <cell r="A1000" t="str">
            <v>0199520</v>
          </cell>
          <cell r="B1000" t="str">
            <v xml:space="preserve">  Univcare/Westside</v>
          </cell>
          <cell r="C1000">
            <v>592</v>
          </cell>
          <cell r="E1000" t="str">
            <v>D</v>
          </cell>
          <cell r="F1000" t="str">
            <v xml:space="preserve"> </v>
          </cell>
          <cell r="G1000" t="str">
            <v xml:space="preserve"> </v>
          </cell>
          <cell r="H1000" t="str">
            <v>1INAC</v>
          </cell>
          <cell r="I1000" t="str">
            <v>Zhang, Lingwei</v>
          </cell>
          <cell r="J1000" t="str">
            <v>Walt Augustin</v>
          </cell>
          <cell r="L1000" t="str">
            <v/>
          </cell>
          <cell r="M1000" t="str">
            <v/>
          </cell>
          <cell r="N1000" t="str">
            <v/>
          </cell>
          <cell r="O1000" t="str">
            <v/>
          </cell>
          <cell r="P1000" t="str">
            <v/>
          </cell>
          <cell r="Q1000" t="str">
            <v/>
          </cell>
          <cell r="R1000" t="str">
            <v>Augustin, W</v>
          </cell>
          <cell r="S1000" t="str">
            <v/>
          </cell>
          <cell r="T1000" t="str">
            <v>Franey, Hank</v>
          </cell>
          <cell r="U1000" t="str">
            <v>Schimpff, Stephen</v>
          </cell>
          <cell r="V1000" t="str">
            <v>Ashworth, John</v>
          </cell>
          <cell r="W1000" t="str">
            <v>Inactive</v>
          </cell>
        </row>
        <row r="1001">
          <cell r="A1001" t="str">
            <v>0199530</v>
          </cell>
          <cell r="B1001" t="str">
            <v xml:space="preserve">  Univcare/Waxter</v>
          </cell>
          <cell r="C1001">
            <v>593</v>
          </cell>
          <cell r="E1001" t="str">
            <v>D</v>
          </cell>
          <cell r="F1001" t="str">
            <v xml:space="preserve"> </v>
          </cell>
          <cell r="G1001" t="str">
            <v xml:space="preserve"> </v>
          </cell>
          <cell r="H1001" t="str">
            <v>1INAC</v>
          </cell>
          <cell r="I1001" t="str">
            <v>Zhang, Lingwei</v>
          </cell>
          <cell r="J1001" t="str">
            <v>Walt Augustin</v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>Augustin, W</v>
          </cell>
          <cell r="S1001" t="str">
            <v/>
          </cell>
          <cell r="T1001" t="str">
            <v>Franey, Hank</v>
          </cell>
          <cell r="U1001" t="str">
            <v>Schimpff, Stephen</v>
          </cell>
          <cell r="V1001" t="str">
            <v>Ashworth, John</v>
          </cell>
          <cell r="W1001" t="str">
            <v>Inactive</v>
          </cell>
        </row>
        <row r="1002">
          <cell r="A1002" t="str">
            <v>0199540</v>
          </cell>
          <cell r="B1002" t="str">
            <v xml:space="preserve">  Univcare/Administration</v>
          </cell>
          <cell r="C1002">
            <v>594</v>
          </cell>
          <cell r="E1002" t="str">
            <v>D</v>
          </cell>
          <cell r="F1002" t="str">
            <v xml:space="preserve"> </v>
          </cell>
          <cell r="G1002" t="str">
            <v xml:space="preserve"> </v>
          </cell>
          <cell r="H1002" t="str">
            <v>1INAC</v>
          </cell>
          <cell r="I1002" t="str">
            <v>Zhang, Lingwei</v>
          </cell>
          <cell r="J1002" t="str">
            <v>Walt Augustin</v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>Augustin, W</v>
          </cell>
          <cell r="S1002" t="str">
            <v/>
          </cell>
          <cell r="T1002" t="str">
            <v>Franey, Hank</v>
          </cell>
          <cell r="U1002" t="str">
            <v>Schimpff, Stephen</v>
          </cell>
          <cell r="V1002" t="str">
            <v>Ashworth, John</v>
          </cell>
          <cell r="W1002" t="str">
            <v>Inactive</v>
          </cell>
        </row>
        <row r="1003">
          <cell r="A1003" t="str">
            <v>0199550</v>
          </cell>
          <cell r="B1003" t="str">
            <v xml:space="preserve">  Univcare/Opengates</v>
          </cell>
          <cell r="C1003">
            <v>595</v>
          </cell>
          <cell r="E1003" t="str">
            <v>D</v>
          </cell>
          <cell r="F1003" t="str">
            <v xml:space="preserve"> </v>
          </cell>
          <cell r="G1003" t="str">
            <v xml:space="preserve"> </v>
          </cell>
          <cell r="H1003" t="str">
            <v>1INAC</v>
          </cell>
          <cell r="I1003" t="str">
            <v>Zhang, Lingwei</v>
          </cell>
          <cell r="J1003" t="str">
            <v>Walt Augustin</v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>Augustin, W</v>
          </cell>
          <cell r="S1003" t="str">
            <v/>
          </cell>
          <cell r="T1003" t="str">
            <v>Franey, Hank</v>
          </cell>
          <cell r="U1003" t="str">
            <v>Schimpff, Stephen</v>
          </cell>
          <cell r="V1003" t="str">
            <v>Ashworth, John</v>
          </cell>
          <cell r="W1003" t="str">
            <v>Inactive</v>
          </cell>
        </row>
        <row r="1004">
          <cell r="A1004" t="str">
            <v>0199570</v>
          </cell>
          <cell r="B1004" t="str">
            <v xml:space="preserve">  Univcare/Howard Park</v>
          </cell>
          <cell r="C1004">
            <v>596</v>
          </cell>
          <cell r="E1004" t="str">
            <v>D</v>
          </cell>
          <cell r="F1004" t="str">
            <v xml:space="preserve"> </v>
          </cell>
          <cell r="G1004" t="str">
            <v xml:space="preserve"> </v>
          </cell>
          <cell r="H1004" t="str">
            <v>1INAC</v>
          </cell>
          <cell r="I1004" t="str">
            <v>Zhang, Lingwei</v>
          </cell>
          <cell r="J1004" t="str">
            <v>Walt Augustin</v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>Augustin, W</v>
          </cell>
          <cell r="S1004" t="str">
            <v/>
          </cell>
          <cell r="T1004" t="str">
            <v>Franey, Hank</v>
          </cell>
          <cell r="U1004" t="str">
            <v>Schimpff, Stephen</v>
          </cell>
          <cell r="V1004" t="str">
            <v>Ashworth, John</v>
          </cell>
          <cell r="W1004" t="str">
            <v>Inactive</v>
          </cell>
        </row>
        <row r="1005">
          <cell r="A1005" t="str">
            <v>0199580</v>
          </cell>
          <cell r="B1005" t="str">
            <v xml:space="preserve">  Univcare/Shipleys</v>
          </cell>
          <cell r="C1005">
            <v>597</v>
          </cell>
          <cell r="E1005" t="str">
            <v>D</v>
          </cell>
          <cell r="F1005" t="str">
            <v xml:space="preserve"> </v>
          </cell>
          <cell r="G1005" t="str">
            <v xml:space="preserve"> </v>
          </cell>
          <cell r="H1005" t="str">
            <v>1INAC</v>
          </cell>
          <cell r="I1005" t="str">
            <v>Zhang, Lingwei</v>
          </cell>
          <cell r="J1005" t="str">
            <v>Walt Augustin</v>
          </cell>
          <cell r="L1005" t="str">
            <v/>
          </cell>
          <cell r="M1005" t="str">
            <v/>
          </cell>
          <cell r="N1005" t="str">
            <v/>
          </cell>
          <cell r="O1005" t="str">
            <v/>
          </cell>
          <cell r="P1005" t="str">
            <v/>
          </cell>
          <cell r="Q1005" t="str">
            <v/>
          </cell>
          <cell r="R1005" t="str">
            <v>Augustin, W</v>
          </cell>
          <cell r="S1005" t="str">
            <v/>
          </cell>
          <cell r="T1005" t="str">
            <v>Franey, Hank</v>
          </cell>
          <cell r="U1005" t="str">
            <v>Schimpff, Stephen</v>
          </cell>
          <cell r="V1005" t="str">
            <v>Ashworth, John</v>
          </cell>
          <cell r="W1005" t="str">
            <v>Inactive</v>
          </cell>
        </row>
        <row r="1006">
          <cell r="A1006" t="str">
            <v>0199898</v>
          </cell>
          <cell r="B1006" t="str">
            <v xml:space="preserve">  Error/Suspense</v>
          </cell>
          <cell r="C1006">
            <v>598</v>
          </cell>
          <cell r="E1006" t="str">
            <v>D</v>
          </cell>
          <cell r="F1006" t="str">
            <v xml:space="preserve"> </v>
          </cell>
          <cell r="G1006" t="str">
            <v xml:space="preserve"> </v>
          </cell>
          <cell r="H1006" t="str">
            <v>1INAC</v>
          </cell>
          <cell r="I1006" t="str">
            <v>Zhang, Lingwei</v>
          </cell>
          <cell r="J1006" t="str">
            <v>Walt Augustin</v>
          </cell>
          <cell r="L1006" t="str">
            <v/>
          </cell>
          <cell r="M1006" t="str">
            <v/>
          </cell>
          <cell r="N1006" t="str">
            <v/>
          </cell>
          <cell r="O1006" t="str">
            <v/>
          </cell>
          <cell r="P1006" t="str">
            <v/>
          </cell>
          <cell r="Q1006" t="str">
            <v/>
          </cell>
          <cell r="R1006" t="str">
            <v>Augustin, W</v>
          </cell>
          <cell r="S1006" t="str">
            <v/>
          </cell>
          <cell r="T1006" t="str">
            <v>Franey, Hank</v>
          </cell>
          <cell r="U1006" t="str">
            <v>Schimpff, Stephen</v>
          </cell>
          <cell r="V1006" t="str">
            <v>Ashworth, John</v>
          </cell>
          <cell r="W1006" t="str">
            <v>Inactive</v>
          </cell>
        </row>
        <row r="1007">
          <cell r="A1007" t="str">
            <v>0248302</v>
          </cell>
          <cell r="B1007" t="str">
            <v xml:space="preserve">  Inpatient Revenue</v>
          </cell>
          <cell r="C1007">
            <v>599</v>
          </cell>
          <cell r="E1007" t="str">
            <v>D</v>
          </cell>
          <cell r="F1007" t="str">
            <v xml:space="preserve"> </v>
          </cell>
          <cell r="G1007" t="str">
            <v xml:space="preserve"> </v>
          </cell>
          <cell r="H1007" t="str">
            <v>9SNF</v>
          </cell>
          <cell r="I1007" t="str">
            <v>Zhang, Lingwei</v>
          </cell>
          <cell r="J1007" t="str">
            <v>Walt Augustin</v>
          </cell>
          <cell r="L1007" t="str">
            <v/>
          </cell>
          <cell r="M1007" t="str">
            <v/>
          </cell>
          <cell r="N1007" t="str">
            <v/>
          </cell>
          <cell r="O1007" t="str">
            <v/>
          </cell>
          <cell r="P1007" t="str">
            <v/>
          </cell>
          <cell r="Q1007" t="str">
            <v/>
          </cell>
          <cell r="R1007" t="str">
            <v>Augustin, W</v>
          </cell>
          <cell r="S1007" t="str">
            <v/>
          </cell>
          <cell r="T1007" t="str">
            <v>Franey, Hank</v>
          </cell>
          <cell r="U1007" t="str">
            <v>Schimpff, Stephen</v>
          </cell>
          <cell r="V1007" t="str">
            <v>Ashworth, John</v>
          </cell>
          <cell r="W1007" t="str">
            <v>Inactive</v>
          </cell>
        </row>
        <row r="1008">
          <cell r="A1008" t="str">
            <v>0258304</v>
          </cell>
          <cell r="B1008" t="str">
            <v xml:space="preserve">  Contractuals</v>
          </cell>
          <cell r="C1008">
            <v>600</v>
          </cell>
          <cell r="E1008" t="str">
            <v>D</v>
          </cell>
          <cell r="F1008" t="str">
            <v xml:space="preserve"> </v>
          </cell>
          <cell r="G1008" t="str">
            <v xml:space="preserve"> </v>
          </cell>
          <cell r="H1008" t="str">
            <v>9SNF</v>
          </cell>
          <cell r="I1008" t="str">
            <v>Zhang, Lingwei</v>
          </cell>
          <cell r="J1008" t="str">
            <v>Walt Augustin</v>
          </cell>
          <cell r="L1008" t="str">
            <v/>
          </cell>
          <cell r="M1008" t="str">
            <v/>
          </cell>
          <cell r="N1008" t="str">
            <v/>
          </cell>
          <cell r="O1008" t="str">
            <v/>
          </cell>
          <cell r="P1008" t="str">
            <v/>
          </cell>
          <cell r="Q1008" t="str">
            <v/>
          </cell>
          <cell r="R1008" t="str">
            <v>Augustin, W</v>
          </cell>
          <cell r="S1008" t="str">
            <v/>
          </cell>
          <cell r="T1008" t="str">
            <v>Franey, Hank</v>
          </cell>
          <cell r="U1008" t="str">
            <v>Schimpff, Stephen</v>
          </cell>
          <cell r="V1008" t="str">
            <v>Ashworth, John</v>
          </cell>
          <cell r="W1008" t="str">
            <v>Inactive</v>
          </cell>
        </row>
        <row r="1009">
          <cell r="A1009" t="str">
            <v>0258306</v>
          </cell>
          <cell r="B1009" t="str">
            <v xml:space="preserve">  Other Revenue</v>
          </cell>
          <cell r="C1009">
            <v>601</v>
          </cell>
          <cell r="E1009" t="str">
            <v>D</v>
          </cell>
          <cell r="F1009" t="str">
            <v xml:space="preserve"> </v>
          </cell>
          <cell r="G1009" t="str">
            <v xml:space="preserve"> </v>
          </cell>
          <cell r="H1009" t="str">
            <v>9SNF</v>
          </cell>
          <cell r="I1009" t="str">
            <v>Zhang, Lingwei</v>
          </cell>
          <cell r="J1009" t="str">
            <v>Walt Augustin</v>
          </cell>
          <cell r="L1009" t="str">
            <v/>
          </cell>
          <cell r="M1009" t="str">
            <v/>
          </cell>
          <cell r="N1009" t="str">
            <v/>
          </cell>
          <cell r="O1009" t="str">
            <v/>
          </cell>
          <cell r="P1009" t="str">
            <v/>
          </cell>
          <cell r="Q1009" t="str">
            <v/>
          </cell>
          <cell r="R1009" t="str">
            <v>Augustin, W</v>
          </cell>
          <cell r="S1009" t="str">
            <v/>
          </cell>
          <cell r="T1009" t="str">
            <v>Franey, Hank</v>
          </cell>
          <cell r="U1009" t="str">
            <v>Schimpff, Stephen</v>
          </cell>
          <cell r="V1009" t="str">
            <v>Ashworth, John</v>
          </cell>
          <cell r="W1009" t="str">
            <v>Inactive</v>
          </cell>
        </row>
        <row r="1010">
          <cell r="A1010" t="str">
            <v>0258334</v>
          </cell>
          <cell r="B1010" t="str">
            <v xml:space="preserve">  Bad Debt</v>
          </cell>
          <cell r="C1010">
            <v>602</v>
          </cell>
          <cell r="E1010" t="str">
            <v>D</v>
          </cell>
          <cell r="F1010" t="str">
            <v xml:space="preserve"> </v>
          </cell>
          <cell r="G1010" t="str">
            <v xml:space="preserve"> </v>
          </cell>
          <cell r="H1010" t="str">
            <v>9SNF</v>
          </cell>
          <cell r="I1010" t="str">
            <v>Zhang, Lingwei</v>
          </cell>
          <cell r="J1010" t="str">
            <v>Walt Augustin</v>
          </cell>
          <cell r="L1010" t="str">
            <v/>
          </cell>
          <cell r="M1010" t="str">
            <v/>
          </cell>
          <cell r="N1010" t="str">
            <v/>
          </cell>
          <cell r="O1010" t="str">
            <v/>
          </cell>
          <cell r="P1010" t="str">
            <v/>
          </cell>
          <cell r="Q1010" t="str">
            <v/>
          </cell>
          <cell r="R1010" t="str">
            <v>Augustin, W</v>
          </cell>
          <cell r="S1010" t="str">
            <v/>
          </cell>
          <cell r="T1010" t="str">
            <v>Franey, Hank</v>
          </cell>
          <cell r="U1010" t="str">
            <v>Schimpff, Stephen</v>
          </cell>
          <cell r="V1010" t="str">
            <v>Ashworth, John</v>
          </cell>
          <cell r="W1010" t="str">
            <v>Inactive</v>
          </cell>
        </row>
        <row r="1011">
          <cell r="A1011" t="str">
            <v>0278320</v>
          </cell>
          <cell r="B1011" t="str">
            <v xml:space="preserve">  Nursing Care Services</v>
          </cell>
          <cell r="C1011">
            <v>603</v>
          </cell>
          <cell r="E1011" t="str">
            <v>D</v>
          </cell>
          <cell r="F1011" t="str">
            <v xml:space="preserve"> </v>
          </cell>
          <cell r="G1011" t="str">
            <v xml:space="preserve"> </v>
          </cell>
          <cell r="H1011" t="str">
            <v>9SNF</v>
          </cell>
          <cell r="I1011" t="str">
            <v>Zhang, Lingwei</v>
          </cell>
          <cell r="J1011" t="str">
            <v>Walt Augustin</v>
          </cell>
          <cell r="L1011" t="str">
            <v/>
          </cell>
          <cell r="M1011" t="str">
            <v/>
          </cell>
          <cell r="N1011" t="str">
            <v/>
          </cell>
          <cell r="O1011" t="str">
            <v/>
          </cell>
          <cell r="P1011" t="str">
            <v/>
          </cell>
          <cell r="Q1011" t="str">
            <v/>
          </cell>
          <cell r="R1011" t="str">
            <v>Augustin, W</v>
          </cell>
          <cell r="S1011" t="str">
            <v/>
          </cell>
          <cell r="T1011" t="str">
            <v>Franey, Hank</v>
          </cell>
          <cell r="U1011" t="str">
            <v>Schimpff, Stephen</v>
          </cell>
          <cell r="V1011" t="str">
            <v>Ashworth, John</v>
          </cell>
          <cell r="W1011" t="str">
            <v>Inactive</v>
          </cell>
        </row>
        <row r="1012">
          <cell r="A1012" t="str">
            <v>0278322</v>
          </cell>
          <cell r="B1012" t="str">
            <v xml:space="preserve">  Other Patient Care</v>
          </cell>
          <cell r="C1012">
            <v>604</v>
          </cell>
          <cell r="E1012" t="str">
            <v>D</v>
          </cell>
          <cell r="F1012" t="str">
            <v xml:space="preserve"> </v>
          </cell>
          <cell r="G1012" t="str">
            <v xml:space="preserve"> </v>
          </cell>
          <cell r="H1012" t="str">
            <v>9SNF</v>
          </cell>
          <cell r="I1012" t="str">
            <v>Zhang, Lingwei</v>
          </cell>
          <cell r="J1012" t="str">
            <v>Walt Augustin</v>
          </cell>
          <cell r="L1012" t="str">
            <v/>
          </cell>
          <cell r="M1012" t="str">
            <v/>
          </cell>
          <cell r="N1012" t="str">
            <v/>
          </cell>
          <cell r="O1012" t="str">
            <v/>
          </cell>
          <cell r="P1012" t="str">
            <v/>
          </cell>
          <cell r="Q1012" t="str">
            <v/>
          </cell>
          <cell r="R1012" t="str">
            <v>Augustin, W</v>
          </cell>
          <cell r="S1012" t="str">
            <v/>
          </cell>
          <cell r="T1012" t="str">
            <v>Franey, Hank</v>
          </cell>
          <cell r="U1012" t="str">
            <v>Schimpff, Stephen</v>
          </cell>
          <cell r="V1012" t="str">
            <v>Ashworth, John</v>
          </cell>
          <cell r="W1012" t="str">
            <v>Inactive</v>
          </cell>
        </row>
        <row r="1013">
          <cell r="A1013" t="str">
            <v>0278324</v>
          </cell>
          <cell r="B1013" t="str">
            <v xml:space="preserve">  Routine Services</v>
          </cell>
          <cell r="C1013">
            <v>605</v>
          </cell>
          <cell r="E1013" t="str">
            <v>D</v>
          </cell>
          <cell r="F1013" t="str">
            <v xml:space="preserve"> </v>
          </cell>
          <cell r="G1013" t="str">
            <v xml:space="preserve"> </v>
          </cell>
          <cell r="H1013" t="str">
            <v>9SNF</v>
          </cell>
          <cell r="I1013" t="str">
            <v>Zhang, Lingwei</v>
          </cell>
          <cell r="J1013" t="str">
            <v>Walt Augustin</v>
          </cell>
          <cell r="L1013" t="str">
            <v/>
          </cell>
          <cell r="M1013" t="str">
            <v/>
          </cell>
          <cell r="N1013" t="str">
            <v/>
          </cell>
          <cell r="O1013" t="str">
            <v/>
          </cell>
          <cell r="P1013" t="str">
            <v/>
          </cell>
          <cell r="Q1013" t="str">
            <v/>
          </cell>
          <cell r="R1013" t="str">
            <v>Augustin, W</v>
          </cell>
          <cell r="S1013" t="str">
            <v/>
          </cell>
          <cell r="T1013" t="str">
            <v>Franey, Hank</v>
          </cell>
          <cell r="U1013" t="str">
            <v>Schimpff, Stephen</v>
          </cell>
          <cell r="V1013" t="str">
            <v>Ashworth, John</v>
          </cell>
          <cell r="W1013" t="str">
            <v>Inactive</v>
          </cell>
        </row>
        <row r="1014">
          <cell r="A1014" t="str">
            <v>0278330</v>
          </cell>
          <cell r="B1014" t="str">
            <v xml:space="preserve">  Other Ancillary Cost</v>
          </cell>
          <cell r="C1014">
            <v>606</v>
          </cell>
          <cell r="E1014" t="str">
            <v>D</v>
          </cell>
          <cell r="F1014" t="str">
            <v xml:space="preserve"> </v>
          </cell>
          <cell r="G1014" t="str">
            <v xml:space="preserve"> </v>
          </cell>
          <cell r="H1014" t="str">
            <v>9SNF</v>
          </cell>
          <cell r="I1014" t="str">
            <v>Zhang, Lingwei</v>
          </cell>
          <cell r="J1014" t="str">
            <v>Walt Augustin</v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>Augustin, W</v>
          </cell>
          <cell r="S1014" t="str">
            <v/>
          </cell>
          <cell r="T1014" t="str">
            <v>Franey, Hank</v>
          </cell>
          <cell r="U1014" t="str">
            <v>Schimpff, Stephen</v>
          </cell>
          <cell r="V1014" t="str">
            <v>Ashworth, John</v>
          </cell>
          <cell r="W1014" t="str">
            <v>Inactive</v>
          </cell>
        </row>
        <row r="1015">
          <cell r="A1015" t="str">
            <v>0278332</v>
          </cell>
          <cell r="B1015" t="str">
            <v xml:space="preserve">  Medical Supplies &amp; Drugs</v>
          </cell>
          <cell r="C1015">
            <v>607</v>
          </cell>
          <cell r="E1015" t="str">
            <v>D</v>
          </cell>
          <cell r="F1015" t="str">
            <v xml:space="preserve"> </v>
          </cell>
          <cell r="G1015" t="str">
            <v xml:space="preserve"> </v>
          </cell>
          <cell r="H1015" t="str">
            <v>9SNF</v>
          </cell>
          <cell r="I1015" t="str">
            <v>Zhang, Lingwei</v>
          </cell>
          <cell r="J1015" t="str">
            <v>Walt Augustin</v>
          </cell>
          <cell r="L1015" t="str">
            <v/>
          </cell>
          <cell r="M1015" t="str">
            <v/>
          </cell>
          <cell r="N1015" t="str">
            <v/>
          </cell>
          <cell r="O1015" t="str">
            <v/>
          </cell>
          <cell r="P1015" t="str">
            <v/>
          </cell>
          <cell r="Q1015" t="str">
            <v/>
          </cell>
          <cell r="R1015" t="str">
            <v>Augustin, W</v>
          </cell>
          <cell r="S1015" t="str">
            <v/>
          </cell>
          <cell r="T1015" t="str">
            <v>Franey, Hank</v>
          </cell>
          <cell r="U1015" t="str">
            <v>Schimpff, Stephen</v>
          </cell>
          <cell r="V1015" t="str">
            <v>Ashworth, John</v>
          </cell>
          <cell r="W1015" t="str">
            <v>Inactive</v>
          </cell>
        </row>
        <row r="1016">
          <cell r="A1016" t="str">
            <v>0288326</v>
          </cell>
          <cell r="B1016" t="str">
            <v xml:space="preserve">  Administrative Services</v>
          </cell>
          <cell r="C1016">
            <v>608</v>
          </cell>
          <cell r="E1016" t="str">
            <v>D</v>
          </cell>
          <cell r="F1016" t="str">
            <v xml:space="preserve"> </v>
          </cell>
          <cell r="G1016" t="str">
            <v xml:space="preserve"> </v>
          </cell>
          <cell r="H1016" t="str">
            <v>9SNF</v>
          </cell>
          <cell r="I1016" t="str">
            <v>Zhang, Lingwei</v>
          </cell>
          <cell r="J1016" t="str">
            <v>Walt Augustin</v>
          </cell>
          <cell r="L1016" t="str">
            <v/>
          </cell>
          <cell r="M1016" t="str">
            <v/>
          </cell>
          <cell r="N1016" t="str">
            <v/>
          </cell>
          <cell r="O1016" t="str">
            <v/>
          </cell>
          <cell r="P1016" t="str">
            <v/>
          </cell>
          <cell r="Q1016" t="str">
            <v/>
          </cell>
          <cell r="R1016" t="str">
            <v>Augustin, W</v>
          </cell>
          <cell r="S1016" t="str">
            <v/>
          </cell>
          <cell r="T1016" t="str">
            <v>Franey, Hank</v>
          </cell>
          <cell r="U1016" t="str">
            <v>Schimpff, Stephen</v>
          </cell>
          <cell r="V1016" t="str">
            <v>Ashworth, John</v>
          </cell>
          <cell r="W1016" t="str">
            <v>Inactive</v>
          </cell>
        </row>
        <row r="1017">
          <cell r="A1017" t="str">
            <v>0288328</v>
          </cell>
          <cell r="B1017" t="str">
            <v xml:space="preserve">  Admin/Capital Costs</v>
          </cell>
          <cell r="C1017">
            <v>609</v>
          </cell>
          <cell r="E1017" t="str">
            <v>D</v>
          </cell>
          <cell r="F1017" t="str">
            <v xml:space="preserve"> </v>
          </cell>
          <cell r="G1017" t="str">
            <v xml:space="preserve"> </v>
          </cell>
          <cell r="H1017" t="str">
            <v>9SNF</v>
          </cell>
          <cell r="I1017" t="str">
            <v>Zhang, Lingwei</v>
          </cell>
          <cell r="J1017" t="str">
            <v>Walt Augustin</v>
          </cell>
          <cell r="L1017" t="str">
            <v/>
          </cell>
          <cell r="M1017" t="str">
            <v/>
          </cell>
          <cell r="N1017" t="str">
            <v/>
          </cell>
          <cell r="O1017" t="str">
            <v/>
          </cell>
          <cell r="P1017" t="str">
            <v/>
          </cell>
          <cell r="Q1017" t="str">
            <v/>
          </cell>
          <cell r="R1017" t="str">
            <v>Augustin, W</v>
          </cell>
          <cell r="S1017" t="str">
            <v/>
          </cell>
          <cell r="T1017" t="str">
            <v>Franey, Hank</v>
          </cell>
          <cell r="U1017" t="str">
            <v>Schimpff, Stephen</v>
          </cell>
          <cell r="V1017" t="str">
            <v>Ashworth, John</v>
          </cell>
          <cell r="W1017" t="str">
            <v>Inactive</v>
          </cell>
        </row>
        <row r="1018">
          <cell r="A1018" t="str">
            <v>0298308</v>
          </cell>
          <cell r="B1018" t="str">
            <v xml:space="preserve">  Non-Operating Revenue</v>
          </cell>
          <cell r="C1018">
            <v>610</v>
          </cell>
          <cell r="E1018" t="str">
            <v>D</v>
          </cell>
          <cell r="F1018" t="str">
            <v xml:space="preserve"> </v>
          </cell>
          <cell r="G1018" t="str">
            <v xml:space="preserve"> </v>
          </cell>
          <cell r="H1018" t="str">
            <v>9SNF</v>
          </cell>
          <cell r="I1018" t="str">
            <v>Zhang, Lingwei</v>
          </cell>
          <cell r="J1018" t="str">
            <v>Walt Augustin</v>
          </cell>
          <cell r="L1018" t="str">
            <v/>
          </cell>
          <cell r="M1018" t="str">
            <v/>
          </cell>
          <cell r="N1018" t="str">
            <v/>
          </cell>
          <cell r="O1018" t="str">
            <v/>
          </cell>
          <cell r="P1018" t="str">
            <v/>
          </cell>
          <cell r="Q1018" t="str">
            <v/>
          </cell>
          <cell r="R1018" t="str">
            <v>Augustin, W</v>
          </cell>
          <cell r="S1018" t="str">
            <v/>
          </cell>
          <cell r="T1018" t="str">
            <v>Franey, Hank</v>
          </cell>
          <cell r="U1018" t="str">
            <v>Schimpff, Stephen</v>
          </cell>
          <cell r="V1018" t="str">
            <v>Ashworth, John</v>
          </cell>
          <cell r="W1018" t="str">
            <v>Inactive</v>
          </cell>
        </row>
        <row r="1019">
          <cell r="A1019" t="str">
            <v>0298336</v>
          </cell>
          <cell r="B1019" t="str">
            <v xml:space="preserve">  Insurance</v>
          </cell>
          <cell r="C1019">
            <v>611</v>
          </cell>
          <cell r="E1019" t="str">
            <v>D</v>
          </cell>
          <cell r="F1019" t="str">
            <v xml:space="preserve"> </v>
          </cell>
          <cell r="G1019" t="str">
            <v xml:space="preserve"> </v>
          </cell>
          <cell r="H1019" t="str">
            <v>9SNF</v>
          </cell>
          <cell r="I1019" t="str">
            <v>Zhang, Lingwei</v>
          </cell>
          <cell r="J1019" t="str">
            <v>Walt Augustin</v>
          </cell>
          <cell r="L1019" t="str">
            <v/>
          </cell>
          <cell r="M1019" t="str">
            <v/>
          </cell>
          <cell r="N1019" t="str">
            <v/>
          </cell>
          <cell r="O1019" t="str">
            <v/>
          </cell>
          <cell r="P1019" t="str">
            <v/>
          </cell>
          <cell r="Q1019" t="str">
            <v/>
          </cell>
          <cell r="R1019" t="str">
            <v>Augustin, W</v>
          </cell>
          <cell r="S1019" t="str">
            <v/>
          </cell>
          <cell r="T1019" t="str">
            <v>Franey, Hank</v>
          </cell>
          <cell r="U1019" t="str">
            <v>Schimpff, Stephen</v>
          </cell>
          <cell r="V1019" t="str">
            <v>Ashworth, John</v>
          </cell>
          <cell r="W1019" t="str">
            <v>Inactive</v>
          </cell>
        </row>
        <row r="1020">
          <cell r="A1020" t="str">
            <v>0298338</v>
          </cell>
          <cell r="B1020" t="str">
            <v xml:space="preserve">  Depreciation</v>
          </cell>
          <cell r="C1020">
            <v>612</v>
          </cell>
          <cell r="E1020" t="str">
            <v>D</v>
          </cell>
          <cell r="F1020" t="str">
            <v xml:space="preserve"> </v>
          </cell>
          <cell r="G1020" t="str">
            <v xml:space="preserve"> </v>
          </cell>
          <cell r="H1020" t="str">
            <v>9SNF</v>
          </cell>
          <cell r="I1020" t="str">
            <v>Zhang, Lingwei</v>
          </cell>
          <cell r="J1020" t="str">
            <v>Walt Augustin</v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>Augustin, W</v>
          </cell>
          <cell r="S1020" t="str">
            <v/>
          </cell>
          <cell r="T1020" t="str">
            <v>Franey, Hank</v>
          </cell>
          <cell r="U1020" t="str">
            <v>Schimpff, Stephen</v>
          </cell>
          <cell r="V1020" t="str">
            <v>Ashworth, John</v>
          </cell>
          <cell r="W1020" t="str">
            <v>Inactive</v>
          </cell>
        </row>
        <row r="1021">
          <cell r="A1021" t="str">
            <v>0298340</v>
          </cell>
          <cell r="B1021" t="str">
            <v xml:space="preserve">  Interest Expense</v>
          </cell>
          <cell r="C1021">
            <v>613</v>
          </cell>
          <cell r="E1021" t="str">
            <v>D</v>
          </cell>
          <cell r="F1021" t="str">
            <v xml:space="preserve"> </v>
          </cell>
          <cell r="G1021" t="str">
            <v xml:space="preserve"> </v>
          </cell>
          <cell r="H1021" t="str">
            <v>9SNF</v>
          </cell>
          <cell r="I1021" t="str">
            <v>Zhang, Lingwei</v>
          </cell>
          <cell r="J1021" t="str">
            <v>Walt Augustin</v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>Augustin, W</v>
          </cell>
          <cell r="S1021" t="str">
            <v/>
          </cell>
          <cell r="T1021" t="str">
            <v>Franey, Hank</v>
          </cell>
          <cell r="U1021" t="str">
            <v>Schimpff, Stephen</v>
          </cell>
          <cell r="V1021" t="str">
            <v>Ashworth, John</v>
          </cell>
          <cell r="W1021" t="str">
            <v>Inactive</v>
          </cell>
        </row>
        <row r="1022">
          <cell r="A1022" t="str">
            <v>0298342</v>
          </cell>
          <cell r="B1022" t="str">
            <v xml:space="preserve">  Fringe Benefits</v>
          </cell>
          <cell r="C1022">
            <v>614</v>
          </cell>
          <cell r="E1022" t="str">
            <v>D</v>
          </cell>
          <cell r="F1022" t="str">
            <v xml:space="preserve"> </v>
          </cell>
          <cell r="G1022" t="str">
            <v xml:space="preserve"> </v>
          </cell>
          <cell r="H1022" t="str">
            <v>9SNF</v>
          </cell>
          <cell r="I1022" t="str">
            <v>Zhang, Lingwei</v>
          </cell>
          <cell r="J1022" t="str">
            <v>Walt Augustin</v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>Augustin, W</v>
          </cell>
          <cell r="S1022" t="str">
            <v/>
          </cell>
          <cell r="T1022" t="str">
            <v>Franey, Hank</v>
          </cell>
          <cell r="U1022" t="str">
            <v>Schimpff, Stephen</v>
          </cell>
          <cell r="V1022" t="str">
            <v>Ashworth, John</v>
          </cell>
          <cell r="W1022" t="str">
            <v>Inactive</v>
          </cell>
        </row>
      </sheetData>
      <sheetData sheetId="2">
        <row r="136">
          <cell r="A136" t="str">
            <v>0467361</v>
          </cell>
          <cell r="B136" t="str">
            <v xml:space="preserve">  Radiation Oncology</v>
          </cell>
          <cell r="C136">
            <v>630</v>
          </cell>
          <cell r="F136" t="str">
            <v xml:space="preserve"> </v>
          </cell>
          <cell r="G136" t="str">
            <v xml:space="preserve"> </v>
          </cell>
          <cell r="H136" t="str">
            <v>4INAC</v>
          </cell>
          <cell r="I136" t="str">
            <v>Zhang, Lingwei</v>
          </cell>
          <cell r="J136" t="str">
            <v>Walt Augustin</v>
          </cell>
          <cell r="K136" t="str">
            <v>B. Rayme</v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Augustin, W</v>
          </cell>
          <cell r="S136" t="str">
            <v/>
          </cell>
          <cell r="T136" t="str">
            <v>Franey, Hank</v>
          </cell>
          <cell r="U136" t="str">
            <v>Schimpff, Stephen</v>
          </cell>
          <cell r="V136" t="str">
            <v>Ashworth, John</v>
          </cell>
          <cell r="W136" t="str">
            <v>Inactive</v>
          </cell>
        </row>
        <row r="137">
          <cell r="A137" t="str">
            <v>0476457</v>
          </cell>
          <cell r="B137" t="str">
            <v xml:space="preserve">  Patient Care Services</v>
          </cell>
          <cell r="C137">
            <v>641</v>
          </cell>
          <cell r="F137" t="str">
            <v xml:space="preserve"> </v>
          </cell>
          <cell r="G137" t="str">
            <v xml:space="preserve"> </v>
          </cell>
          <cell r="H137" t="str">
            <v>4INAC</v>
          </cell>
          <cell r="I137" t="str">
            <v>Zhang, Lingwei</v>
          </cell>
          <cell r="J137" t="str">
            <v>Walt Augustin</v>
          </cell>
          <cell r="K137" t="str">
            <v>B. Rayme</v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Augustin, W</v>
          </cell>
          <cell r="S137" t="str">
            <v/>
          </cell>
          <cell r="T137" t="str">
            <v>Franey, Hank</v>
          </cell>
          <cell r="U137" t="str">
            <v>Schimpff, Stephen</v>
          </cell>
          <cell r="V137" t="str">
            <v>Ashworth, John</v>
          </cell>
          <cell r="W137" t="str">
            <v>Inactive</v>
          </cell>
        </row>
        <row r="138">
          <cell r="A138" t="str">
            <v>0476440</v>
          </cell>
          <cell r="B138" t="str">
            <v xml:space="preserve">  Outpatient Pharmacy</v>
          </cell>
          <cell r="C138">
            <v>631</v>
          </cell>
          <cell r="E138" t="str">
            <v>R</v>
          </cell>
          <cell r="F138" t="str">
            <v xml:space="preserve"> </v>
          </cell>
          <cell r="G138" t="str">
            <v xml:space="preserve"> </v>
          </cell>
          <cell r="H138" t="str">
            <v>4INAC</v>
          </cell>
          <cell r="I138" t="str">
            <v>Zhang, Lingwei</v>
          </cell>
          <cell r="J138" t="str">
            <v>Walt Augustin</v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>Augustin, W</v>
          </cell>
          <cell r="S138" t="str">
            <v/>
          </cell>
          <cell r="T138" t="str">
            <v>Franey, Hank</v>
          </cell>
          <cell r="U138" t="str">
            <v>Schimpff, Stephen</v>
          </cell>
          <cell r="V138" t="str">
            <v>Ashworth, John</v>
          </cell>
          <cell r="W138" t="str">
            <v>Inactive</v>
          </cell>
        </row>
        <row r="139">
          <cell r="A139" t="str">
            <v>0476480</v>
          </cell>
          <cell r="B139" t="str">
            <v xml:space="preserve">  Mobile Mammography</v>
          </cell>
          <cell r="C139">
            <v>649</v>
          </cell>
          <cell r="E139" t="str">
            <v>C</v>
          </cell>
          <cell r="F139" t="str">
            <v xml:space="preserve"> </v>
          </cell>
          <cell r="G139" t="str">
            <v xml:space="preserve"> </v>
          </cell>
          <cell r="H139" t="str">
            <v>4INAC</v>
          </cell>
          <cell r="I139" t="str">
            <v>Zhang, Lingwei</v>
          </cell>
          <cell r="J139" t="str">
            <v>Walt Augustin</v>
          </cell>
          <cell r="K139" t="str">
            <v>K. Franz</v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Augustin, W</v>
          </cell>
          <cell r="S139" t="str">
            <v/>
          </cell>
          <cell r="T139" t="str">
            <v>Franey, Hank</v>
          </cell>
          <cell r="U139" t="str">
            <v>Schimpff, Stephen</v>
          </cell>
          <cell r="V139" t="str">
            <v>Ashworth, John</v>
          </cell>
          <cell r="W139" t="str">
            <v>Inactive</v>
          </cell>
        </row>
        <row r="140">
          <cell r="A140" t="str">
            <v>0478263</v>
          </cell>
          <cell r="B140" t="str">
            <v xml:space="preserve">  Residents</v>
          </cell>
          <cell r="C140">
            <v>651</v>
          </cell>
          <cell r="F140" t="str">
            <v xml:space="preserve"> </v>
          </cell>
          <cell r="G140" t="str">
            <v xml:space="preserve"> </v>
          </cell>
          <cell r="H140" t="str">
            <v>4INAC</v>
          </cell>
          <cell r="I140" t="str">
            <v>Naqvi, Mariam</v>
          </cell>
          <cell r="J140" t="str">
            <v>Walt Augustin</v>
          </cell>
          <cell r="L140" t="str">
            <v/>
          </cell>
          <cell r="M140" t="str">
            <v>Zanti, Laura</v>
          </cell>
          <cell r="N140" t="str">
            <v>Rorison, David</v>
          </cell>
          <cell r="O140" t="str">
            <v/>
          </cell>
          <cell r="P140" t="str">
            <v/>
          </cell>
          <cell r="Q140" t="str">
            <v/>
          </cell>
          <cell r="R140" t="str">
            <v>Augustin, W</v>
          </cell>
          <cell r="S140" t="str">
            <v/>
          </cell>
          <cell r="T140" t="str">
            <v>Franey, Hank</v>
          </cell>
          <cell r="U140" t="str">
            <v>Schimpff, Stephen</v>
          </cell>
          <cell r="V140" t="str">
            <v>Ashworth, John</v>
          </cell>
          <cell r="W140" t="str">
            <v>Inactive</v>
          </cell>
        </row>
      </sheetData>
      <sheetData sheetId="3">
        <row r="208">
          <cell r="A208" t="str">
            <v>0787838</v>
          </cell>
          <cell r="B208" t="str">
            <v xml:space="preserve">  Biomedia Services</v>
          </cell>
          <cell r="C208">
            <v>762</v>
          </cell>
          <cell r="E208" t="str">
            <v>C</v>
          </cell>
          <cell r="F208" t="str">
            <v xml:space="preserve"> </v>
          </cell>
          <cell r="G208" t="str">
            <v xml:space="preserve"> </v>
          </cell>
          <cell r="H208" t="str">
            <v>7INAC</v>
          </cell>
          <cell r="I208" t="str">
            <v>Zhang, Lingwei</v>
          </cell>
          <cell r="J208" t="str">
            <v>Walt Augustin</v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Augustin, W</v>
          </cell>
          <cell r="S208" t="str">
            <v/>
          </cell>
          <cell r="T208" t="str">
            <v>Franey, Hank</v>
          </cell>
          <cell r="U208" t="str">
            <v>Schimpff, Stephen</v>
          </cell>
          <cell r="V208" t="str">
            <v>Ashworth, John</v>
          </cell>
          <cell r="W208" t="str">
            <v>Inactive</v>
          </cell>
        </row>
        <row r="209">
          <cell r="A209" t="str">
            <v>0787839</v>
          </cell>
          <cell r="B209" t="str">
            <v xml:space="preserve">  Editorial/Publication</v>
          </cell>
          <cell r="C209">
            <v>763</v>
          </cell>
          <cell r="E209" t="str">
            <v>C</v>
          </cell>
          <cell r="F209" t="str">
            <v xml:space="preserve"> </v>
          </cell>
          <cell r="G209" t="str">
            <v xml:space="preserve"> </v>
          </cell>
          <cell r="H209" t="str">
            <v>7INAC</v>
          </cell>
          <cell r="I209" t="str">
            <v>Zhang, Lingwei</v>
          </cell>
          <cell r="J209" t="str">
            <v>Walt Augustin</v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Augustin, W</v>
          </cell>
          <cell r="S209" t="str">
            <v/>
          </cell>
          <cell r="T209" t="str">
            <v>Franey, Hank</v>
          </cell>
          <cell r="U209" t="str">
            <v>Schimpff, Stephen</v>
          </cell>
          <cell r="V209" t="str">
            <v>Ashworth, John</v>
          </cell>
          <cell r="W209" t="str">
            <v>Inactive</v>
          </cell>
        </row>
        <row r="210">
          <cell r="A210" t="str">
            <v>0767983</v>
          </cell>
          <cell r="B210" t="str">
            <v xml:space="preserve">  Operating Room Ancillaries</v>
          </cell>
          <cell r="C210">
            <v>730</v>
          </cell>
          <cell r="H210" t="str">
            <v>7INAC</v>
          </cell>
          <cell r="I210" t="str">
            <v>Zhang, Lingwei</v>
          </cell>
          <cell r="J210" t="str">
            <v>Walt Augustin</v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>Augustin, W</v>
          </cell>
          <cell r="S210" t="str">
            <v/>
          </cell>
          <cell r="T210" t="str">
            <v>Franey, Hank</v>
          </cell>
          <cell r="U210" t="str">
            <v>Schimpff, Stephen</v>
          </cell>
          <cell r="V210" t="str">
            <v>Ashworth, John</v>
          </cell>
          <cell r="W210" t="str">
            <v>Inactive</v>
          </cell>
        </row>
        <row r="211">
          <cell r="A211" t="str">
            <v>0787844</v>
          </cell>
          <cell r="B211" t="str">
            <v xml:space="preserve">  Evaluation</v>
          </cell>
          <cell r="C211">
            <v>765</v>
          </cell>
          <cell r="E211" t="str">
            <v>C</v>
          </cell>
          <cell r="F211" t="str">
            <v xml:space="preserve"> </v>
          </cell>
          <cell r="G211" t="str">
            <v xml:space="preserve"> </v>
          </cell>
          <cell r="H211" t="str">
            <v>7INAC</v>
          </cell>
          <cell r="I211" t="str">
            <v>Zhang, Lingwei</v>
          </cell>
          <cell r="J211" t="str">
            <v>Walt Augustin</v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Augustin, W</v>
          </cell>
          <cell r="S211" t="str">
            <v/>
          </cell>
          <cell r="T211" t="str">
            <v>Franey, Hank</v>
          </cell>
          <cell r="U211" t="str">
            <v>Schimpff, Stephen</v>
          </cell>
          <cell r="V211" t="str">
            <v>Ashworth, John</v>
          </cell>
          <cell r="W211" t="str">
            <v>Inactive</v>
          </cell>
        </row>
        <row r="212">
          <cell r="A212" t="str">
            <v>0787890</v>
          </cell>
          <cell r="B212" t="str">
            <v xml:space="preserve">  Research</v>
          </cell>
          <cell r="C212">
            <v>767</v>
          </cell>
          <cell r="E212" t="str">
            <v>C</v>
          </cell>
          <cell r="F212" t="str">
            <v xml:space="preserve"> </v>
          </cell>
          <cell r="G212" t="str">
            <v xml:space="preserve"> </v>
          </cell>
          <cell r="H212" t="str">
            <v>7INAC</v>
          </cell>
          <cell r="I212" t="str">
            <v>Zhang, Lingwei</v>
          </cell>
          <cell r="J212" t="str">
            <v>Walt Augustin</v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>Augustin, W</v>
          </cell>
          <cell r="S212" t="str">
            <v/>
          </cell>
          <cell r="T212" t="str">
            <v>Franey, Hank</v>
          </cell>
          <cell r="U212" t="str">
            <v>Schimpff, Stephen</v>
          </cell>
          <cell r="V212" t="str">
            <v>Ashworth, John</v>
          </cell>
          <cell r="W212" t="str">
            <v>Inactive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 Info"/>
      <sheetName val="Input TB"/>
      <sheetName val="Master Table"/>
      <sheetName val="E_XI"/>
      <sheetName val="S1"/>
      <sheetName val="RE"/>
      <sheetName val="RER"/>
      <sheetName val="RE Input"/>
      <sheetName val="Expense TB"/>
      <sheetName val="Volume"/>
      <sheetName val="Revenue"/>
      <sheetName val="Statistic (Js) Input"/>
      <sheetName val="P1 Input"/>
      <sheetName val="ACS Input"/>
      <sheetName val="ACS"/>
      <sheetName val="DP1 Input"/>
      <sheetName val="E,F,UR Alloc"/>
      <sheetName val="EC"/>
      <sheetName val="S4"/>
      <sheetName val="E_I"/>
      <sheetName val="PDA"/>
      <sheetName val="PDA Input"/>
      <sheetName val="S3"/>
      <sheetName val="PY RO"/>
      <sheetName val="URS Input"/>
      <sheetName val="H1_H4 Input"/>
      <sheetName val="H2 Input"/>
      <sheetName val="Equip Fac Allow_Hist Lease Pur"/>
      <sheetName val="G_GR Input"/>
      <sheetName val="GR"/>
      <sheetName val="AHA Input"/>
      <sheetName val="TRE Input"/>
      <sheetName val="SB Input"/>
      <sheetName val="RAT Sched"/>
      <sheetName val="AMS Sched"/>
      <sheetName val="Trauma Standby"/>
      <sheetName val="Trauma Dept"/>
      <sheetName val="P3 Input"/>
      <sheetName val="OFC Input"/>
      <sheetName val="P4 Input"/>
      <sheetName val="Don Service Exp"/>
      <sheetName val="P2 Inpu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AHA"/>
      <sheetName val="Js"/>
      <sheetName val="H1"/>
      <sheetName val="H2"/>
      <sheetName val="H3"/>
      <sheetName val="H4"/>
      <sheetName val="UR"/>
      <sheetName val="URS"/>
      <sheetName val="TRE"/>
      <sheetName val="RAT"/>
      <sheetName val="AMS"/>
      <sheetName val="SB"/>
      <sheetName val="SBC"/>
      <sheetName val="MTC"/>
      <sheetName val="S2"/>
      <sheetName val="S8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s"/>
      <sheetName val="PY_M"/>
      <sheetName val="Input M"/>
      <sheetName val="M Comp1"/>
      <sheetName val="M Comp2"/>
      <sheetName val="TB Comp"/>
      <sheetName val="Hospital Phys Cost"/>
      <sheetName val="Med Ed Cost"/>
      <sheetName val="RR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>
        <row r="17">
          <cell r="B1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en Info"/>
      <sheetName val="Input M"/>
      <sheetName val="Input TB"/>
      <sheetName val="Master Table"/>
      <sheetName val="Expense TB"/>
      <sheetName val="Revenue"/>
      <sheetName val="Volume"/>
      <sheetName val="Statistic (Js) Input"/>
      <sheetName val="RE Input"/>
      <sheetName val="P1 Input"/>
      <sheetName val="P3 Input"/>
      <sheetName val="P4 Input"/>
      <sheetName val="Don Service Exp"/>
      <sheetName val="ACS Input"/>
      <sheetName val="DP1 Input"/>
      <sheetName val="P2 Input"/>
      <sheetName val="E,F,UR Alloc"/>
      <sheetName val="PDA Input"/>
      <sheetName val="PY RO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V1"/>
      <sheetName val="V2"/>
      <sheetName val="V3"/>
      <sheetName val="V5"/>
      <sheetName val="DP"/>
      <sheetName val="UA"/>
      <sheetName val="P1"/>
      <sheetName val="P2"/>
      <sheetName val="P3"/>
      <sheetName val="P4"/>
      <sheetName val="P5"/>
      <sheetName val="CDs"/>
      <sheetName val="Es"/>
      <sheetName val="Fs"/>
      <sheetName val="OA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8"/>
      <sheetName val="S5"/>
      <sheetName val="S6"/>
      <sheetName val="E_I"/>
      <sheetName val="E_II"/>
      <sheetName val="E_III"/>
      <sheetName val="E_IV"/>
      <sheetName val="E_V"/>
      <sheetName val="E_VI"/>
      <sheetName val="E_VII"/>
      <sheetName val="E_VIII"/>
      <sheetName val="E_IX"/>
      <sheetName val="E_X"/>
      <sheetName val="M Comp1"/>
      <sheetName val="M Comp2"/>
      <sheetName val="TB Comp"/>
      <sheetName val="RR"/>
      <sheetName val="PY_M"/>
      <sheetName val="EC"/>
      <sheetName val="Instructions"/>
      <sheetName val="Rct"/>
      <sheetName val="Cvr"/>
      <sheetName val="Sig"/>
      <sheetName val="Sch"/>
      <sheetName val="cdefhpv"/>
      <sheetName val="rev5pda"/>
      <sheetName val="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HE CBR Detail 2009"/>
      <sheetName val="Easton"/>
      <sheetName val="DGH CBR Detail 2009"/>
      <sheetName val="Dorchester"/>
    </sheetNames>
    <sheetDataSet>
      <sheetData sheetId="0">
        <row r="40">
          <cell r="G40">
            <v>4775</v>
          </cell>
          <cell r="H40">
            <v>28121</v>
          </cell>
          <cell r="M40">
            <v>15600</v>
          </cell>
          <cell r="P40">
            <v>15239.096308106466</v>
          </cell>
        </row>
        <row r="48">
          <cell r="G48">
            <v>545</v>
          </cell>
          <cell r="H48">
            <v>1939</v>
          </cell>
          <cell r="M48">
            <v>32161</v>
          </cell>
          <cell r="P48">
            <v>94202.208345755978</v>
          </cell>
        </row>
        <row r="56">
          <cell r="G56">
            <v>20738</v>
          </cell>
          <cell r="H56">
            <v>3166</v>
          </cell>
          <cell r="M56">
            <v>1000</v>
          </cell>
          <cell r="P56">
            <v>132135.83904053501</v>
          </cell>
        </row>
        <row r="67">
          <cell r="G67">
            <v>3077</v>
          </cell>
          <cell r="M67">
            <v>0</v>
          </cell>
        </row>
        <row r="69">
          <cell r="G69">
            <v>11</v>
          </cell>
          <cell r="H69">
            <v>336</v>
          </cell>
          <cell r="M69">
            <v>0</v>
          </cell>
          <cell r="P69">
            <v>12300.195676863925</v>
          </cell>
        </row>
        <row r="74">
          <cell r="G74">
            <v>85</v>
          </cell>
          <cell r="H74">
            <v>64</v>
          </cell>
          <cell r="M74">
            <v>0</v>
          </cell>
          <cell r="P74">
            <v>2520.7033657518755</v>
          </cell>
        </row>
        <row r="78">
          <cell r="G78">
            <v>10123</v>
          </cell>
          <cell r="H78">
            <v>12</v>
          </cell>
          <cell r="P78">
            <v>10824.317104313792</v>
          </cell>
        </row>
        <row r="85">
          <cell r="K85">
            <v>-54148.51</v>
          </cell>
        </row>
        <row r="86">
          <cell r="K86">
            <v>901376.2</v>
          </cell>
        </row>
        <row r="87">
          <cell r="O87">
            <v>1638.865818181818</v>
          </cell>
        </row>
        <row r="88">
          <cell r="O88">
            <v>1229.1493636363634</v>
          </cell>
        </row>
        <row r="90">
          <cell r="K90">
            <v>916658.62</v>
          </cell>
        </row>
        <row r="91">
          <cell r="O91">
            <v>38509</v>
          </cell>
        </row>
        <row r="92">
          <cell r="O92">
            <v>18250</v>
          </cell>
        </row>
        <row r="123">
          <cell r="M123">
            <v>2255401.8517906228</v>
          </cell>
          <cell r="O123">
            <v>42428.411284009264</v>
          </cell>
        </row>
        <row r="124">
          <cell r="O124">
            <v>42</v>
          </cell>
        </row>
        <row r="145">
          <cell r="G145">
            <v>7790</v>
          </cell>
          <cell r="H145">
            <v>1315</v>
          </cell>
        </row>
        <row r="153">
          <cell r="G153">
            <v>125530</v>
          </cell>
          <cell r="H153">
            <v>0</v>
          </cell>
        </row>
        <row r="163">
          <cell r="I163">
            <v>8546.91</v>
          </cell>
        </row>
        <row r="170">
          <cell r="G170">
            <v>0.38517162877407868</v>
          </cell>
        </row>
        <row r="186">
          <cell r="E186">
            <v>3109636.0000000005</v>
          </cell>
        </row>
        <row r="224">
          <cell r="E224">
            <v>139245.21784999999</v>
          </cell>
        </row>
        <row r="225">
          <cell r="E225">
            <v>1770.2964199999997</v>
          </cell>
        </row>
        <row r="233">
          <cell r="E233">
            <v>134106.84482514803</v>
          </cell>
        </row>
        <row r="235">
          <cell r="G235">
            <v>-6152.1995000000006</v>
          </cell>
        </row>
        <row r="247">
          <cell r="D247">
            <v>1290</v>
          </cell>
        </row>
      </sheetData>
      <sheetData sheetId="1"/>
      <sheetData sheetId="2">
        <row r="4">
          <cell r="G4">
            <v>28</v>
          </cell>
          <cell r="H4">
            <v>9</v>
          </cell>
          <cell r="M4">
            <v>330</v>
          </cell>
          <cell r="P4">
            <v>400.22388804825647</v>
          </cell>
        </row>
        <row r="5">
          <cell r="G5">
            <v>14</v>
          </cell>
          <cell r="H5">
            <v>2</v>
          </cell>
          <cell r="M5">
            <v>140</v>
          </cell>
          <cell r="P5">
            <v>162.8933967899172</v>
          </cell>
        </row>
        <row r="6">
          <cell r="G6">
            <v>35</v>
          </cell>
          <cell r="H6">
            <v>3</v>
          </cell>
          <cell r="P6">
            <v>138.03383700392274</v>
          </cell>
        </row>
        <row r="7">
          <cell r="G7">
            <v>750</v>
          </cell>
          <cell r="H7">
            <v>6</v>
          </cell>
          <cell r="P7">
            <v>431.35574063725858</v>
          </cell>
        </row>
        <row r="8">
          <cell r="H8">
            <v>100</v>
          </cell>
          <cell r="P8">
            <v>6422.7578822969645</v>
          </cell>
        </row>
        <row r="14">
          <cell r="K14">
            <v>-394762.61</v>
          </cell>
        </row>
        <row r="15">
          <cell r="K15">
            <v>750812.11</v>
          </cell>
        </row>
        <row r="16">
          <cell r="O16">
            <v>1365.1129272727273</v>
          </cell>
        </row>
        <row r="17">
          <cell r="O17">
            <v>1023.8346954545455</v>
          </cell>
        </row>
        <row r="19">
          <cell r="K19">
            <v>452701.12</v>
          </cell>
        </row>
        <row r="20">
          <cell r="O20">
            <v>19594</v>
          </cell>
        </row>
        <row r="21">
          <cell r="O21">
            <v>10950</v>
          </cell>
        </row>
        <row r="51">
          <cell r="P51">
            <v>766030.67612381291</v>
          </cell>
          <cell r="R51">
            <v>20050.28871599074</v>
          </cell>
        </row>
        <row r="52">
          <cell r="R52">
            <v>20</v>
          </cell>
        </row>
        <row r="62">
          <cell r="G62">
            <v>0.50343639227668713</v>
          </cell>
        </row>
        <row r="78">
          <cell r="E78">
            <v>1220210</v>
          </cell>
        </row>
        <row r="116">
          <cell r="E116">
            <v>44424.176369999994</v>
          </cell>
        </row>
        <row r="117">
          <cell r="E117">
            <v>646.14824999999996</v>
          </cell>
        </row>
        <row r="125">
          <cell r="E125">
            <v>43095.615775439423</v>
          </cell>
        </row>
        <row r="127">
          <cell r="G127">
            <v>11.709</v>
          </cell>
        </row>
        <row r="139">
          <cell r="D139">
            <v>617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-1"/>
      <sheetName val="H-2"/>
      <sheetName val="H-3"/>
      <sheetName val="H-4"/>
      <sheetName val="HFMA 15"/>
      <sheetName val="COMPARE"/>
      <sheetName val="SUMMARY"/>
      <sheetName val="HSCRC"/>
      <sheetName val="AHA"/>
      <sheetName val="IRS"/>
      <sheetName val="INDIRECT"/>
      <sheetName val="AHA BAD DEBT"/>
      <sheetName val="AHA UNREIMB MCR"/>
      <sheetName val="AHA CHARITY CARE"/>
      <sheetName val="AHA PCC"/>
      <sheetName val="AHA UNREIMB MA &amp; DC ALLIANCE"/>
      <sheetName val="AHA Health Education"/>
      <sheetName val="AHA SUBSIDIES"/>
      <sheetName val="subsidy detail"/>
      <sheetName val="AHA RESEARCH"/>
      <sheetName val="IRS WORKSHEET A-BAD DEBT"/>
      <sheetName val="IRS WORKSHEET B-MEDICARE"/>
      <sheetName val="IRS WORKSHEET 1-CHARITY CARE"/>
      <sheetName val="IRS WORKSHEET 2-RCC"/>
      <sheetName val="IRSWORKSHEET 3-Unreimburse govt"/>
      <sheetName val="IRS WORKSHEET 4-Comm Ben"/>
      <sheetName val="IRSWORKSHEET 5-Health Education"/>
      <sheetName val="IRS WORKSHEET 6-Subsidized"/>
      <sheetName val="IRS WORKSHEET 7-Research"/>
      <sheetName val="IRS WORKSHEET 8-Dona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9 vs 08 Analysis"/>
      <sheetName val="Summary Com Svc Activities"/>
      <sheetName val="Com Act Detailed Comparison"/>
      <sheetName val="Recon_CommActivities_HSCRCRpt"/>
      <sheetName val="Details"/>
      <sheetName val="Comparison of PY indirects"/>
      <sheetName val="Indirect %"/>
    </sheetNames>
    <sheetDataSet>
      <sheetData sheetId="0"/>
      <sheetData sheetId="1"/>
      <sheetData sheetId="2"/>
      <sheetData sheetId="3"/>
      <sheetData sheetId="4">
        <row r="159">
          <cell r="AI159">
            <v>649046</v>
          </cell>
        </row>
        <row r="160">
          <cell r="AI160">
            <v>1204520</v>
          </cell>
        </row>
        <row r="161">
          <cell r="AI161">
            <v>399149</v>
          </cell>
        </row>
        <row r="162">
          <cell r="AI162">
            <v>32465</v>
          </cell>
        </row>
        <row r="163">
          <cell r="AI163">
            <v>1001093</v>
          </cell>
        </row>
        <row r="165">
          <cell r="AI165">
            <v>705695</v>
          </cell>
        </row>
        <row r="166">
          <cell r="AI166">
            <v>250185.95908</v>
          </cell>
        </row>
        <row r="167">
          <cell r="AI167">
            <v>87000</v>
          </cell>
        </row>
      </sheetData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7">
          <cell r="K117">
            <v>866040.36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MYERS@GBMC.ORG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mcbrik@holycrosshealth.org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glhoward@marylandgeneral.org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view="pageBreakPreview" zoomScaleNormal="80" zoomScaleSheetLayoutView="100" workbookViewId="0">
      <selection activeCell="A3" sqref="A3"/>
    </sheetView>
  </sheetViews>
  <sheetFormatPr defaultColWidth="6.7109375" defaultRowHeight="12.75"/>
  <cols>
    <col min="1" max="1" width="6.7109375" style="2"/>
    <col min="2" max="2" width="49.28515625" style="2" bestFit="1" customWidth="1"/>
    <col min="3" max="3" width="14.85546875" style="2" hidden="1" customWidth="1"/>
    <col min="4" max="4" width="4.28515625" style="2" hidden="1" customWidth="1"/>
    <col min="5" max="5" width="3" style="2" hidden="1" customWidth="1"/>
    <col min="6" max="6" width="16.28515625" style="295" customWidth="1"/>
    <col min="7" max="7" width="13.42578125" style="295" bestFit="1" customWidth="1"/>
    <col min="8" max="9" width="15.42578125" style="296" bestFit="1" customWidth="1"/>
    <col min="10" max="10" width="15.42578125" style="296" hidden="1" customWidth="1"/>
    <col min="11" max="11" width="19.42578125" style="296" bestFit="1" customWidth="1"/>
    <col min="12" max="12" width="15.42578125" style="296" hidden="1" customWidth="1"/>
    <col min="13" max="13" width="19.42578125" style="296" bestFit="1" customWidth="1"/>
    <col min="14" max="16384" width="6.7109375" style="2"/>
  </cols>
  <sheetData>
    <row r="1" spans="1:14">
      <c r="A1" s="345" t="s">
        <v>663</v>
      </c>
      <c r="B1" s="10"/>
    </row>
    <row r="2" spans="1:14" ht="30.95" customHeight="1">
      <c r="A2" s="10"/>
      <c r="B2" s="10"/>
      <c r="F2" s="297" t="s">
        <v>638</v>
      </c>
      <c r="G2" s="297" t="s">
        <v>639</v>
      </c>
      <c r="H2" s="298" t="s">
        <v>640</v>
      </c>
      <c r="I2" s="298" t="s">
        <v>641</v>
      </c>
      <c r="J2" s="298" t="s">
        <v>674</v>
      </c>
      <c r="K2" s="298" t="s">
        <v>642</v>
      </c>
      <c r="L2" s="298" t="s">
        <v>675</v>
      </c>
      <c r="M2" s="298" t="s">
        <v>643</v>
      </c>
    </row>
    <row r="3" spans="1:14">
      <c r="A3" s="346" t="s">
        <v>160</v>
      </c>
      <c r="B3" s="347" t="s">
        <v>161</v>
      </c>
    </row>
    <row r="4" spans="1:14">
      <c r="A4" s="348" t="s">
        <v>21</v>
      </c>
      <c r="B4" s="345" t="s">
        <v>22</v>
      </c>
      <c r="F4" s="299">
        <f>SUM(AnneArundel:WashingtonCounty!F18)</f>
        <v>301685.60694142495</v>
      </c>
      <c r="G4" s="299">
        <f>SUM(AnneArundel:WashingtonCounty!G18)</f>
        <v>9006686.5</v>
      </c>
      <c r="H4" s="300">
        <f>SUM(AnneArundel:WashingtonCounty!H18)</f>
        <v>17237630.676630437</v>
      </c>
      <c r="I4" s="300">
        <f>SUM(AnneArundel:WashingtonCounty!I18)</f>
        <v>9327988.4597179033</v>
      </c>
      <c r="J4" s="300">
        <f>SUM(AnneArundel:WashingtonCounty!J18)</f>
        <v>1891067.8979999998</v>
      </c>
      <c r="K4" s="300">
        <f>H4+I4-J4</f>
        <v>24674551.238348342</v>
      </c>
      <c r="L4" s="300">
        <f>SUM(AnneArundel:WashingtonCounty!K18)</f>
        <v>24674551.238348335</v>
      </c>
      <c r="M4" s="300">
        <f>K4-I4</f>
        <v>15346562.778630439</v>
      </c>
      <c r="N4" s="225"/>
    </row>
    <row r="5" spans="1:14">
      <c r="A5" s="349"/>
      <c r="B5" s="345" t="s">
        <v>23</v>
      </c>
      <c r="F5" s="299">
        <f>SUM(AnneArundel:WashingtonCounty!F19)</f>
        <v>26217.8</v>
      </c>
      <c r="G5" s="299">
        <f>SUM(AnneArundel:WashingtonCounty!G19)</f>
        <v>77221</v>
      </c>
      <c r="H5" s="300">
        <f>SUM(AnneArundel:WashingtonCounty!H19)</f>
        <v>993305.33597670309</v>
      </c>
      <c r="I5" s="300">
        <f>SUM(AnneArundel:WashingtonCounty!I19)</f>
        <v>530747.27091619279</v>
      </c>
      <c r="J5" s="300">
        <f>SUM(AnneArundel:WashingtonCounty!J19)</f>
        <v>8593</v>
      </c>
      <c r="K5" s="300">
        <f t="shared" ref="K5:K13" si="0">H5+I5-J5</f>
        <v>1515459.6068928959</v>
      </c>
      <c r="L5" s="300">
        <f>SUM(AnneArundel:WashingtonCounty!K19)</f>
        <v>1515459.6068928959</v>
      </c>
      <c r="M5" s="300">
        <f t="shared" ref="M5:M13" si="1">K5-I5</f>
        <v>984712.33597670309</v>
      </c>
      <c r="N5" s="225"/>
    </row>
    <row r="6" spans="1:14">
      <c r="A6" s="349"/>
      <c r="B6" s="345" t="s">
        <v>24</v>
      </c>
      <c r="F6" s="299">
        <f>SUM(AnneArundel:WashingtonCounty!F20)</f>
        <v>39518.019999999997</v>
      </c>
      <c r="G6" s="299">
        <f>SUM(AnneArundel:WashingtonCounty!G20)</f>
        <v>192922</v>
      </c>
      <c r="H6" s="300">
        <f>SUM(AnneArundel:WashingtonCounty!H20)</f>
        <v>2033472.2999999998</v>
      </c>
      <c r="I6" s="300">
        <f>SUM(AnneArundel:WashingtonCounty!I20)</f>
        <v>998249.4203661232</v>
      </c>
      <c r="J6" s="300">
        <f>SUM(AnneArundel:WashingtonCounty!J20)</f>
        <v>684508.5</v>
      </c>
      <c r="K6" s="300">
        <f t="shared" si="0"/>
        <v>2347213.2203661231</v>
      </c>
      <c r="L6" s="300">
        <f>SUM(AnneArundel:WashingtonCounty!K20)</f>
        <v>2347213.2203661231</v>
      </c>
      <c r="M6" s="300">
        <f t="shared" si="1"/>
        <v>1348963.7999999998</v>
      </c>
      <c r="N6" s="225"/>
    </row>
    <row r="7" spans="1:14">
      <c r="A7" s="348" t="s">
        <v>25</v>
      </c>
      <c r="B7" s="345" t="s">
        <v>26</v>
      </c>
      <c r="F7" s="299">
        <f>SUM(AnneArundel:WashingtonCounty!F21)</f>
        <v>104586.55466666666</v>
      </c>
      <c r="G7" s="299">
        <f>SUM(AnneArundel:WashingtonCounty!G21)</f>
        <v>148448.89415160002</v>
      </c>
      <c r="H7" s="300">
        <f>SUM(AnneArundel:WashingtonCounty!H21)</f>
        <v>6693322.6778457556</v>
      </c>
      <c r="I7" s="300">
        <f>SUM(AnneArundel:WashingtonCounty!I21)</f>
        <v>3656218.8444646625</v>
      </c>
      <c r="J7" s="300">
        <f>SUM(AnneArundel:WashingtonCounty!J21)</f>
        <v>1360874.3004999999</v>
      </c>
      <c r="K7" s="300">
        <f t="shared" si="0"/>
        <v>8988667.2218104172</v>
      </c>
      <c r="L7" s="300">
        <f>SUM(AnneArundel:WashingtonCounty!K21)</f>
        <v>8988667.2218104191</v>
      </c>
      <c r="M7" s="300">
        <f t="shared" si="1"/>
        <v>5332448.3773457548</v>
      </c>
      <c r="N7" s="225"/>
    </row>
    <row r="8" spans="1:14">
      <c r="A8" s="349"/>
      <c r="B8" s="345" t="s">
        <v>27</v>
      </c>
      <c r="F8" s="299">
        <f>SUM(AnneArundel:WashingtonCounty!F22)</f>
        <v>47050.600000000006</v>
      </c>
      <c r="G8" s="299">
        <f>SUM(AnneArundel:WashingtonCounty!G22)</f>
        <v>116019</v>
      </c>
      <c r="H8" s="300">
        <f>SUM(AnneArundel:WashingtonCounty!H22)</f>
        <v>2004838.5182069198</v>
      </c>
      <c r="I8" s="300">
        <f>SUM(AnneArundel:WashingtonCounty!I22)</f>
        <v>1081116.9596630391</v>
      </c>
      <c r="J8" s="300">
        <f>SUM(AnneArundel:WashingtonCounty!J22)</f>
        <v>134318.42000000001</v>
      </c>
      <c r="K8" s="300">
        <f t="shared" si="0"/>
        <v>2951637.0578699587</v>
      </c>
      <c r="L8" s="300">
        <f>SUM(AnneArundel:WashingtonCounty!K22)</f>
        <v>2951637.0578699587</v>
      </c>
      <c r="M8" s="300">
        <f t="shared" si="1"/>
        <v>1870520.0982069196</v>
      </c>
      <c r="N8" s="225"/>
    </row>
    <row r="9" spans="1:14">
      <c r="A9" s="349"/>
      <c r="B9" s="345" t="s">
        <v>644</v>
      </c>
      <c r="F9" s="299">
        <f>SUM(AnneArundel:WashingtonCounty!F23)</f>
        <v>2124</v>
      </c>
      <c r="G9" s="299">
        <f>SUM(AnneArundel:WashingtonCounty!G23)</f>
        <v>17551</v>
      </c>
      <c r="H9" s="300">
        <f>SUM(AnneArundel:WashingtonCounty!H23)</f>
        <v>305667.05300000001</v>
      </c>
      <c r="I9" s="300">
        <f>SUM(AnneArundel:WashingtonCounty!I23)</f>
        <v>142291.37949214518</v>
      </c>
      <c r="J9" s="300">
        <f>SUM(AnneArundel:WashingtonCounty!J23)</f>
        <v>148678.91999999998</v>
      </c>
      <c r="K9" s="300">
        <f t="shared" si="0"/>
        <v>299279.51249214524</v>
      </c>
      <c r="L9" s="300">
        <f>SUM(AnneArundel:WashingtonCounty!K23)</f>
        <v>299279.51249214518</v>
      </c>
      <c r="M9" s="300">
        <f t="shared" si="1"/>
        <v>156988.13300000006</v>
      </c>
      <c r="N9" s="225"/>
    </row>
    <row r="10" spans="1:14">
      <c r="A10" s="349"/>
      <c r="B10" s="345" t="s">
        <v>29</v>
      </c>
      <c r="F10" s="299">
        <f>SUM(AnneArundel:WashingtonCounty!F24)</f>
        <v>4878.8999999999996</v>
      </c>
      <c r="G10" s="299">
        <f>SUM(AnneArundel:WashingtonCounty!G24)</f>
        <v>7041</v>
      </c>
      <c r="H10" s="300">
        <f>SUM(AnneArundel:WashingtonCounty!H24)</f>
        <v>619353.16999999993</v>
      </c>
      <c r="I10" s="300">
        <f>SUM(AnneArundel:WashingtonCounty!I24)</f>
        <v>366315.18973029213</v>
      </c>
      <c r="J10" s="300">
        <f>SUM(AnneArundel:WashingtonCounty!J24)</f>
        <v>91902.74</v>
      </c>
      <c r="K10" s="300">
        <f t="shared" si="0"/>
        <v>893765.61973029212</v>
      </c>
      <c r="L10" s="300">
        <f>SUM(AnneArundel:WashingtonCounty!K24)</f>
        <v>893765.61973029212</v>
      </c>
      <c r="M10" s="300">
        <f t="shared" si="1"/>
        <v>527450.42999999993</v>
      </c>
      <c r="N10" s="225"/>
    </row>
    <row r="11" spans="1:14">
      <c r="A11" s="349"/>
      <c r="B11" s="345" t="s">
        <v>30</v>
      </c>
      <c r="F11" s="299">
        <f>SUM(AnneArundel:WashingtonCounty!F25)</f>
        <v>21626.81</v>
      </c>
      <c r="G11" s="299">
        <f>SUM(AnneArundel:WashingtonCounty!G25)</f>
        <v>26983</v>
      </c>
      <c r="H11" s="300">
        <f>SUM(AnneArundel:WashingtonCounty!H25)</f>
        <v>815723.40667806927</v>
      </c>
      <c r="I11" s="300">
        <f>SUM(AnneArundel:WashingtonCounty!I25)</f>
        <v>384532.29826697189</v>
      </c>
      <c r="J11" s="300">
        <f>SUM(AnneArundel:WashingtonCounty!J25)</f>
        <v>0</v>
      </c>
      <c r="K11" s="300">
        <f t="shared" si="0"/>
        <v>1200255.7049450411</v>
      </c>
      <c r="L11" s="300">
        <f>SUM(AnneArundel:WashingtonCounty!K25)</f>
        <v>1200255.7049450409</v>
      </c>
      <c r="M11" s="300">
        <f t="shared" si="1"/>
        <v>815723.40667806915</v>
      </c>
      <c r="N11" s="225"/>
    </row>
    <row r="12" spans="1:14">
      <c r="A12" s="348" t="s">
        <v>31</v>
      </c>
      <c r="B12" s="345" t="s">
        <v>32</v>
      </c>
      <c r="F12" s="299">
        <f>SUM(AnneArundel:WashingtonCounty!F26)</f>
        <v>186195.15120844429</v>
      </c>
      <c r="G12" s="299">
        <f>SUM(AnneArundel:WashingtonCounty!G26)</f>
        <v>279994.5588084443</v>
      </c>
      <c r="H12" s="300">
        <f>SUM(AnneArundel:WashingtonCounty!H26)</f>
        <v>14680477.147712542</v>
      </c>
      <c r="I12" s="300">
        <f>SUM(AnneArundel:WashingtonCounty!I26)</f>
        <v>7746317.1398809133</v>
      </c>
      <c r="J12" s="300">
        <f>SUM(AnneArundel:WashingtonCounty!J26)</f>
        <v>1714492.76</v>
      </c>
      <c r="K12" s="300">
        <f t="shared" si="0"/>
        <v>20712301.527593452</v>
      </c>
      <c r="L12" s="300">
        <f>SUM(AnneArundel:WashingtonCounty!K26)</f>
        <v>20712301.527593452</v>
      </c>
      <c r="M12" s="300">
        <f t="shared" si="1"/>
        <v>12965984.387712538</v>
      </c>
      <c r="N12" s="225"/>
    </row>
    <row r="13" spans="1:14">
      <c r="A13" s="348" t="s">
        <v>33</v>
      </c>
      <c r="B13" s="345" t="s">
        <v>645</v>
      </c>
      <c r="F13" s="299">
        <f>SUM(AnneArundel:WashingtonCounty!F28:F32)</f>
        <v>41941.233999999989</v>
      </c>
      <c r="G13" s="299">
        <f>SUM(AnneArundel:WashingtonCounty!G28:G32)</f>
        <v>104404.93765686828</v>
      </c>
      <c r="H13" s="300">
        <f>SUM(AnneArundel:WashingtonCounty!H28:H32)</f>
        <v>2822901.1307175802</v>
      </c>
      <c r="I13" s="300">
        <f>SUM(AnneArundel:WashingtonCounty!I28:I32)</f>
        <v>1307502.0104213303</v>
      </c>
      <c r="J13" s="300">
        <f>SUM(AnneArundel:WashingtonCounty!J28:J32)</f>
        <v>310990.08149999997</v>
      </c>
      <c r="K13" s="300">
        <f t="shared" si="0"/>
        <v>3819413.0596389105</v>
      </c>
      <c r="L13" s="300">
        <f>SUM(AnneArundel:WashingtonCounty!K28:K32)</f>
        <v>3819413.0596389105</v>
      </c>
      <c r="M13" s="300">
        <f t="shared" si="1"/>
        <v>2511911.0492175799</v>
      </c>
      <c r="N13" s="225"/>
    </row>
    <row r="14" spans="1:14">
      <c r="A14" s="349"/>
      <c r="B14" s="349"/>
      <c r="E14" s="63"/>
      <c r="N14" s="226"/>
    </row>
    <row r="15" spans="1:14">
      <c r="A15" s="349"/>
      <c r="B15" s="345" t="s">
        <v>646</v>
      </c>
      <c r="E15" s="63"/>
      <c r="F15" s="301">
        <f t="shared" ref="F15:M15" si="2">SUM(F4:F13)</f>
        <v>775824.67681653588</v>
      </c>
      <c r="G15" s="301">
        <f t="shared" si="2"/>
        <v>9977271.8906169124</v>
      </c>
      <c r="H15" s="302">
        <f t="shared" si="2"/>
        <v>48206691.416768014</v>
      </c>
      <c r="I15" s="302">
        <f t="shared" si="2"/>
        <v>25541278.972919576</v>
      </c>
      <c r="J15" s="302">
        <f t="shared" si="2"/>
        <v>6345426.6200000001</v>
      </c>
      <c r="K15" s="302">
        <f t="shared" si="2"/>
        <v>67402543.769687578</v>
      </c>
      <c r="L15" s="302">
        <f t="shared" si="2"/>
        <v>67402543.769687578</v>
      </c>
      <c r="M15" s="302">
        <f t="shared" si="2"/>
        <v>41861264.79676801</v>
      </c>
      <c r="N15" s="225"/>
    </row>
    <row r="16" spans="1:14">
      <c r="A16" s="349"/>
      <c r="B16" s="349"/>
    </row>
    <row r="17" spans="1:14" ht="22.5">
      <c r="A17" s="346" t="s">
        <v>162</v>
      </c>
      <c r="B17" s="347" t="s">
        <v>163</v>
      </c>
      <c r="F17" s="297" t="s">
        <v>638</v>
      </c>
      <c r="G17" s="297" t="s">
        <v>639</v>
      </c>
      <c r="H17" s="298" t="s">
        <v>640</v>
      </c>
      <c r="I17" s="298" t="s">
        <v>641</v>
      </c>
      <c r="J17" s="298" t="s">
        <v>676</v>
      </c>
      <c r="K17" s="298" t="s">
        <v>642</v>
      </c>
      <c r="L17" s="298"/>
      <c r="M17" s="298" t="s">
        <v>643</v>
      </c>
    </row>
    <row r="18" spans="1:14">
      <c r="A18" s="348" t="s">
        <v>44</v>
      </c>
      <c r="B18" s="345" t="s">
        <v>45</v>
      </c>
      <c r="F18" s="299">
        <f>SUM(AnneArundel:WashingtonCounty!F38)</f>
        <v>4702916.1618971406</v>
      </c>
      <c r="G18" s="299">
        <f>SUM(AnneArundel:WashingtonCounty!G38)</f>
        <v>147547.3296</v>
      </c>
      <c r="H18" s="300">
        <f>SUM(AnneArundel:WashingtonCounty!H38)</f>
        <v>218953311.66796452</v>
      </c>
      <c r="I18" s="300">
        <f>SUM(AnneArundel:WashingtonCounty!I38)</f>
        <v>60189155.694393419</v>
      </c>
      <c r="J18" s="300">
        <f>SUM(AnneArundel:WashingtonCounty!J38)</f>
        <v>1378149</v>
      </c>
      <c r="K18" s="300">
        <f>H18+I18-J18</f>
        <v>277764318.36235791</v>
      </c>
      <c r="L18" s="300">
        <f>SUM(AnneArundel:WashingtonCounty!K38)</f>
        <v>277764318.36235791</v>
      </c>
      <c r="M18" s="300">
        <f t="shared" ref="M18:M23" si="3">K18-I18</f>
        <v>217575162.66796449</v>
      </c>
      <c r="N18" s="225"/>
    </row>
    <row r="19" spans="1:14">
      <c r="A19" s="348" t="s">
        <v>46</v>
      </c>
      <c r="B19" s="345" t="s">
        <v>47</v>
      </c>
      <c r="F19" s="299">
        <f>SUM(AnneArundel:WashingtonCounty!F39)</f>
        <v>12988.08</v>
      </c>
      <c r="G19" s="299">
        <f>SUM(AnneArundel:WashingtonCounty!G39)</f>
        <v>1911</v>
      </c>
      <c r="H19" s="300">
        <f>SUM(AnneArundel:WashingtonCounty!H39)</f>
        <v>2533412.6278646002</v>
      </c>
      <c r="I19" s="300">
        <f>SUM(AnneArundel:WashingtonCounty!I39)</f>
        <v>40463.099241147007</v>
      </c>
      <c r="J19" s="300">
        <f>SUM(AnneArundel:WashingtonCounty!J39)</f>
        <v>0</v>
      </c>
      <c r="K19" s="300">
        <f>H19+I19-J19</f>
        <v>2573875.727105747</v>
      </c>
      <c r="L19" s="300">
        <f>SUM(AnneArundel:WashingtonCounty!K39)</f>
        <v>2573875.727105747</v>
      </c>
      <c r="M19" s="300">
        <f t="shared" si="3"/>
        <v>2533412.6278646002</v>
      </c>
      <c r="N19" s="225"/>
    </row>
    <row r="20" spans="1:14">
      <c r="A20" s="348" t="s">
        <v>48</v>
      </c>
      <c r="B20" s="345" t="s">
        <v>49</v>
      </c>
      <c r="F20" s="299">
        <f>SUM(AnneArundel:WashingtonCounty!F40)</f>
        <v>301650.76</v>
      </c>
      <c r="G20" s="299">
        <f>SUM(AnneArundel:WashingtonCounty!G40)</f>
        <v>71535</v>
      </c>
      <c r="H20" s="300">
        <f>SUM(AnneArundel:WashingtonCounty!H40)</f>
        <v>11848109.530656725</v>
      </c>
      <c r="I20" s="300">
        <f>SUM(AnneArundel:WashingtonCounty!I40)</f>
        <v>3901925.0819649133</v>
      </c>
      <c r="J20" s="300">
        <f>SUM(AnneArundel:WashingtonCounty!J40)</f>
        <v>12813</v>
      </c>
      <c r="K20" s="300">
        <f>H20+I20-J20</f>
        <v>15737221.612621639</v>
      </c>
      <c r="L20" s="300">
        <f>SUM(AnneArundel:WashingtonCounty!K40)</f>
        <v>15737221.612621641</v>
      </c>
      <c r="M20" s="300">
        <f t="shared" si="3"/>
        <v>11835296.530656725</v>
      </c>
      <c r="N20" s="225"/>
    </row>
    <row r="21" spans="1:14">
      <c r="A21" s="348" t="s">
        <v>50</v>
      </c>
      <c r="B21" s="345" t="s">
        <v>51</v>
      </c>
      <c r="F21" s="299">
        <f>SUM(AnneArundel:WashingtonCounty!F41)</f>
        <v>59001.957142982399</v>
      </c>
      <c r="G21" s="299">
        <f>SUM(AnneArundel:WashingtonCounty!G41)</f>
        <v>35870.980959972323</v>
      </c>
      <c r="H21" s="300">
        <f>SUM(AnneArundel:WashingtonCounty!H41)</f>
        <v>2112654.7648823671</v>
      </c>
      <c r="I21" s="300">
        <f>SUM(AnneArundel:WashingtonCounty!I41)</f>
        <v>474710.28462178347</v>
      </c>
      <c r="J21" s="300">
        <f>SUM(AnneArundel:WashingtonCounty!J41)</f>
        <v>184638.74</v>
      </c>
      <c r="K21" s="300">
        <f>H21+I21-J21</f>
        <v>2402726.3095041504</v>
      </c>
      <c r="L21" s="300">
        <f>SUM(AnneArundel:WashingtonCounty!K41)</f>
        <v>2402726.3095041504</v>
      </c>
      <c r="M21" s="300">
        <f t="shared" si="3"/>
        <v>1928016.0248823669</v>
      </c>
      <c r="N21" s="225"/>
    </row>
    <row r="22" spans="1:14">
      <c r="A22" s="348" t="s">
        <v>52</v>
      </c>
      <c r="B22" s="345" t="s">
        <v>53</v>
      </c>
      <c r="F22" s="299">
        <f>SUM(AnneArundel:WashingtonCounty!F42)</f>
        <v>152651.50357098397</v>
      </c>
      <c r="G22" s="299">
        <f>SUM(AnneArundel:WashingtonCounty!G42)</f>
        <v>93410.375</v>
      </c>
      <c r="H22" s="300">
        <f>SUM(AnneArundel:WashingtonCounty!H42)</f>
        <v>6008726.0712377643</v>
      </c>
      <c r="I22" s="300">
        <f>SUM(AnneArundel:WashingtonCounty!I42)</f>
        <v>1216859.7615460437</v>
      </c>
      <c r="J22" s="300">
        <f>SUM(AnneArundel:WashingtonCounty!J42)</f>
        <v>51876</v>
      </c>
      <c r="K22" s="300">
        <f>H22+I22-J22</f>
        <v>7173709.832783808</v>
      </c>
      <c r="L22" s="300">
        <f>SUM(AnneArundel:WashingtonCounty!K42)</f>
        <v>7173709.832783808</v>
      </c>
      <c r="M22" s="300">
        <f t="shared" si="3"/>
        <v>5956850.0712377643</v>
      </c>
      <c r="N22" s="225"/>
    </row>
    <row r="23" spans="1:14">
      <c r="A23" s="348" t="s">
        <v>54</v>
      </c>
      <c r="B23" s="345" t="s">
        <v>647</v>
      </c>
      <c r="F23" s="299">
        <f>SUM(AnneArundel:WashingtonCounty!F44:F46)</f>
        <v>25427</v>
      </c>
      <c r="G23" s="299">
        <f>SUM(AnneArundel:WashingtonCounty!G44:G46)</f>
        <v>5125</v>
      </c>
      <c r="H23" s="300">
        <f>SUM(AnneArundel:WashingtonCounty!H44:H46)</f>
        <v>570855.40399999998</v>
      </c>
      <c r="I23" s="300">
        <f>SUM(AnneArundel:WashingtonCounty!I44:I46)</f>
        <v>236810.72246907267</v>
      </c>
      <c r="J23" s="300">
        <f>SUM(AnneArundel:WashingtonCounty!J44:J46)</f>
        <v>3340</v>
      </c>
      <c r="K23" s="300">
        <f>SUM(AnneArundel:WashingtonCounty!K44:K46)</f>
        <v>804326.12646907265</v>
      </c>
      <c r="L23" s="300">
        <f>SUM(AnneArundel:WashingtonCounty!K44:K46)</f>
        <v>804326.12646907265</v>
      </c>
      <c r="M23" s="300">
        <f t="shared" si="3"/>
        <v>567515.40399999998</v>
      </c>
      <c r="N23" s="225"/>
    </row>
    <row r="24" spans="1:14">
      <c r="A24" s="348"/>
      <c r="B24" s="349"/>
      <c r="E24" s="63"/>
      <c r="N24" s="225"/>
    </row>
    <row r="25" spans="1:14">
      <c r="A25" s="348"/>
      <c r="B25" s="345" t="s">
        <v>648</v>
      </c>
      <c r="E25" s="63"/>
      <c r="F25" s="301">
        <f t="shared" ref="F25:L25" si="4">SUM(F18:F23)</f>
        <v>5254635.4626111072</v>
      </c>
      <c r="G25" s="301">
        <f t="shared" si="4"/>
        <v>355399.68555997231</v>
      </c>
      <c r="H25" s="302">
        <f t="shared" si="4"/>
        <v>242027070.06660599</v>
      </c>
      <c r="I25" s="302">
        <f t="shared" si="4"/>
        <v>66059924.644236371</v>
      </c>
      <c r="J25" s="302">
        <f t="shared" si="4"/>
        <v>1630816.74</v>
      </c>
      <c r="K25" s="302">
        <f t="shared" si="4"/>
        <v>306456177.97084236</v>
      </c>
      <c r="L25" s="302">
        <f t="shared" si="4"/>
        <v>306456177.97084236</v>
      </c>
      <c r="M25" s="302">
        <f>K25-I25</f>
        <v>240396253.32660598</v>
      </c>
      <c r="N25" s="225"/>
    </row>
    <row r="26" spans="1:14">
      <c r="A26" s="348"/>
      <c r="B26" s="349"/>
      <c r="F26" s="303"/>
    </row>
    <row r="27" spans="1:14" ht="22.5">
      <c r="A27" s="346" t="s">
        <v>164</v>
      </c>
      <c r="B27" s="347" t="s">
        <v>649</v>
      </c>
      <c r="F27" s="297" t="s">
        <v>638</v>
      </c>
      <c r="G27" s="297" t="s">
        <v>639</v>
      </c>
      <c r="H27" s="298" t="s">
        <v>640</v>
      </c>
      <c r="I27" s="298" t="s">
        <v>641</v>
      </c>
      <c r="J27" s="298" t="s">
        <v>676</v>
      </c>
      <c r="K27" s="298" t="s">
        <v>642</v>
      </c>
      <c r="L27" s="298"/>
      <c r="M27" s="298" t="s">
        <v>643</v>
      </c>
    </row>
    <row r="28" spans="1:14">
      <c r="A28" s="349"/>
      <c r="B28" s="349"/>
      <c r="F28" s="301">
        <f>SUM(AnneArundel:WashingtonCounty!F63)</f>
        <v>1591721.3210118911</v>
      </c>
      <c r="G28" s="301">
        <f>SUM(AnneArundel:WashingtonCounty!G63)</f>
        <v>1110645.8820211303</v>
      </c>
      <c r="H28" s="302">
        <f>SUM(AnneArundel:WashingtonCounty!H63)</f>
        <v>258322755.38092858</v>
      </c>
      <c r="I28" s="302">
        <f>SUM(AnneArundel:WashingtonCounty!I63)</f>
        <v>55780522.16744709</v>
      </c>
      <c r="J28" s="302">
        <f>SUM(AnneArundel:WashingtonCounty!J63)</f>
        <v>104117757.54140998</v>
      </c>
      <c r="K28" s="302">
        <f>SUM(AnneArundel:WashingtonCounty!K63)</f>
        <v>209985520.00696576</v>
      </c>
      <c r="L28" s="302">
        <f>H28+I28-J28</f>
        <v>209985520.0069657</v>
      </c>
      <c r="M28" s="302">
        <f>K28-I28</f>
        <v>154204997.83951867</v>
      </c>
      <c r="N28" s="225"/>
    </row>
    <row r="29" spans="1:14">
      <c r="A29" s="349"/>
      <c r="B29" s="349"/>
    </row>
    <row r="30" spans="1:14" ht="22.5">
      <c r="A30" s="346" t="s">
        <v>166</v>
      </c>
      <c r="B30" s="347" t="s">
        <v>167</v>
      </c>
      <c r="F30" s="297" t="s">
        <v>638</v>
      </c>
      <c r="G30" s="297" t="s">
        <v>639</v>
      </c>
      <c r="H30" s="298" t="s">
        <v>640</v>
      </c>
      <c r="I30" s="298" t="s">
        <v>641</v>
      </c>
      <c r="J30" s="298" t="s">
        <v>676</v>
      </c>
      <c r="K30" s="298" t="s">
        <v>642</v>
      </c>
      <c r="L30" s="298"/>
      <c r="M30" s="298" t="s">
        <v>643</v>
      </c>
    </row>
    <row r="31" spans="1:14">
      <c r="A31" s="348" t="s">
        <v>80</v>
      </c>
      <c r="B31" s="345" t="s">
        <v>650</v>
      </c>
      <c r="F31" s="299">
        <f>SUM(AnneArundel:WashingtonCounty!F67)</f>
        <v>46633.871427976002</v>
      </c>
      <c r="G31" s="299">
        <f>SUM(AnneArundel:WashingtonCounty!G67)</f>
        <v>19311.189999788799</v>
      </c>
      <c r="H31" s="300">
        <f>SUM(AnneArundel:WashingtonCounty!H67)</f>
        <v>3414008.156</v>
      </c>
      <c r="I31" s="300">
        <f>SUM(AnneArundel:WashingtonCounty!I67)</f>
        <v>1542510.9265680076</v>
      </c>
      <c r="J31" s="300">
        <f>SUM(AnneArundel:WashingtonCounty!J67)</f>
        <v>1745347.05</v>
      </c>
      <c r="K31" s="300">
        <f>H31+I31-J31</f>
        <v>3211172.0325680077</v>
      </c>
      <c r="L31" s="300">
        <f>SUM(AnneArundel:WashingtonCounty!K67)</f>
        <v>3211172.0325680077</v>
      </c>
      <c r="M31" s="300">
        <f>K31-I31</f>
        <v>1668661.1060000001</v>
      </c>
      <c r="N31" s="225"/>
    </row>
    <row r="32" spans="1:14">
      <c r="A32" s="348" t="s">
        <v>82</v>
      </c>
      <c r="B32" s="345" t="s">
        <v>83</v>
      </c>
      <c r="F32" s="299">
        <f>SUM(AnneArundel:WashingtonCounty!F68)</f>
        <v>124</v>
      </c>
      <c r="G32" s="299">
        <f>SUM(AnneArundel:WashingtonCounty!G68)</f>
        <v>46</v>
      </c>
      <c r="H32" s="300">
        <f>SUM(AnneArundel:WashingtonCounty!H68)</f>
        <v>77032.34</v>
      </c>
      <c r="I32" s="300">
        <f>SUM(AnneArundel:WashingtonCounty!I68)</f>
        <v>0</v>
      </c>
      <c r="J32" s="300">
        <f>SUM(AnneArundel:WashingtonCounty!J68)</f>
        <v>0</v>
      </c>
      <c r="K32" s="300">
        <f>H32+I32-J32</f>
        <v>77032.34</v>
      </c>
      <c r="L32" s="300">
        <f>SUM(AnneArundel:WashingtonCounty!K68)</f>
        <v>77032.34</v>
      </c>
      <c r="M32" s="300">
        <f>K32-I32</f>
        <v>77032.34</v>
      </c>
      <c r="N32" s="225"/>
    </row>
    <row r="33" spans="1:14">
      <c r="A33" s="348" t="s">
        <v>84</v>
      </c>
      <c r="B33" s="345" t="s">
        <v>645</v>
      </c>
      <c r="F33" s="299">
        <f>SUM(AnneArundel:WashingtonCounty!F70:F72)</f>
        <v>6240</v>
      </c>
      <c r="G33" s="299">
        <f>SUM(AnneArundel:WashingtonCounty!G70:G72)</f>
        <v>0</v>
      </c>
      <c r="H33" s="300">
        <f>SUM(AnneArundel:WashingtonCounty!H70:H72)</f>
        <v>305364</v>
      </c>
      <c r="I33" s="300">
        <f>SUM(AnneArundel:WashingtonCounty!I70:I72)</f>
        <v>0</v>
      </c>
      <c r="J33" s="300">
        <f>SUM(AnneArundel:WashingtonCounty!J70:J72)</f>
        <v>0</v>
      </c>
      <c r="K33" s="300">
        <f>H33+I33-J33</f>
        <v>305364</v>
      </c>
      <c r="L33" s="300">
        <f>SUM(AnneArundel:WashingtonCounty!K70:K72)</f>
        <v>305364</v>
      </c>
      <c r="M33" s="300">
        <f>K33-I33</f>
        <v>305364</v>
      </c>
      <c r="N33" s="225"/>
    </row>
    <row r="34" spans="1:14">
      <c r="A34" s="349"/>
      <c r="B34" s="349"/>
      <c r="E34" s="63"/>
      <c r="N34" s="225"/>
    </row>
    <row r="35" spans="1:14">
      <c r="A35" s="349"/>
      <c r="B35" s="345" t="s">
        <v>648</v>
      </c>
      <c r="E35" s="63"/>
      <c r="F35" s="301">
        <f t="shared" ref="F35:M35" si="5">SUM(F31:F33)</f>
        <v>52997.871427976002</v>
      </c>
      <c r="G35" s="301">
        <f t="shared" si="5"/>
        <v>19357.189999788799</v>
      </c>
      <c r="H35" s="302">
        <f t="shared" si="5"/>
        <v>3796404.4959999998</v>
      </c>
      <c r="I35" s="302">
        <f t="shared" si="5"/>
        <v>1542510.9265680076</v>
      </c>
      <c r="J35" s="302">
        <f t="shared" si="5"/>
        <v>1745347.05</v>
      </c>
      <c r="K35" s="302">
        <f t="shared" si="5"/>
        <v>3593568.3725680076</v>
      </c>
      <c r="L35" s="302">
        <f t="shared" si="5"/>
        <v>3593568.3725680076</v>
      </c>
      <c r="M35" s="302">
        <f t="shared" si="5"/>
        <v>2051057.4460000002</v>
      </c>
      <c r="N35" s="225"/>
    </row>
    <row r="36" spans="1:14">
      <c r="A36" s="349"/>
      <c r="B36" s="349"/>
    </row>
    <row r="37" spans="1:14" ht="22.5">
      <c r="A37" s="346" t="s">
        <v>168</v>
      </c>
      <c r="B37" s="347" t="s">
        <v>169</v>
      </c>
      <c r="F37" s="297" t="s">
        <v>638</v>
      </c>
      <c r="G37" s="297" t="s">
        <v>639</v>
      </c>
      <c r="H37" s="298" t="s">
        <v>640</v>
      </c>
      <c r="I37" s="298" t="s">
        <v>641</v>
      </c>
      <c r="J37" s="298" t="s">
        <v>676</v>
      </c>
      <c r="K37" s="298" t="s">
        <v>642</v>
      </c>
      <c r="L37" s="298"/>
      <c r="M37" s="298" t="s">
        <v>643</v>
      </c>
    </row>
    <row r="38" spans="1:14">
      <c r="A38" s="348" t="s">
        <v>91</v>
      </c>
      <c r="B38" s="345" t="s">
        <v>92</v>
      </c>
      <c r="F38" s="299">
        <f>SUM(AnneArundel:WashingtonCounty!F77)</f>
        <v>1694.8497786185164</v>
      </c>
      <c r="G38" s="299">
        <f>SUM(AnneArundel:WashingtonCounty!G77)</f>
        <v>2558</v>
      </c>
      <c r="H38" s="300">
        <f>SUM(AnneArundel:WashingtonCounty!H77)</f>
        <v>7234963.0256050006</v>
      </c>
      <c r="I38" s="300">
        <f>SUM(AnneArundel:WashingtonCounty!I77)</f>
        <v>1054645.1695612471</v>
      </c>
      <c r="J38" s="300">
        <f>SUM(AnneArundel:WashingtonCounty!J77)</f>
        <v>219875</v>
      </c>
      <c r="K38" s="300">
        <f>H38+I38-J38</f>
        <v>8069733.1951662479</v>
      </c>
      <c r="L38" s="300">
        <f>SUM(AnneArundel:WashingtonCounty!K77)</f>
        <v>8069733.195166247</v>
      </c>
      <c r="M38" s="300">
        <f>K38-I38</f>
        <v>7015088.0256050006</v>
      </c>
      <c r="N38" s="225"/>
    </row>
    <row r="39" spans="1:14">
      <c r="A39" s="348" t="s">
        <v>93</v>
      </c>
      <c r="B39" s="345" t="s">
        <v>94</v>
      </c>
      <c r="F39" s="299">
        <f>SUM(AnneArundel:WashingtonCounty!F78)</f>
        <v>9</v>
      </c>
      <c r="G39" s="299">
        <f>SUM(AnneArundel:WashingtonCounty!G78)</f>
        <v>125</v>
      </c>
      <c r="H39" s="300">
        <f>SUM(AnneArundel:WashingtonCounty!H78)</f>
        <v>966026</v>
      </c>
      <c r="I39" s="300">
        <f>SUM(AnneArundel:WashingtonCounty!I78)</f>
        <v>8794.9571698703021</v>
      </c>
      <c r="J39" s="300">
        <f>SUM(AnneArundel:WashingtonCounty!J78)</f>
        <v>296845</v>
      </c>
      <c r="K39" s="300">
        <f>H39+I39-J39</f>
        <v>677975.95716987026</v>
      </c>
      <c r="L39" s="300">
        <f>SUM(AnneArundel:WashingtonCounty!K78)</f>
        <v>677975.95716987026</v>
      </c>
      <c r="M39" s="300">
        <f>K39-I39</f>
        <v>669181</v>
      </c>
      <c r="N39" s="225"/>
    </row>
    <row r="40" spans="1:14">
      <c r="A40" s="348" t="s">
        <v>95</v>
      </c>
      <c r="B40" s="345" t="s">
        <v>96</v>
      </c>
      <c r="F40" s="299">
        <f>SUM(AnneArundel:WashingtonCounty!F79)</f>
        <v>31497.899999999998</v>
      </c>
      <c r="G40" s="299">
        <f>SUM(AnneArundel:WashingtonCounty!G79)</f>
        <v>161310</v>
      </c>
      <c r="H40" s="300">
        <f>SUM(AnneArundel:WashingtonCounty!H79)</f>
        <v>3162732.8379556374</v>
      </c>
      <c r="I40" s="300">
        <f>SUM(AnneArundel:WashingtonCounty!I79)</f>
        <v>246282.0616859798</v>
      </c>
      <c r="J40" s="300">
        <f>SUM(AnneArundel:WashingtonCounty!J79)</f>
        <v>81987</v>
      </c>
      <c r="K40" s="300">
        <f>H40+I40-J40</f>
        <v>3327027.8996416172</v>
      </c>
      <c r="L40" s="300">
        <f>SUM(AnneArundel:WashingtonCounty!K79)</f>
        <v>3327027.8996416172</v>
      </c>
      <c r="M40" s="300">
        <f>K40-I40</f>
        <v>3080745.8379556374</v>
      </c>
      <c r="N40" s="225"/>
    </row>
    <row r="41" spans="1:14">
      <c r="A41" s="348" t="s">
        <v>360</v>
      </c>
      <c r="B41" s="345" t="s">
        <v>97</v>
      </c>
      <c r="F41" s="299">
        <f>SUM(AnneArundel:WashingtonCounty!F80)</f>
        <v>2799.5</v>
      </c>
      <c r="G41" s="299">
        <f>SUM(AnneArundel:WashingtonCounty!G80)</f>
        <v>3358</v>
      </c>
      <c r="H41" s="300">
        <f>SUM(AnneArundel:WashingtonCounty!H80)</f>
        <v>573409.571</v>
      </c>
      <c r="I41" s="300">
        <f>SUM(AnneArundel:WashingtonCounty!I80)</f>
        <v>92882.813407580368</v>
      </c>
      <c r="J41" s="300">
        <f>SUM(AnneArundel:WashingtonCounty!J80)</f>
        <v>0</v>
      </c>
      <c r="K41" s="300">
        <f>H41+I41-J41</f>
        <v>666292.38440758036</v>
      </c>
      <c r="L41" s="300">
        <f>SUM(AnneArundel:WashingtonCounty!K80)</f>
        <v>666292.38440758036</v>
      </c>
      <c r="M41" s="300">
        <f>K41-I41</f>
        <v>573409.571</v>
      </c>
      <c r="N41" s="225"/>
    </row>
    <row r="42" spans="1:14">
      <c r="A42" s="348" t="s">
        <v>651</v>
      </c>
      <c r="B42" s="345" t="s">
        <v>652</v>
      </c>
      <c r="F42" s="299">
        <f>SUM(AnneArundel:WashingtonCounty!F81)</f>
        <v>0</v>
      </c>
      <c r="G42" s="299">
        <f>SUM(AnneArundel:WashingtonCounty!G81)</f>
        <v>0</v>
      </c>
      <c r="H42" s="300">
        <f>SUM(AnneArundel:WashingtonCounty!H81)</f>
        <v>4720482.93</v>
      </c>
      <c r="I42" s="300">
        <f>SUM(AnneArundel:WashingtonCounty!I81)</f>
        <v>0</v>
      </c>
      <c r="J42" s="300">
        <f>SUM(AnneArundel:WashingtonCounty!J81)</f>
        <v>0</v>
      </c>
      <c r="K42" s="300">
        <f>H42+I42-J42</f>
        <v>4720482.93</v>
      </c>
      <c r="L42" s="300">
        <f>SUM(AnneArundel:WashingtonCounty!K81)</f>
        <v>4720482.93</v>
      </c>
      <c r="M42" s="300">
        <f>K42-I42</f>
        <v>4720482.93</v>
      </c>
      <c r="N42" s="225"/>
    </row>
    <row r="43" spans="1:14">
      <c r="A43" s="348"/>
      <c r="B43" s="345"/>
      <c r="E43" s="63"/>
      <c r="N43" s="225"/>
    </row>
    <row r="44" spans="1:14">
      <c r="A44" s="349"/>
      <c r="B44" s="345" t="s">
        <v>648</v>
      </c>
      <c r="E44" s="63"/>
      <c r="F44" s="301">
        <f t="shared" ref="F44:L44" si="6">SUM(F38:F42)</f>
        <v>36001.249778618512</v>
      </c>
      <c r="G44" s="301">
        <f t="shared" si="6"/>
        <v>167351</v>
      </c>
      <c r="H44" s="302">
        <f t="shared" si="6"/>
        <v>16657614.364560638</v>
      </c>
      <c r="I44" s="302">
        <f t="shared" si="6"/>
        <v>1402605.0018246777</v>
      </c>
      <c r="J44" s="302">
        <f t="shared" si="6"/>
        <v>598707</v>
      </c>
      <c r="K44" s="302">
        <f t="shared" si="6"/>
        <v>17461512.366385315</v>
      </c>
      <c r="L44" s="302">
        <f t="shared" si="6"/>
        <v>17461512.366385315</v>
      </c>
      <c r="M44" s="302">
        <f>K44-I44</f>
        <v>16058907.364560638</v>
      </c>
      <c r="N44" s="225"/>
    </row>
    <row r="45" spans="1:14">
      <c r="A45" s="349"/>
      <c r="B45" s="349"/>
    </row>
    <row r="46" spans="1:14">
      <c r="A46" s="349"/>
      <c r="B46" s="349"/>
    </row>
    <row r="47" spans="1:14" ht="22.5">
      <c r="A47" s="346" t="s">
        <v>170</v>
      </c>
      <c r="B47" s="347" t="s">
        <v>171</v>
      </c>
      <c r="F47" s="297" t="s">
        <v>638</v>
      </c>
      <c r="G47" s="297" t="s">
        <v>639</v>
      </c>
      <c r="H47" s="298" t="s">
        <v>640</v>
      </c>
      <c r="I47" s="298" t="s">
        <v>641</v>
      </c>
      <c r="J47" s="298" t="s">
        <v>676</v>
      </c>
      <c r="K47" s="298" t="s">
        <v>642</v>
      </c>
      <c r="L47" s="298"/>
      <c r="M47" s="298" t="s">
        <v>643</v>
      </c>
    </row>
    <row r="48" spans="1:14">
      <c r="A48" s="348" t="s">
        <v>100</v>
      </c>
      <c r="B48" s="345" t="s">
        <v>101</v>
      </c>
      <c r="F48" s="299">
        <f>SUM(AnneArundel:WashingtonCounty!F86)</f>
        <v>2296</v>
      </c>
      <c r="G48" s="299">
        <f>SUM(AnneArundel:WashingtonCounty!G86)</f>
        <v>182492</v>
      </c>
      <c r="H48" s="300">
        <f>SUM(AnneArundel:WashingtonCounty!H86)</f>
        <v>1903574.6901</v>
      </c>
      <c r="I48" s="300">
        <f>SUM(AnneArundel:WashingtonCounty!I86)</f>
        <v>359249.77184496517</v>
      </c>
      <c r="J48" s="300">
        <f>SUM(AnneArundel:WashingtonCounty!J86)</f>
        <v>0</v>
      </c>
      <c r="K48" s="300">
        <f>H48+I48-J48</f>
        <v>2262824.4619449652</v>
      </c>
      <c r="L48" s="300">
        <f>SUM(AnneArundel:WashingtonCounty!K86)</f>
        <v>2262824.4619449656</v>
      </c>
      <c r="M48" s="300">
        <f>K48-I48</f>
        <v>1903574.6901</v>
      </c>
      <c r="N48" s="225"/>
    </row>
    <row r="49" spans="1:14">
      <c r="A49" s="348" t="s">
        <v>102</v>
      </c>
      <c r="B49" s="345" t="s">
        <v>103</v>
      </c>
      <c r="F49" s="299">
        <f>SUM(AnneArundel:WashingtonCounty!F87)</f>
        <v>17004.3</v>
      </c>
      <c r="G49" s="299">
        <f>SUM(AnneArundel:WashingtonCounty!G87)</f>
        <v>5993</v>
      </c>
      <c r="H49" s="300">
        <f>SUM(AnneArundel:WashingtonCounty!H87)</f>
        <v>1359151.629955</v>
      </c>
      <c r="I49" s="300">
        <f>SUM(AnneArundel:WashingtonCounty!I87)</f>
        <v>776011.96105394384</v>
      </c>
      <c r="J49" s="300">
        <f>SUM(AnneArundel:WashingtonCounty!J87)</f>
        <v>372159</v>
      </c>
      <c r="K49" s="300">
        <f t="shared" ref="K49:K56" si="7">H49+I49-J49</f>
        <v>1763004.591008944</v>
      </c>
      <c r="L49" s="300">
        <f>SUM(AnneArundel:WashingtonCounty!K87)</f>
        <v>1763004.5910089437</v>
      </c>
      <c r="M49" s="300">
        <f t="shared" ref="M49:M56" si="8">K49-I49</f>
        <v>986992.62995500013</v>
      </c>
      <c r="N49" s="225"/>
    </row>
    <row r="50" spans="1:14">
      <c r="A50" s="348" t="s">
        <v>104</v>
      </c>
      <c r="B50" s="345" t="s">
        <v>105</v>
      </c>
      <c r="F50" s="299">
        <f>SUM(AnneArundel:WashingtonCounty!F88)</f>
        <v>31267.25</v>
      </c>
      <c r="G50" s="299">
        <f>SUM(AnneArundel:WashingtonCounty!G88)</f>
        <v>19054</v>
      </c>
      <c r="H50" s="300">
        <f>SUM(AnneArundel:WashingtonCounty!H88)</f>
        <v>2811694.7886200002</v>
      </c>
      <c r="I50" s="300">
        <f>SUM(AnneArundel:WashingtonCounty!I88)</f>
        <v>1506039.9734190693</v>
      </c>
      <c r="J50" s="300">
        <f>SUM(AnneArundel:WashingtonCounty!J88)</f>
        <v>190146</v>
      </c>
      <c r="K50" s="300">
        <f t="shared" si="7"/>
        <v>4127588.7620390691</v>
      </c>
      <c r="L50" s="300">
        <f>SUM(AnneArundel:WashingtonCounty!K88)</f>
        <v>4127588.7620390682</v>
      </c>
      <c r="M50" s="300">
        <f t="shared" si="8"/>
        <v>2621548.7886199998</v>
      </c>
      <c r="N50" s="225"/>
    </row>
    <row r="51" spans="1:14">
      <c r="A51" s="348" t="s">
        <v>653</v>
      </c>
      <c r="B51" s="345" t="s">
        <v>107</v>
      </c>
      <c r="F51" s="299">
        <f>SUM(AnneArundel:WashingtonCounty!F89)</f>
        <v>9534.5</v>
      </c>
      <c r="G51" s="299">
        <f>SUM(AnneArundel:WashingtonCounty!G89)</f>
        <v>427</v>
      </c>
      <c r="H51" s="300">
        <f>SUM(AnneArundel:WashingtonCounty!H89)</f>
        <v>333502.37</v>
      </c>
      <c r="I51" s="300">
        <f>SUM(AnneArundel:WashingtonCounty!I89)</f>
        <v>198211.01612414114</v>
      </c>
      <c r="J51" s="300">
        <f>SUM(AnneArundel:WashingtonCounty!J89)</f>
        <v>0</v>
      </c>
      <c r="K51" s="300">
        <f t="shared" si="7"/>
        <v>531713.38612414117</v>
      </c>
      <c r="L51" s="300">
        <f>SUM(AnneArundel:WashingtonCounty!K89)</f>
        <v>531713.38612414117</v>
      </c>
      <c r="M51" s="300">
        <f t="shared" si="8"/>
        <v>333502.37</v>
      </c>
      <c r="N51" s="225"/>
    </row>
    <row r="52" spans="1:14">
      <c r="A52" s="348" t="s">
        <v>108</v>
      </c>
      <c r="B52" s="345" t="s">
        <v>109</v>
      </c>
      <c r="F52" s="299">
        <f>SUM(AnneArundel:WashingtonCounty!F90)</f>
        <v>7540.1</v>
      </c>
      <c r="G52" s="299">
        <f>SUM(AnneArundel:WashingtonCounty!G90)</f>
        <v>4685</v>
      </c>
      <c r="H52" s="300">
        <f>SUM(AnneArundel:WashingtonCounty!H90)</f>
        <v>541318.35</v>
      </c>
      <c r="I52" s="300">
        <f>SUM(AnneArundel:WashingtonCounty!I90)</f>
        <v>307860.18333294091</v>
      </c>
      <c r="J52" s="300">
        <f>SUM(AnneArundel:WashingtonCounty!J90)</f>
        <v>0</v>
      </c>
      <c r="K52" s="300">
        <f t="shared" si="7"/>
        <v>849178.53333294089</v>
      </c>
      <c r="L52" s="300">
        <f>SUM(AnneArundel:WashingtonCounty!K90)</f>
        <v>849178.53333294089</v>
      </c>
      <c r="M52" s="300">
        <f t="shared" si="8"/>
        <v>541318.35</v>
      </c>
      <c r="N52" s="225"/>
    </row>
    <row r="53" spans="1:14">
      <c r="A53" s="348" t="s">
        <v>110</v>
      </c>
      <c r="B53" s="345" t="s">
        <v>111</v>
      </c>
      <c r="F53" s="299">
        <f>SUM(AnneArundel:WashingtonCounty!F91)</f>
        <v>6840.0000000000009</v>
      </c>
      <c r="G53" s="299">
        <f>SUM(AnneArundel:WashingtonCounty!G91)</f>
        <v>11035</v>
      </c>
      <c r="H53" s="300">
        <f>SUM(AnneArundel:WashingtonCounty!H91)</f>
        <v>502047.86</v>
      </c>
      <c r="I53" s="300">
        <f>SUM(AnneArundel:WashingtonCounty!I91)</f>
        <v>282659.60949467606</v>
      </c>
      <c r="J53" s="300">
        <f>SUM(AnneArundel:WashingtonCounty!J91)</f>
        <v>500</v>
      </c>
      <c r="K53" s="300">
        <f t="shared" si="7"/>
        <v>784207.46949467598</v>
      </c>
      <c r="L53" s="300">
        <f>SUM(AnneArundel:WashingtonCounty!K91)</f>
        <v>784207.46949467598</v>
      </c>
      <c r="M53" s="300">
        <f t="shared" si="8"/>
        <v>501547.85999999993</v>
      </c>
      <c r="N53" s="225"/>
    </row>
    <row r="54" spans="1:14">
      <c r="A54" s="348" t="s">
        <v>112</v>
      </c>
      <c r="B54" s="345" t="s">
        <v>113</v>
      </c>
      <c r="F54" s="299">
        <f>SUM(AnneArundel:WashingtonCounty!F92)</f>
        <v>10484.000000000002</v>
      </c>
      <c r="G54" s="299">
        <f>SUM(AnneArundel:WashingtonCounty!G92)</f>
        <v>18227</v>
      </c>
      <c r="H54" s="300">
        <f>SUM(AnneArundel:WashingtonCounty!H92)</f>
        <v>1081270.7269966106</v>
      </c>
      <c r="I54" s="300">
        <f>SUM(AnneArundel:WashingtonCounty!I92)</f>
        <v>587844.89274684479</v>
      </c>
      <c r="J54" s="300">
        <f>SUM(AnneArundel:WashingtonCounty!J92)</f>
        <v>0</v>
      </c>
      <c r="K54" s="300">
        <f t="shared" si="7"/>
        <v>1669115.6197434554</v>
      </c>
      <c r="L54" s="300">
        <f>SUM(AnneArundel:WashingtonCounty!K92)</f>
        <v>1669115.6197434557</v>
      </c>
      <c r="M54" s="300">
        <f t="shared" si="8"/>
        <v>1081270.7269966106</v>
      </c>
      <c r="N54" s="225"/>
    </row>
    <row r="55" spans="1:14">
      <c r="A55" s="348" t="s">
        <v>114</v>
      </c>
      <c r="B55" s="345" t="s">
        <v>115</v>
      </c>
      <c r="F55" s="299">
        <f>SUM(AnneArundel:WashingtonCounty!F93)</f>
        <v>20678.300000000003</v>
      </c>
      <c r="G55" s="299">
        <f>SUM(AnneArundel:WashingtonCounty!G93)</f>
        <v>17123</v>
      </c>
      <c r="H55" s="300">
        <f>SUM(AnneArundel:WashingtonCounty!H93)</f>
        <v>2207522.8875150001</v>
      </c>
      <c r="I55" s="300">
        <f>SUM(AnneArundel:WashingtonCounty!I93)</f>
        <v>1126886.9347396474</v>
      </c>
      <c r="J55" s="300">
        <f>SUM(AnneArundel:WashingtonCounty!J93)</f>
        <v>207844</v>
      </c>
      <c r="K55" s="300">
        <f t="shared" si="7"/>
        <v>3126565.8222546475</v>
      </c>
      <c r="L55" s="300">
        <f>SUM(AnneArundel:WashingtonCounty!K93)</f>
        <v>3126565.8222546466</v>
      </c>
      <c r="M55" s="300">
        <f t="shared" si="8"/>
        <v>1999678.8875150001</v>
      </c>
      <c r="N55" s="225"/>
    </row>
    <row r="56" spans="1:14">
      <c r="A56" s="348" t="s">
        <v>116</v>
      </c>
      <c r="B56" s="345" t="s">
        <v>645</v>
      </c>
      <c r="F56" s="299">
        <f>SUM(AnneArundel:WashingtonCounty!F95:F97)</f>
        <v>53733.101687850809</v>
      </c>
      <c r="G56" s="299">
        <f>SUM(AnneArundel:WashingtonCounty!G95:G97)</f>
        <v>34716.703185840634</v>
      </c>
      <c r="H56" s="300">
        <f>SUM(AnneArundel:WashingtonCounty!H95:H97)</f>
        <v>1798049.3436201783</v>
      </c>
      <c r="I56" s="300">
        <f>SUM(AnneArundel:WashingtonCounty!I95:I97)</f>
        <v>900067.07084995753</v>
      </c>
      <c r="J56" s="300">
        <f>SUM(AnneArundel:WashingtonCounty!J95:J97)</f>
        <v>45644</v>
      </c>
      <c r="K56" s="300">
        <f t="shared" si="7"/>
        <v>2652472.4144701357</v>
      </c>
      <c r="L56" s="300">
        <f>SUM(AnneArundel:WashingtonCounty!K95:K97)</f>
        <v>2652472.4144701357</v>
      </c>
      <c r="M56" s="300">
        <f t="shared" si="8"/>
        <v>1752405.3436201783</v>
      </c>
      <c r="N56" s="225"/>
    </row>
    <row r="57" spans="1:14">
      <c r="A57" s="349"/>
      <c r="B57" s="349"/>
      <c r="N57" s="225"/>
    </row>
    <row r="58" spans="1:14">
      <c r="A58" s="349"/>
      <c r="B58" s="345" t="s">
        <v>648</v>
      </c>
      <c r="F58" s="301">
        <f t="shared" ref="F58:M58" si="9">SUM(F48:F56)</f>
        <v>159377.55168785082</v>
      </c>
      <c r="G58" s="301">
        <f t="shared" si="9"/>
        <v>293752.70318584063</v>
      </c>
      <c r="H58" s="302">
        <f t="shared" si="9"/>
        <v>12538132.646806788</v>
      </c>
      <c r="I58" s="302">
        <f t="shared" si="9"/>
        <v>6044831.4136061864</v>
      </c>
      <c r="J58" s="302">
        <f t="shared" si="9"/>
        <v>816293</v>
      </c>
      <c r="K58" s="302">
        <f t="shared" si="9"/>
        <v>17766671.060412973</v>
      </c>
      <c r="L58" s="302">
        <f t="shared" si="9"/>
        <v>17766671.060412973</v>
      </c>
      <c r="M58" s="302">
        <f t="shared" si="9"/>
        <v>11721839.646806788</v>
      </c>
      <c r="N58" s="225"/>
    </row>
    <row r="59" spans="1:14">
      <c r="A59" s="349"/>
      <c r="B59" s="349"/>
      <c r="F59" s="303"/>
      <c r="G59" s="303"/>
    </row>
    <row r="60" spans="1:14" ht="22.5">
      <c r="A60" s="346" t="s">
        <v>172</v>
      </c>
      <c r="B60" s="347" t="s">
        <v>173</v>
      </c>
      <c r="F60" s="297" t="s">
        <v>638</v>
      </c>
      <c r="G60" s="297" t="s">
        <v>639</v>
      </c>
      <c r="H60" s="298" t="s">
        <v>640</v>
      </c>
      <c r="I60" s="298" t="s">
        <v>641</v>
      </c>
      <c r="J60" s="298" t="s">
        <v>676</v>
      </c>
      <c r="K60" s="298" t="s">
        <v>642</v>
      </c>
      <c r="L60" s="298"/>
      <c r="M60" s="298" t="s">
        <v>643</v>
      </c>
    </row>
    <row r="61" spans="1:14">
      <c r="A61" s="348" t="s">
        <v>119</v>
      </c>
      <c r="B61" s="345" t="s">
        <v>120</v>
      </c>
      <c r="F61" s="299">
        <f>SUM(AnneArundel:WashingtonCounty!F103)</f>
        <v>28839.3</v>
      </c>
      <c r="G61" s="299">
        <f>SUM(AnneArundel:WashingtonCounty!G103)</f>
        <v>21946</v>
      </c>
      <c r="H61" s="300">
        <f>SUM(AnneArundel:WashingtonCounty!H103)</f>
        <v>1760351.56253</v>
      </c>
      <c r="I61" s="300">
        <f>SUM(AnneArundel:WashingtonCounty!I103)</f>
        <v>959237.00744856498</v>
      </c>
      <c r="J61" s="300">
        <f>SUM(AnneArundel:WashingtonCounty!J103)</f>
        <v>14318</v>
      </c>
      <c r="K61" s="300">
        <f>H61+I61-J61</f>
        <v>2705270.569978565</v>
      </c>
      <c r="L61" s="300">
        <f>SUM(AnneArundel:WashingtonCounty!K103)</f>
        <v>2705270.569978565</v>
      </c>
      <c r="M61" s="300">
        <f>K61-I61</f>
        <v>1746033.56253</v>
      </c>
      <c r="N61" s="225"/>
    </row>
    <row r="62" spans="1:14">
      <c r="A62" s="348" t="s">
        <v>121</v>
      </c>
      <c r="B62" s="345" t="s">
        <v>654</v>
      </c>
      <c r="F62" s="299">
        <f>SUM(AnneArundel:WashingtonCounty!F104)</f>
        <v>1468.3500000000001</v>
      </c>
      <c r="G62" s="299">
        <f>SUM(AnneArundel:WashingtonCounty!G104)</f>
        <v>206</v>
      </c>
      <c r="H62" s="300">
        <f>SUM(AnneArundel:WashingtonCounty!H104)</f>
        <v>107989.2539</v>
      </c>
      <c r="I62" s="300">
        <f>SUM(AnneArundel:WashingtonCounty!I104)</f>
        <v>56682.126056297238</v>
      </c>
      <c r="J62" s="300">
        <f>SUM(AnneArundel:WashingtonCounty!J104)</f>
        <v>0</v>
      </c>
      <c r="K62" s="300">
        <f>H62+I62-J62</f>
        <v>164671.37995629723</v>
      </c>
      <c r="L62" s="300">
        <f>SUM(AnneArundel:WashingtonCounty!K104)</f>
        <v>164671.37995629726</v>
      </c>
      <c r="M62" s="300">
        <f>K62-I62</f>
        <v>107989.25389999998</v>
      </c>
      <c r="N62" s="225"/>
    </row>
    <row r="63" spans="1:14">
      <c r="A63" s="348" t="s">
        <v>123</v>
      </c>
      <c r="B63" s="345" t="s">
        <v>655</v>
      </c>
      <c r="F63" s="299">
        <f>SUM(AnneArundel:WashingtonCounty!F106:F108)</f>
        <v>6079</v>
      </c>
      <c r="G63" s="299">
        <f>SUM(AnneArundel:WashingtonCounty!G106:G108)</f>
        <v>18471.07</v>
      </c>
      <c r="H63" s="300">
        <f>SUM(AnneArundel:WashingtonCounty!H106:H108)</f>
        <v>1533990.2866500001</v>
      </c>
      <c r="I63" s="300">
        <f>SUM(AnneArundel:WashingtonCounty!I106:I108)</f>
        <v>863878.67428471451</v>
      </c>
      <c r="J63" s="300">
        <f>SUM(AnneArundel:WashingtonCounty!J106:J108)</f>
        <v>0</v>
      </c>
      <c r="K63" s="300">
        <f>H63+I63-J63</f>
        <v>2397868.9609347144</v>
      </c>
      <c r="L63" s="300">
        <f>SUM(AnneArundel:WashingtonCounty!K106:K108)</f>
        <v>2397868.9609347149</v>
      </c>
      <c r="M63" s="300">
        <f>K63-I63</f>
        <v>1533990.2866499999</v>
      </c>
      <c r="N63" s="225"/>
    </row>
    <row r="64" spans="1:14">
      <c r="A64" s="349"/>
      <c r="B64" s="349"/>
      <c r="N64" s="225"/>
    </row>
    <row r="65" spans="1:14">
      <c r="A65" s="349"/>
      <c r="B65" s="349"/>
      <c r="F65" s="301">
        <f t="shared" ref="F65:L65" si="10">SUM(F61:F63)</f>
        <v>36386.649999999994</v>
      </c>
      <c r="G65" s="301">
        <f t="shared" si="10"/>
        <v>40623.07</v>
      </c>
      <c r="H65" s="302">
        <f t="shared" si="10"/>
        <v>3402331.1030799998</v>
      </c>
      <c r="I65" s="302">
        <f t="shared" si="10"/>
        <v>1879797.8077895767</v>
      </c>
      <c r="J65" s="302">
        <f t="shared" si="10"/>
        <v>14318</v>
      </c>
      <c r="K65" s="302">
        <f t="shared" si="10"/>
        <v>5267810.910869576</v>
      </c>
      <c r="L65" s="302">
        <f t="shared" si="10"/>
        <v>5267810.910869577</v>
      </c>
      <c r="M65" s="302">
        <f>K65-I65</f>
        <v>3388013.1030799993</v>
      </c>
      <c r="N65" s="225"/>
    </row>
    <row r="66" spans="1:14">
      <c r="A66" s="349"/>
      <c r="B66" s="349"/>
    </row>
    <row r="67" spans="1:14">
      <c r="A67" s="346" t="s">
        <v>174</v>
      </c>
      <c r="B67" s="347" t="s">
        <v>656</v>
      </c>
      <c r="F67" s="304">
        <f>SUM(AnneArundel:WashingtonCounty!F113)</f>
        <v>309721839.94000006</v>
      </c>
      <c r="G67" s="297"/>
      <c r="H67" s="298"/>
      <c r="I67" s="298"/>
      <c r="J67" s="298"/>
      <c r="K67" s="298"/>
      <c r="L67" s="298"/>
      <c r="M67" s="298"/>
    </row>
    <row r="68" spans="1:14">
      <c r="A68" s="349"/>
      <c r="B68" s="349"/>
    </row>
    <row r="69" spans="1:14">
      <c r="A69" s="349"/>
      <c r="B69" s="349"/>
    </row>
    <row r="70" spans="1:14" ht="22.5">
      <c r="A70" s="346" t="s">
        <v>147</v>
      </c>
      <c r="B70" s="347" t="s">
        <v>148</v>
      </c>
      <c r="F70" s="297" t="s">
        <v>638</v>
      </c>
      <c r="G70" s="297" t="s">
        <v>639</v>
      </c>
      <c r="H70" s="298" t="s">
        <v>640</v>
      </c>
      <c r="I70" s="298" t="s">
        <v>641</v>
      </c>
      <c r="J70" s="298" t="s">
        <v>676</v>
      </c>
      <c r="K70" s="298" t="s">
        <v>642</v>
      </c>
      <c r="L70" s="298"/>
      <c r="M70" s="298" t="s">
        <v>643</v>
      </c>
    </row>
    <row r="71" spans="1:14">
      <c r="A71" s="348" t="s">
        <v>149</v>
      </c>
      <c r="B71" s="345" t="s">
        <v>150</v>
      </c>
      <c r="F71" s="299">
        <f>SUM(AnneArundel:WashingtonCounty!F133)</f>
        <v>6210.5</v>
      </c>
      <c r="G71" s="299">
        <f>SUM(AnneArundel:WashingtonCounty!G133)</f>
        <v>1558</v>
      </c>
      <c r="H71" s="300">
        <f>SUM(AnneArundel:WashingtonCounty!H133)</f>
        <v>3172386.63</v>
      </c>
      <c r="I71" s="300">
        <f>SUM(AnneArundel:WashingtonCounty!I133)</f>
        <v>437488.07950386213</v>
      </c>
      <c r="J71" s="300">
        <f>SUM(AnneArundel:WashingtonCounty!J133)</f>
        <v>64964</v>
      </c>
      <c r="K71" s="300">
        <f>H71+I71-J71</f>
        <v>3544910.7095038621</v>
      </c>
      <c r="L71" s="300">
        <f>SUM(AnneArundel:WashingtonCounty!K133)</f>
        <v>3544910.7095038621</v>
      </c>
      <c r="M71" s="300">
        <f>K71-I71</f>
        <v>3107422.63</v>
      </c>
      <c r="N71" s="225"/>
    </row>
    <row r="72" spans="1:14">
      <c r="A72" s="348" t="s">
        <v>151</v>
      </c>
      <c r="B72" s="345" t="s">
        <v>152</v>
      </c>
      <c r="F72" s="299">
        <f>SUM(AnneArundel:WashingtonCounty!F134)</f>
        <v>43924</v>
      </c>
      <c r="G72" s="299">
        <f>SUM(AnneArundel:WashingtonCounty!G134)</f>
        <v>4433</v>
      </c>
      <c r="H72" s="300">
        <f>SUM(AnneArundel:WashingtonCounty!H134)</f>
        <v>3435638</v>
      </c>
      <c r="I72" s="300">
        <f>SUM(AnneArundel:WashingtonCounty!I134)</f>
        <v>2433619.1351922071</v>
      </c>
      <c r="J72" s="300">
        <f>SUM(AnneArundel:WashingtonCounty!J134)</f>
        <v>1035822</v>
      </c>
      <c r="K72" s="300">
        <f>H72+I72-J72</f>
        <v>4833435.1351922071</v>
      </c>
      <c r="L72" s="300">
        <f>SUM(AnneArundel:WashingtonCounty!K134)</f>
        <v>4833435.1351922071</v>
      </c>
      <c r="M72" s="300">
        <f>K72-I72</f>
        <v>2399816</v>
      </c>
      <c r="N72" s="225"/>
    </row>
    <row r="73" spans="1:14">
      <c r="A73" s="348" t="s">
        <v>153</v>
      </c>
      <c r="B73" s="345" t="s">
        <v>34</v>
      </c>
      <c r="F73" s="299">
        <f>SUM(AnneArundel:WashingtonCounty!F136:F138)</f>
        <v>120</v>
      </c>
      <c r="G73" s="299">
        <f>SUM(AnneArundel:WashingtonCounty!G136:G138)</f>
        <v>17</v>
      </c>
      <c r="H73" s="300">
        <f>SUM(AnneArundel:WashingtonCounty!H136:H138)</f>
        <v>192966.45</v>
      </c>
      <c r="I73" s="300">
        <f>SUM(AnneArundel:WashingtonCounty!I136:I138)</f>
        <v>11207.368199999999</v>
      </c>
      <c r="J73" s="300">
        <f>SUM(AnneArundel:WashingtonCounty!J136:J138)</f>
        <v>0</v>
      </c>
      <c r="K73" s="300">
        <f>H73+I73-J73</f>
        <v>204173.81820000001</v>
      </c>
      <c r="L73" s="300">
        <f>SUM(AnneArundel:WashingtonCounty!K136:K138)</f>
        <v>204173.81820000001</v>
      </c>
      <c r="M73" s="300">
        <f>K73-I73</f>
        <v>192966.45</v>
      </c>
      <c r="N73" s="225"/>
    </row>
    <row r="74" spans="1:14">
      <c r="A74" s="349"/>
      <c r="B74" s="349"/>
      <c r="N74" s="225"/>
    </row>
    <row r="75" spans="1:14">
      <c r="A75" s="349"/>
      <c r="B75" s="345" t="s">
        <v>648</v>
      </c>
      <c r="F75" s="301">
        <f t="shared" ref="F75:M75" si="11">SUM(F71:F73)</f>
        <v>50254.5</v>
      </c>
      <c r="G75" s="301">
        <f t="shared" si="11"/>
        <v>6008</v>
      </c>
      <c r="H75" s="302">
        <f t="shared" si="11"/>
        <v>6800991.0800000001</v>
      </c>
      <c r="I75" s="302">
        <f t="shared" si="11"/>
        <v>2882314.5828960692</v>
      </c>
      <c r="J75" s="302">
        <f t="shared" si="11"/>
        <v>1100786</v>
      </c>
      <c r="K75" s="302">
        <f t="shared" si="11"/>
        <v>8582519.6628960688</v>
      </c>
      <c r="L75" s="302">
        <f t="shared" si="11"/>
        <v>8582519.6628960688</v>
      </c>
      <c r="M75" s="302">
        <f t="shared" si="11"/>
        <v>5700205.0800000001</v>
      </c>
      <c r="N75" s="225"/>
    </row>
    <row r="76" spans="1:14">
      <c r="A76" s="349"/>
      <c r="B76" s="349"/>
      <c r="F76" s="303"/>
      <c r="G76" s="303"/>
    </row>
    <row r="77" spans="1:14" ht="22.5">
      <c r="A77" s="346" t="s">
        <v>158</v>
      </c>
      <c r="B77" s="347" t="s">
        <v>657</v>
      </c>
      <c r="F77" s="297" t="s">
        <v>638</v>
      </c>
      <c r="G77" s="297" t="s">
        <v>639</v>
      </c>
      <c r="H77" s="298" t="s">
        <v>640</v>
      </c>
      <c r="I77" s="298" t="s">
        <v>641</v>
      </c>
      <c r="J77" s="298" t="s">
        <v>676</v>
      </c>
      <c r="K77" s="298" t="s">
        <v>642</v>
      </c>
      <c r="L77" s="298"/>
      <c r="M77" s="298" t="s">
        <v>643</v>
      </c>
    </row>
    <row r="78" spans="1:14">
      <c r="A78" s="348" t="s">
        <v>160</v>
      </c>
      <c r="B78" s="345" t="s">
        <v>161</v>
      </c>
      <c r="F78" s="301">
        <f>SUM(AnneArundel:WashingtonCounty!F144)</f>
        <v>775824.67681653611</v>
      </c>
      <c r="G78" s="301">
        <f>SUM(AnneArundel:WashingtonCounty!G144)</f>
        <v>9977271.8906169124</v>
      </c>
      <c r="H78" s="302">
        <f>SUM(AnneArundel:WashingtonCounty!H144)</f>
        <v>48206691.416768</v>
      </c>
      <c r="I78" s="302">
        <f>SUM(AnneArundel:WashingtonCounty!I144)</f>
        <v>25541278.972919572</v>
      </c>
      <c r="J78" s="302">
        <f>SUM(AnneArundel:WashingtonCounty!J144)</f>
        <v>6345426.620000001</v>
      </c>
      <c r="K78" s="302">
        <f>SUM(AnneArundel:WashingtonCounty!K144)</f>
        <v>67402543.769687563</v>
      </c>
      <c r="L78" s="302">
        <f>K78-I78</f>
        <v>41861264.796767995</v>
      </c>
      <c r="M78" s="302">
        <f>SUM((SUM(AnneArundel:WashingtonCounty!K144)-SUM(AnneArundel:WashingtonCounty!I144)))</f>
        <v>41861264.796767995</v>
      </c>
      <c r="N78" s="225"/>
    </row>
    <row r="79" spans="1:14">
      <c r="A79" s="348" t="s">
        <v>162</v>
      </c>
      <c r="B79" s="345" t="s">
        <v>163</v>
      </c>
      <c r="F79" s="301">
        <f>SUM(AnneArundel:WashingtonCounty!F145)</f>
        <v>5254635.4626111062</v>
      </c>
      <c r="G79" s="301">
        <f>SUM(AnneArundel:WashingtonCounty!G145)</f>
        <v>355399.68555997231</v>
      </c>
      <c r="H79" s="302">
        <f>SUM(AnneArundel:WashingtonCounty!H145)</f>
        <v>242027070.06660599</v>
      </c>
      <c r="I79" s="302">
        <f>SUM(AnneArundel:WashingtonCounty!I145)</f>
        <v>66059924.644236371</v>
      </c>
      <c r="J79" s="302">
        <f>SUM(AnneArundel:WashingtonCounty!J145)</f>
        <v>1630816.74</v>
      </c>
      <c r="K79" s="302">
        <f>SUM(AnneArundel:WashingtonCounty!K145)</f>
        <v>306456177.97084236</v>
      </c>
      <c r="L79" s="302">
        <f t="shared" ref="L79:L86" si="12">K79-I79</f>
        <v>240396253.32660598</v>
      </c>
      <c r="M79" s="302">
        <f>SUM((SUM(AnneArundel:WashingtonCounty!K145)-SUM(AnneArundel:WashingtonCounty!I145)))</f>
        <v>240396253.32660598</v>
      </c>
      <c r="N79" s="225"/>
    </row>
    <row r="80" spans="1:14">
      <c r="A80" s="348" t="s">
        <v>164</v>
      </c>
      <c r="B80" s="345" t="s">
        <v>165</v>
      </c>
      <c r="F80" s="301">
        <f>SUM(AnneArundel:WashingtonCounty!F146)</f>
        <v>1591721.3210118911</v>
      </c>
      <c r="G80" s="301">
        <f>SUM(AnneArundel:WashingtonCounty!G146)</f>
        <v>1110645.8820211303</v>
      </c>
      <c r="H80" s="302">
        <f>SUM(AnneArundel:WashingtonCounty!H146)</f>
        <v>258322755.38092858</v>
      </c>
      <c r="I80" s="302">
        <f>SUM(AnneArundel:WashingtonCounty!I146)</f>
        <v>55780522.16744709</v>
      </c>
      <c r="J80" s="302">
        <f>SUM(AnneArundel:WashingtonCounty!J146)</f>
        <v>104117757.54140998</v>
      </c>
      <c r="K80" s="302">
        <f>SUM(AnneArundel:WashingtonCounty!K146)</f>
        <v>209985520.00696576</v>
      </c>
      <c r="L80" s="302">
        <f t="shared" si="12"/>
        <v>154204997.83951867</v>
      </c>
      <c r="M80" s="302">
        <f>SUM((SUM(AnneArundel:WashingtonCounty!K146)-SUM(AnneArundel:WashingtonCounty!I146)))</f>
        <v>154204997.83951867</v>
      </c>
      <c r="N80" s="225"/>
    </row>
    <row r="81" spans="1:14">
      <c r="A81" s="348" t="s">
        <v>166</v>
      </c>
      <c r="B81" s="345" t="s">
        <v>167</v>
      </c>
      <c r="F81" s="301">
        <f>SUM(AnneArundel:WashingtonCounty!F147)</f>
        <v>52997.871427976002</v>
      </c>
      <c r="G81" s="301">
        <f>SUM(AnneArundel:WashingtonCounty!G147)</f>
        <v>19357.189999788799</v>
      </c>
      <c r="H81" s="302">
        <f>SUM(AnneArundel:WashingtonCounty!H147)</f>
        <v>3796404.4959999998</v>
      </c>
      <c r="I81" s="302">
        <f>SUM(AnneArundel:WashingtonCounty!I147)</f>
        <v>1542510.9265680076</v>
      </c>
      <c r="J81" s="302">
        <f>SUM(AnneArundel:WashingtonCounty!J147)</f>
        <v>1745347.05</v>
      </c>
      <c r="K81" s="302">
        <f>SUM(AnneArundel:WashingtonCounty!K147)</f>
        <v>3593568.3725680076</v>
      </c>
      <c r="L81" s="302">
        <f t="shared" si="12"/>
        <v>2051057.446</v>
      </c>
      <c r="M81" s="302">
        <f>SUM((SUM(AnneArundel:WashingtonCounty!K147)-SUM(AnneArundel:WashingtonCounty!I147)))</f>
        <v>2051057.446</v>
      </c>
      <c r="N81" s="225"/>
    </row>
    <row r="82" spans="1:14">
      <c r="A82" s="348" t="s">
        <v>168</v>
      </c>
      <c r="B82" s="345" t="s">
        <v>658</v>
      </c>
      <c r="F82" s="301">
        <f>SUM(AnneArundel:WashingtonCounty!F148)</f>
        <v>36001.249778618527</v>
      </c>
      <c r="G82" s="301">
        <f>SUM(AnneArundel:WashingtonCounty!G148)</f>
        <v>167351</v>
      </c>
      <c r="H82" s="302">
        <f>SUM(AnneArundel:WashingtonCounty!H148)</f>
        <v>16657614.364560636</v>
      </c>
      <c r="I82" s="302">
        <f>SUM(AnneArundel:WashingtonCounty!I148)</f>
        <v>1402605.0018246775</v>
      </c>
      <c r="J82" s="302">
        <f>SUM(AnneArundel:WashingtonCounty!J148)</f>
        <v>598707</v>
      </c>
      <c r="K82" s="302">
        <f>SUM(AnneArundel:WashingtonCounty!K148)</f>
        <v>17461512.366385318</v>
      </c>
      <c r="L82" s="302">
        <f t="shared" si="12"/>
        <v>16058907.364560641</v>
      </c>
      <c r="M82" s="302">
        <f>SUM((SUM(AnneArundel:WashingtonCounty!K148)-SUM(AnneArundel:WashingtonCounty!I148)))</f>
        <v>16058907.364560641</v>
      </c>
      <c r="N82" s="225"/>
    </row>
    <row r="83" spans="1:14">
      <c r="A83" s="348" t="s">
        <v>170</v>
      </c>
      <c r="B83" s="345" t="s">
        <v>171</v>
      </c>
      <c r="F83" s="301">
        <f>SUM(AnneArundel:WashingtonCounty!F149)</f>
        <v>159377.55168785082</v>
      </c>
      <c r="G83" s="301">
        <f>SUM(AnneArundel:WashingtonCounty!G149)</f>
        <v>293752.70318584063</v>
      </c>
      <c r="H83" s="302">
        <f>SUM(AnneArundel:WashingtonCounty!H149)</f>
        <v>12538132.646806788</v>
      </c>
      <c r="I83" s="302">
        <f>SUM(AnneArundel:WashingtonCounty!I149)</f>
        <v>6044831.4136061855</v>
      </c>
      <c r="J83" s="302">
        <f>SUM(AnneArundel:WashingtonCounty!J149)</f>
        <v>816293</v>
      </c>
      <c r="K83" s="302">
        <f>SUM(AnneArundel:WashingtonCounty!K149)</f>
        <v>17766671.060412973</v>
      </c>
      <c r="L83" s="302">
        <f t="shared" si="12"/>
        <v>11721839.646806788</v>
      </c>
      <c r="M83" s="302">
        <f>SUM((SUM(AnneArundel:WashingtonCounty!K149)-SUM(AnneArundel:WashingtonCounty!I149)))</f>
        <v>11721839.646806788</v>
      </c>
      <c r="N83" s="225"/>
    </row>
    <row r="84" spans="1:14">
      <c r="A84" s="348" t="s">
        <v>172</v>
      </c>
      <c r="B84" s="345" t="s">
        <v>173</v>
      </c>
      <c r="F84" s="301">
        <f>SUM(AnneArundel:WashingtonCounty!F150)</f>
        <v>36386.649999999994</v>
      </c>
      <c r="G84" s="301">
        <f>SUM(AnneArundel:WashingtonCounty!G150)</f>
        <v>40623.07</v>
      </c>
      <c r="H84" s="302">
        <f>SUM(AnneArundel:WashingtonCounty!H150)</f>
        <v>3402331.1030799998</v>
      </c>
      <c r="I84" s="302">
        <f>SUM(AnneArundel:WashingtonCounty!I150)</f>
        <v>1879797.8077895767</v>
      </c>
      <c r="J84" s="302">
        <f>SUM(AnneArundel:WashingtonCounty!J150)</f>
        <v>14318</v>
      </c>
      <c r="K84" s="302">
        <f>SUM(AnneArundel:WashingtonCounty!K150)</f>
        <v>5267810.9108695779</v>
      </c>
      <c r="L84" s="302">
        <f t="shared" si="12"/>
        <v>3388013.1030800012</v>
      </c>
      <c r="M84" s="302">
        <f>SUM((SUM(AnneArundel:WashingtonCounty!K150)-SUM(AnneArundel:WashingtonCounty!I150)))</f>
        <v>3388013.1030800012</v>
      </c>
      <c r="N84" s="225"/>
    </row>
    <row r="85" spans="1:14">
      <c r="A85" s="348" t="s">
        <v>174</v>
      </c>
      <c r="B85" s="345" t="s">
        <v>175</v>
      </c>
      <c r="F85" s="301">
        <f>SUM(AnneArundel:WashingtonCounty!F151)</f>
        <v>0</v>
      </c>
      <c r="G85" s="301">
        <f>SUM(AnneArundel:WashingtonCounty!G151)</f>
        <v>0</v>
      </c>
      <c r="H85" s="302">
        <f>SUM(AnneArundel:WashingtonCounty!H151)</f>
        <v>0</v>
      </c>
      <c r="I85" s="302">
        <f>SUM(AnneArundel:WashingtonCounty!I151)</f>
        <v>0</v>
      </c>
      <c r="J85" s="302">
        <f>SUM(AnneArundel:WashingtonCounty!J151)</f>
        <v>0</v>
      </c>
      <c r="K85" s="302">
        <f>SUM(AnneArundel:WashingtonCounty!K151)</f>
        <v>309721839.94000006</v>
      </c>
      <c r="L85" s="302">
        <f t="shared" si="12"/>
        <v>309721839.94000006</v>
      </c>
      <c r="M85" s="302">
        <f>SUM((SUM(AnneArundel:WashingtonCounty!K151)-SUM(AnneArundel:WashingtonCounty!I151)))</f>
        <v>309721839.94000006</v>
      </c>
      <c r="N85" s="225"/>
    </row>
    <row r="86" spans="1:14">
      <c r="A86" s="348" t="s">
        <v>147</v>
      </c>
      <c r="B86" s="345" t="s">
        <v>177</v>
      </c>
      <c r="F86" s="301">
        <f>SUM(AnneArundel:WashingtonCounty!F152)</f>
        <v>50254.5</v>
      </c>
      <c r="G86" s="301">
        <f>SUM(AnneArundel:WashingtonCounty!G152)</f>
        <v>6008</v>
      </c>
      <c r="H86" s="302">
        <f>SUM(AnneArundel:WashingtonCounty!H152)</f>
        <v>6800991.0800000001</v>
      </c>
      <c r="I86" s="302">
        <f>SUM(AnneArundel:WashingtonCounty!I152)</f>
        <v>2882314.5828960692</v>
      </c>
      <c r="J86" s="302">
        <f>SUM(AnneArundel:WashingtonCounty!J152)</f>
        <v>1100786</v>
      </c>
      <c r="K86" s="302">
        <f>SUM(AnneArundel:WashingtonCounty!K152)</f>
        <v>8582519.6628960688</v>
      </c>
      <c r="L86" s="302">
        <f t="shared" si="12"/>
        <v>5700205.0800000001</v>
      </c>
      <c r="M86" s="302">
        <f>SUM((SUM(AnneArundel:WashingtonCounty!K152)-SUM(AnneArundel:WashingtonCounty!I152)))</f>
        <v>5700205.0800000001</v>
      </c>
      <c r="N86" s="225"/>
    </row>
    <row r="87" spans="1:14">
      <c r="A87" s="349"/>
      <c r="B87" s="349"/>
    </row>
    <row r="88" spans="1:14">
      <c r="A88" s="349"/>
      <c r="B88" s="347" t="s">
        <v>659</v>
      </c>
      <c r="F88" s="301">
        <f t="shared" ref="F88:M88" si="13">SUM(F78:F86)</f>
        <v>7957199.2833339777</v>
      </c>
      <c r="G88" s="301">
        <f t="shared" si="13"/>
        <v>11970409.421383647</v>
      </c>
      <c r="H88" s="302">
        <f t="shared" si="13"/>
        <v>591751990.5547502</v>
      </c>
      <c r="I88" s="302">
        <f t="shared" si="13"/>
        <v>161133785.51728755</v>
      </c>
      <c r="J88" s="302">
        <f t="shared" si="13"/>
        <v>116369451.95140998</v>
      </c>
      <c r="K88" s="302">
        <f t="shared" si="13"/>
        <v>946238164.0606277</v>
      </c>
      <c r="L88" s="302">
        <f>SUM(L78:L86)</f>
        <v>785104378.54334009</v>
      </c>
      <c r="M88" s="302">
        <f t="shared" si="13"/>
        <v>785104378.54334009</v>
      </c>
      <c r="N88" s="227"/>
    </row>
    <row r="89" spans="1:14">
      <c r="A89" s="349"/>
      <c r="B89" s="349"/>
      <c r="F89" s="303"/>
      <c r="G89" s="303"/>
    </row>
    <row r="90" spans="1:14">
      <c r="A90" s="349"/>
      <c r="B90" s="350" t="s">
        <v>660</v>
      </c>
      <c r="C90" s="305">
        <f>SUM(AnneArundel:WashingtonCounty!F123)</f>
        <v>12442727824.140587</v>
      </c>
      <c r="F90" s="352">
        <f>SUM(AnneArundel:WashingtonCounty!F123)</f>
        <v>12442727824.140587</v>
      </c>
    </row>
    <row r="91" spans="1:14">
      <c r="A91" s="349"/>
      <c r="B91" s="351"/>
      <c r="C91" s="306"/>
    </row>
    <row r="92" spans="1:14">
      <c r="A92" s="349"/>
      <c r="B92" s="350" t="s">
        <v>661</v>
      </c>
      <c r="C92" s="231">
        <f>K88/C90</f>
        <v>7.6047485522008823E-2</v>
      </c>
      <c r="F92" s="353">
        <f>K88/F90</f>
        <v>7.6047485522008823E-2</v>
      </c>
    </row>
    <row r="93" spans="1:14">
      <c r="A93" s="349"/>
      <c r="B93" s="351"/>
      <c r="C93" s="306"/>
    </row>
    <row r="94" spans="1:14">
      <c r="A94" s="349"/>
      <c r="B94" s="350" t="s">
        <v>662</v>
      </c>
      <c r="C94" s="307">
        <f>M88/C90</f>
        <v>6.309744853697842E-2</v>
      </c>
      <c r="F94" s="353">
        <f>M88/F90</f>
        <v>6.309744853697842E-2</v>
      </c>
    </row>
  </sheetData>
  <sheetProtection password="EF72" sheet="1" objects="1" scenarios="1"/>
  <pageMargins left="0.7" right="0.7" top="0.75" bottom="0.75" header="0.3" footer="0.3"/>
  <pageSetup scale="77" orientation="landscape" r:id="rId1"/>
  <headerFooter>
    <oddFooter>&amp;LFY2009 CBR Totals&amp;C&amp;P</oddFooter>
  </headerFooter>
  <rowBreaks count="1" manualBreakCount="1">
    <brk id="44" max="16383" man="1"/>
  </rowBreaks>
  <colBreaks count="1" manualBreakCount="1">
    <brk id="13" max="100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8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231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232</v>
      </c>
      <c r="D6" s="366"/>
      <c r="E6" s="366"/>
      <c r="F6" s="366"/>
      <c r="G6" s="367"/>
    </row>
    <row r="7" spans="1:11" ht="18" customHeight="1">
      <c r="B7" s="6" t="s">
        <v>5</v>
      </c>
      <c r="C7" s="368">
        <v>1763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233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234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235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241</v>
      </c>
      <c r="G18" s="11">
        <v>3103</v>
      </c>
      <c r="H18" s="12">
        <v>51798</v>
      </c>
      <c r="I18" s="13">
        <v>25899</v>
      </c>
      <c r="J18" s="12">
        <v>6393</v>
      </c>
      <c r="K18" s="14">
        <f t="shared" ref="K18:K32" si="0">(H18+I18)-J18</f>
        <v>71304</v>
      </c>
    </row>
    <row r="19" spans="1:11" ht="18" customHeight="1">
      <c r="A19" s="6"/>
      <c r="B19" s="2" t="s">
        <v>23</v>
      </c>
      <c r="F19" s="11">
        <v>115</v>
      </c>
      <c r="G19" s="11">
        <v>2524</v>
      </c>
      <c r="H19" s="12">
        <v>9359</v>
      </c>
      <c r="I19" s="13">
        <v>4679.5</v>
      </c>
      <c r="J19" s="12">
        <v>0</v>
      </c>
      <c r="K19" s="14">
        <f t="shared" si="0"/>
        <v>14038.5</v>
      </c>
    </row>
    <row r="20" spans="1:11" ht="18" customHeight="1">
      <c r="A20" s="6"/>
      <c r="B20" s="2" t="s">
        <v>24</v>
      </c>
      <c r="F20" s="11">
        <v>226</v>
      </c>
      <c r="G20" s="11">
        <v>910</v>
      </c>
      <c r="H20" s="12">
        <v>30192</v>
      </c>
      <c r="I20" s="13">
        <v>15096</v>
      </c>
      <c r="J20" s="12">
        <v>12405</v>
      </c>
      <c r="K20" s="14">
        <f t="shared" si="0"/>
        <v>32883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ref="I21:I32" si="1">H21*F$116</f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59</v>
      </c>
      <c r="G22" s="11">
        <v>1610</v>
      </c>
      <c r="H22" s="12">
        <v>4131</v>
      </c>
      <c r="I22" s="13">
        <v>2065.5</v>
      </c>
      <c r="J22" s="12">
        <v>100</v>
      </c>
      <c r="K22" s="14">
        <f t="shared" si="0"/>
        <v>6096.5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f t="shared" si="1"/>
        <v>0</v>
      </c>
      <c r="J26" s="12"/>
      <c r="K26" s="14">
        <f t="shared" si="0"/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218</v>
      </c>
      <c r="C28" s="379"/>
      <c r="D28" s="380"/>
      <c r="F28" s="11">
        <v>282</v>
      </c>
      <c r="G28" s="11">
        <v>251</v>
      </c>
      <c r="H28" s="12">
        <v>9767</v>
      </c>
      <c r="I28" s="13">
        <v>4883.5</v>
      </c>
      <c r="J28" s="12"/>
      <c r="K28" s="14">
        <f t="shared" si="0"/>
        <v>14650.5</v>
      </c>
    </row>
    <row r="29" spans="1:11" ht="18" customHeight="1">
      <c r="A29" s="6" t="s">
        <v>37</v>
      </c>
      <c r="B29" s="378" t="s">
        <v>236</v>
      </c>
      <c r="C29" s="379"/>
      <c r="D29" s="380"/>
      <c r="F29" s="11"/>
      <c r="G29" s="11">
        <v>410</v>
      </c>
      <c r="H29" s="12">
        <v>25693</v>
      </c>
      <c r="I29" s="13">
        <v>12846.5</v>
      </c>
      <c r="J29" s="12"/>
      <c r="K29" s="14">
        <f t="shared" si="0"/>
        <v>38539.5</v>
      </c>
    </row>
    <row r="30" spans="1:11" ht="18" customHeight="1">
      <c r="A30" s="6" t="s">
        <v>38</v>
      </c>
      <c r="B30" s="15" t="s">
        <v>237</v>
      </c>
      <c r="C30" s="16"/>
      <c r="D30" s="17"/>
      <c r="F30" s="11">
        <v>2295</v>
      </c>
      <c r="G30" s="11">
        <v>530</v>
      </c>
      <c r="H30" s="12">
        <v>579800</v>
      </c>
      <c r="I30" s="13">
        <v>0</v>
      </c>
      <c r="J30" s="12"/>
      <c r="K30" s="14">
        <f t="shared" si="0"/>
        <v>579800</v>
      </c>
    </row>
    <row r="31" spans="1:11" ht="18" customHeight="1">
      <c r="A31" s="6" t="s">
        <v>39</v>
      </c>
      <c r="B31" s="15" t="s">
        <v>184</v>
      </c>
      <c r="C31" s="16"/>
      <c r="D31" s="17"/>
      <c r="F31" s="11">
        <v>832</v>
      </c>
      <c r="G31" s="11">
        <v>45</v>
      </c>
      <c r="H31" s="12">
        <v>64924</v>
      </c>
      <c r="I31" s="13">
        <v>32462</v>
      </c>
      <c r="J31" s="12"/>
      <c r="K31" s="14">
        <f t="shared" si="0"/>
        <v>97386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4050</v>
      </c>
      <c r="G34" s="19">
        <f t="shared" si="2"/>
        <v>9383</v>
      </c>
      <c r="H34" s="14">
        <f t="shared" si="2"/>
        <v>775664</v>
      </c>
      <c r="I34" s="14">
        <f t="shared" si="2"/>
        <v>97932</v>
      </c>
      <c r="J34" s="14">
        <f t="shared" si="2"/>
        <v>18898</v>
      </c>
      <c r="K34" s="14">
        <f t="shared" si="2"/>
        <v>854698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>
        <v>8</v>
      </c>
      <c r="H39" s="12">
        <v>8200</v>
      </c>
      <c r="I39" s="13">
        <v>0</v>
      </c>
      <c r="J39" s="12"/>
      <c r="K39" s="14">
        <f t="shared" si="3"/>
        <v>8200</v>
      </c>
    </row>
    <row r="40" spans="1:11" ht="18" customHeight="1">
      <c r="A40" s="6" t="s">
        <v>48</v>
      </c>
      <c r="B40" s="63" t="s">
        <v>49</v>
      </c>
      <c r="F40" s="11">
        <v>12313</v>
      </c>
      <c r="G40" s="11">
        <v>543</v>
      </c>
      <c r="H40" s="12">
        <v>378624</v>
      </c>
      <c r="I40" s="13">
        <v>0</v>
      </c>
      <c r="J40" s="12"/>
      <c r="K40" s="14">
        <f t="shared" si="3"/>
        <v>378624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>
        <v>453</v>
      </c>
      <c r="G44" s="11">
        <v>21</v>
      </c>
      <c r="H44" s="12">
        <v>16958</v>
      </c>
      <c r="I44" s="13">
        <v>0</v>
      </c>
      <c r="J44" s="12"/>
      <c r="K44" s="14">
        <f t="shared" si="3"/>
        <v>16958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12766</v>
      </c>
      <c r="G48" s="25">
        <f t="shared" si="4"/>
        <v>572</v>
      </c>
      <c r="H48" s="14">
        <f t="shared" si="4"/>
        <v>403782</v>
      </c>
      <c r="I48" s="14">
        <f t="shared" si="4"/>
        <v>0</v>
      </c>
      <c r="J48" s="14">
        <f t="shared" si="4"/>
        <v>0</v>
      </c>
      <c r="K48" s="14">
        <f t="shared" si="4"/>
        <v>403782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74</v>
      </c>
      <c r="C52" s="385"/>
      <c r="D52" s="359"/>
      <c r="F52" s="11">
        <v>109200</v>
      </c>
      <c r="G52" s="11">
        <v>20211</v>
      </c>
      <c r="H52" s="12">
        <v>4509946</v>
      </c>
      <c r="I52" s="13"/>
      <c r="J52" s="12">
        <v>4474883</v>
      </c>
      <c r="K52" s="14">
        <f>(H52+I52)-J52</f>
        <v>35063</v>
      </c>
    </row>
    <row r="53" spans="1:11" ht="18" customHeight="1">
      <c r="A53" s="6" t="s">
        <v>63</v>
      </c>
      <c r="B53" s="27" t="s">
        <v>238</v>
      </c>
      <c r="C53" s="28"/>
      <c r="D53" s="29"/>
      <c r="F53" s="11">
        <v>2080</v>
      </c>
      <c r="G53" s="11">
        <v>6340</v>
      </c>
      <c r="H53" s="12">
        <v>105263</v>
      </c>
      <c r="I53" s="13">
        <v>0</v>
      </c>
      <c r="J53" s="12"/>
      <c r="K53" s="14">
        <f t="shared" ref="K53:K61" si="5">(H53+I53)-J53</f>
        <v>105263</v>
      </c>
    </row>
    <row r="54" spans="1:11" ht="18" customHeight="1">
      <c r="A54" s="6" t="s">
        <v>65</v>
      </c>
      <c r="B54" s="381" t="s">
        <v>239</v>
      </c>
      <c r="C54" s="358"/>
      <c r="D54" s="359"/>
      <c r="F54" s="11">
        <v>2704</v>
      </c>
      <c r="G54" s="11">
        <v>2560</v>
      </c>
      <c r="H54" s="12">
        <v>218119</v>
      </c>
      <c r="I54" s="13">
        <v>0</v>
      </c>
      <c r="J54" s="12"/>
      <c r="K54" s="14">
        <f t="shared" si="5"/>
        <v>218119</v>
      </c>
    </row>
    <row r="55" spans="1:11" ht="18" customHeight="1">
      <c r="A55" s="6" t="s">
        <v>67</v>
      </c>
      <c r="B55" s="381" t="s">
        <v>240</v>
      </c>
      <c r="C55" s="358"/>
      <c r="D55" s="359"/>
      <c r="F55" s="11">
        <v>246892</v>
      </c>
      <c r="G55" s="11">
        <v>137684</v>
      </c>
      <c r="H55" s="12">
        <v>20628725</v>
      </c>
      <c r="I55" s="13"/>
      <c r="J55" s="12">
        <v>10818398</v>
      </c>
      <c r="K55" s="14">
        <f>(H55+I55)-J55</f>
        <v>9810327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360876</v>
      </c>
      <c r="G63" s="19">
        <f t="shared" si="6"/>
        <v>166795</v>
      </c>
      <c r="H63" s="14">
        <f t="shared" si="6"/>
        <v>25462053</v>
      </c>
      <c r="I63" s="14">
        <f t="shared" si="6"/>
        <v>0</v>
      </c>
      <c r="J63" s="14">
        <f>SUM(J52:J61)</f>
        <v>15293281</v>
      </c>
      <c r="K63" s="14">
        <f t="shared" si="6"/>
        <v>10168772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68376</v>
      </c>
      <c r="I77" s="13">
        <v>0</v>
      </c>
      <c r="J77" s="12"/>
      <c r="K77" s="14">
        <f>(H77+I77)-J77</f>
        <v>68376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1082</v>
      </c>
      <c r="G79" s="11">
        <v>2311</v>
      </c>
      <c r="H79" s="12">
        <v>138828</v>
      </c>
      <c r="I79" s="13">
        <v>0</v>
      </c>
      <c r="J79" s="12"/>
      <c r="K79" s="14">
        <f>(H79+I79)-J79</f>
        <v>138828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1082</v>
      </c>
      <c r="G82" s="44">
        <f t="shared" si="9"/>
        <v>2311</v>
      </c>
      <c r="H82" s="45">
        <f t="shared" si="9"/>
        <v>207204</v>
      </c>
      <c r="I82" s="45">
        <f t="shared" si="9"/>
        <v>0</v>
      </c>
      <c r="J82" s="45">
        <f t="shared" si="9"/>
        <v>0</v>
      </c>
      <c r="K82" s="45">
        <f t="shared" si="9"/>
        <v>207204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7858</v>
      </c>
      <c r="G88" s="11">
        <v>12842</v>
      </c>
      <c r="H88" s="12">
        <v>307393</v>
      </c>
      <c r="I88" s="13">
        <v>153696</v>
      </c>
      <c r="J88" s="12">
        <v>100545</v>
      </c>
      <c r="K88" s="14">
        <f t="shared" si="11"/>
        <v>360544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v>2080</v>
      </c>
      <c r="G92" s="46"/>
      <c r="H92" s="47">
        <v>330706</v>
      </c>
      <c r="I92" s="13">
        <v>165353</v>
      </c>
      <c r="J92" s="47"/>
      <c r="K92" s="14">
        <f t="shared" si="11"/>
        <v>496059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9938</v>
      </c>
      <c r="G99" s="19">
        <f t="shared" si="12"/>
        <v>12842</v>
      </c>
      <c r="H99" s="19">
        <f t="shared" si="12"/>
        <v>638099</v>
      </c>
      <c r="I99" s="19">
        <f t="shared" si="12"/>
        <v>319049</v>
      </c>
      <c r="J99" s="19">
        <f t="shared" si="12"/>
        <v>100545</v>
      </c>
      <c r="K99" s="19">
        <f t="shared" si="12"/>
        <v>856603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5870</v>
      </c>
      <c r="G103" s="11"/>
      <c r="H103" s="12">
        <v>258337</v>
      </c>
      <c r="I103" s="13">
        <v>129168</v>
      </c>
      <c r="J103" s="12"/>
      <c r="K103" s="14">
        <f t="shared" ref="K103:K108" si="13">(H103+I103)-J103</f>
        <v>387505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>H104*F$116</f>
        <v>0</v>
      </c>
      <c r="J104" s="12"/>
      <c r="K104" s="14">
        <f t="shared" si="13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>H105*F$116</f>
        <v>0</v>
      </c>
      <c r="J105" s="12"/>
      <c r="K105" s="14">
        <f t="shared" si="13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>H106*F$116</f>
        <v>0</v>
      </c>
      <c r="J106" s="12"/>
      <c r="K106" s="14">
        <f t="shared" si="13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>H107*F$116</f>
        <v>0</v>
      </c>
      <c r="J107" s="12"/>
      <c r="K107" s="14">
        <f t="shared" si="13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>H108*F$116</f>
        <v>0</v>
      </c>
      <c r="J108" s="12"/>
      <c r="K108" s="14">
        <f t="shared" si="13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4">SUM(F103:F108)</f>
        <v>5870</v>
      </c>
      <c r="G110" s="19">
        <f t="shared" si="14"/>
        <v>0</v>
      </c>
      <c r="H110" s="14">
        <f t="shared" si="14"/>
        <v>258337</v>
      </c>
      <c r="I110" s="14">
        <f t="shared" si="14"/>
        <v>129168</v>
      </c>
      <c r="J110" s="14">
        <f t="shared" si="14"/>
        <v>0</v>
      </c>
      <c r="K110" s="14">
        <f t="shared" si="14"/>
        <v>387505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5210626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187255652</v>
      </c>
    </row>
    <row r="120" spans="1:6" ht="18" customHeight="1">
      <c r="B120" s="2" t="s">
        <v>137</v>
      </c>
      <c r="F120" s="12">
        <v>2524326</v>
      </c>
    </row>
    <row r="121" spans="1:6" ht="18" customHeight="1">
      <c r="A121" s="6"/>
      <c r="B121" s="5" t="s">
        <v>138</v>
      </c>
      <c r="F121" s="12">
        <v>189779978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187169454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2610524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-5316598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-2706074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5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5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5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5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5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5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6">SUM(F133:F138)</f>
        <v>0</v>
      </c>
      <c r="G140" s="19">
        <f t="shared" si="16"/>
        <v>0</v>
      </c>
      <c r="H140" s="14">
        <f t="shared" si="16"/>
        <v>0</v>
      </c>
      <c r="I140" s="14">
        <f t="shared" si="16"/>
        <v>0</v>
      </c>
      <c r="J140" s="14">
        <f t="shared" si="16"/>
        <v>0</v>
      </c>
      <c r="K140" s="14">
        <f t="shared" si="16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7">F34</f>
        <v>4050</v>
      </c>
      <c r="G144" s="54">
        <f t="shared" si="17"/>
        <v>9383</v>
      </c>
      <c r="H144" s="54">
        <f t="shared" si="17"/>
        <v>775664</v>
      </c>
      <c r="I144" s="54">
        <f t="shared" si="17"/>
        <v>97932</v>
      </c>
      <c r="J144" s="54">
        <f t="shared" si="17"/>
        <v>18898</v>
      </c>
      <c r="K144" s="54">
        <f t="shared" si="17"/>
        <v>854698</v>
      </c>
    </row>
    <row r="145" spans="1:11" ht="18" customHeight="1">
      <c r="A145" s="6" t="s">
        <v>162</v>
      </c>
      <c r="B145" s="5" t="s">
        <v>163</v>
      </c>
      <c r="F145" s="54">
        <f t="shared" ref="F145:K145" si="18">F48</f>
        <v>12766</v>
      </c>
      <c r="G145" s="54">
        <f t="shared" si="18"/>
        <v>572</v>
      </c>
      <c r="H145" s="54">
        <f t="shared" si="18"/>
        <v>403782</v>
      </c>
      <c r="I145" s="54">
        <f t="shared" si="18"/>
        <v>0</v>
      </c>
      <c r="J145" s="54">
        <f t="shared" si="18"/>
        <v>0</v>
      </c>
      <c r="K145" s="54">
        <f t="shared" si="18"/>
        <v>403782</v>
      </c>
    </row>
    <row r="146" spans="1:11" ht="18" customHeight="1">
      <c r="A146" s="6" t="s">
        <v>164</v>
      </c>
      <c r="B146" s="5" t="s">
        <v>165</v>
      </c>
      <c r="F146" s="54">
        <f t="shared" ref="F146:K146" si="19">F63</f>
        <v>360876</v>
      </c>
      <c r="G146" s="54">
        <f t="shared" si="19"/>
        <v>166795</v>
      </c>
      <c r="H146" s="54">
        <f t="shared" si="19"/>
        <v>25462053</v>
      </c>
      <c r="I146" s="54">
        <f t="shared" si="19"/>
        <v>0</v>
      </c>
      <c r="J146" s="54">
        <f t="shared" si="19"/>
        <v>15293281</v>
      </c>
      <c r="K146" s="54">
        <f t="shared" si="19"/>
        <v>10168772</v>
      </c>
    </row>
    <row r="147" spans="1:11" ht="18" customHeight="1">
      <c r="A147" s="6" t="s">
        <v>166</v>
      </c>
      <c r="B147" s="5" t="s">
        <v>167</v>
      </c>
      <c r="F147" s="54">
        <f t="shared" ref="F147:K147" si="20">F74</f>
        <v>0</v>
      </c>
      <c r="G147" s="54">
        <f t="shared" si="20"/>
        <v>0</v>
      </c>
      <c r="H147" s="54">
        <f t="shared" si="20"/>
        <v>0</v>
      </c>
      <c r="I147" s="54">
        <f t="shared" si="20"/>
        <v>0</v>
      </c>
      <c r="J147" s="54">
        <f t="shared" si="20"/>
        <v>0</v>
      </c>
      <c r="K147" s="54">
        <f t="shared" si="20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1">F82</f>
        <v>1082</v>
      </c>
      <c r="G148" s="54">
        <f t="shared" si="21"/>
        <v>2311</v>
      </c>
      <c r="H148" s="54">
        <f t="shared" si="21"/>
        <v>207204</v>
      </c>
      <c r="I148" s="54">
        <f t="shared" si="21"/>
        <v>0</v>
      </c>
      <c r="J148" s="54">
        <f t="shared" si="21"/>
        <v>0</v>
      </c>
      <c r="K148" s="54">
        <f t="shared" si="21"/>
        <v>207204</v>
      </c>
    </row>
    <row r="149" spans="1:11" ht="18" customHeight="1">
      <c r="A149" s="6" t="s">
        <v>170</v>
      </c>
      <c r="B149" s="5" t="s">
        <v>171</v>
      </c>
      <c r="F149" s="54">
        <f t="shared" ref="F149:K149" si="22">F99</f>
        <v>9938</v>
      </c>
      <c r="G149" s="54">
        <f t="shared" si="22"/>
        <v>12842</v>
      </c>
      <c r="H149" s="54">
        <f t="shared" si="22"/>
        <v>638099</v>
      </c>
      <c r="I149" s="54">
        <f t="shared" si="22"/>
        <v>319049</v>
      </c>
      <c r="J149" s="54">
        <f t="shared" si="22"/>
        <v>100545</v>
      </c>
      <c r="K149" s="54">
        <f t="shared" si="22"/>
        <v>856603</v>
      </c>
    </row>
    <row r="150" spans="1:11" ht="18" customHeight="1">
      <c r="A150" s="6" t="s">
        <v>172</v>
      </c>
      <c r="B150" s="5" t="s">
        <v>173</v>
      </c>
      <c r="F150" s="19">
        <f t="shared" ref="F150:K150" si="23">F110</f>
        <v>5870</v>
      </c>
      <c r="G150" s="19">
        <f t="shared" si="23"/>
        <v>0</v>
      </c>
      <c r="H150" s="19">
        <f t="shared" si="23"/>
        <v>258337</v>
      </c>
      <c r="I150" s="19">
        <f t="shared" si="23"/>
        <v>129168</v>
      </c>
      <c r="J150" s="19">
        <f t="shared" si="23"/>
        <v>0</v>
      </c>
      <c r="K150" s="19">
        <f t="shared" si="23"/>
        <v>387505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5210626</v>
      </c>
    </row>
    <row r="152" spans="1:11" ht="18" customHeight="1">
      <c r="A152" s="6" t="s">
        <v>147</v>
      </c>
      <c r="B152" s="5" t="s">
        <v>177</v>
      </c>
      <c r="F152" s="19">
        <f t="shared" ref="F152:K152" si="24">F140</f>
        <v>0</v>
      </c>
      <c r="G152" s="19">
        <f t="shared" si="24"/>
        <v>0</v>
      </c>
      <c r="H152" s="19">
        <f t="shared" si="24"/>
        <v>0</v>
      </c>
      <c r="I152" s="19">
        <f t="shared" si="24"/>
        <v>0</v>
      </c>
      <c r="J152" s="19">
        <f t="shared" si="24"/>
        <v>0</v>
      </c>
      <c r="K152" s="19">
        <f t="shared" si="24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5">SUM(F144:F152)</f>
        <v>394582</v>
      </c>
      <c r="G154" s="60">
        <f t="shared" si="25"/>
        <v>191903</v>
      </c>
      <c r="H154" s="60">
        <f t="shared" si="25"/>
        <v>27745139</v>
      </c>
      <c r="I154" s="60">
        <f t="shared" si="25"/>
        <v>546149</v>
      </c>
      <c r="J154" s="60">
        <f t="shared" si="25"/>
        <v>15412724</v>
      </c>
      <c r="K154" s="61">
        <f t="shared" si="25"/>
        <v>18089190</v>
      </c>
    </row>
    <row r="156" spans="1:11" ht="18" customHeight="1">
      <c r="B156" s="5" t="s">
        <v>178</v>
      </c>
      <c r="F156" s="62">
        <f>K154/F123</f>
        <v>9.6646058496275791E-2</v>
      </c>
    </row>
    <row r="157" spans="1:11" ht="18" customHeight="1">
      <c r="B157" s="5" t="s">
        <v>179</v>
      </c>
      <c r="F157" s="62">
        <f>K154/F129</f>
        <v>-6.6846619863314896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42" header="0.17" footer="0.17"/>
  <pageSetup scale="60" fitToHeight="4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8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408" t="s">
        <v>241</v>
      </c>
      <c r="D5" s="363"/>
      <c r="E5" s="363"/>
      <c r="F5" s="363"/>
      <c r="G5" s="364"/>
    </row>
    <row r="6" spans="1:11" ht="18" customHeight="1">
      <c r="B6" s="6" t="s">
        <v>4</v>
      </c>
      <c r="C6" s="365">
        <v>210030</v>
      </c>
      <c r="D6" s="366"/>
      <c r="E6" s="366"/>
      <c r="F6" s="366"/>
      <c r="G6" s="367"/>
    </row>
    <row r="7" spans="1:11" ht="18" customHeight="1">
      <c r="B7" s="6" t="s">
        <v>5</v>
      </c>
      <c r="C7" s="368">
        <v>479</v>
      </c>
      <c r="D7" s="369"/>
      <c r="E7" s="369"/>
      <c r="F7" s="369"/>
      <c r="G7" s="370"/>
    </row>
    <row r="9" spans="1:11" ht="18" customHeight="1">
      <c r="B9" s="6" t="s">
        <v>6</v>
      </c>
      <c r="C9" s="408" t="s">
        <v>242</v>
      </c>
      <c r="D9" s="363"/>
      <c r="E9" s="363"/>
      <c r="F9" s="363"/>
      <c r="G9" s="364"/>
    </row>
    <row r="10" spans="1:11" ht="18" customHeight="1">
      <c r="B10" s="6" t="s">
        <v>8</v>
      </c>
      <c r="C10" s="409" t="s">
        <v>243</v>
      </c>
      <c r="D10" s="372"/>
      <c r="E10" s="372"/>
      <c r="F10" s="372"/>
      <c r="G10" s="373"/>
    </row>
    <row r="11" spans="1:11" ht="18" customHeight="1">
      <c r="B11" s="6" t="s">
        <v>10</v>
      </c>
      <c r="C11" s="408" t="s">
        <v>244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218</v>
      </c>
      <c r="G18" s="11">
        <v>1002</v>
      </c>
      <c r="H18" s="12">
        <v>56598</v>
      </c>
      <c r="I18" s="13">
        <f>H18*F$116</f>
        <v>37133.947800000002</v>
      </c>
      <c r="J18" s="12"/>
      <c r="K18" s="14">
        <f t="shared" ref="K18:K32" si="0">(H18+I18)-J18</f>
        <v>93731.947799999994</v>
      </c>
    </row>
    <row r="19" spans="1:11" ht="18" customHeight="1">
      <c r="A19" s="6"/>
      <c r="B19" s="2" t="s">
        <v>23</v>
      </c>
      <c r="F19" s="11">
        <v>204</v>
      </c>
      <c r="G19" s="11">
        <v>675</v>
      </c>
      <c r="H19" s="12">
        <v>8712</v>
      </c>
      <c r="I19" s="13">
        <f>H19*F$116</f>
        <v>5715.9431999999997</v>
      </c>
      <c r="J19" s="12"/>
      <c r="K19" s="14">
        <f t="shared" si="0"/>
        <v>14427.9432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33</v>
      </c>
      <c r="G22" s="11">
        <v>113</v>
      </c>
      <c r="H22" s="12">
        <v>1760</v>
      </c>
      <c r="I22" s="13">
        <f t="shared" si="1"/>
        <v>1154.7360000000001</v>
      </c>
      <c r="J22" s="12"/>
      <c r="K22" s="14">
        <f t="shared" si="0"/>
        <v>2914.7359999999999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/>
      <c r="G26" s="11">
        <v>347</v>
      </c>
      <c r="H26" s="12">
        <v>180546</v>
      </c>
      <c r="I26" s="13">
        <f t="shared" si="1"/>
        <v>118456.23060000001</v>
      </c>
      <c r="J26" s="12"/>
      <c r="K26" s="14">
        <f t="shared" si="0"/>
        <v>299002.23060000001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455</v>
      </c>
      <c r="G34" s="19">
        <f t="shared" si="2"/>
        <v>2137</v>
      </c>
      <c r="H34" s="14">
        <f t="shared" si="2"/>
        <v>247616</v>
      </c>
      <c r="I34" s="14">
        <f t="shared" si="2"/>
        <v>162460.85760000002</v>
      </c>
      <c r="J34" s="14">
        <f t="shared" si="2"/>
        <v>0</v>
      </c>
      <c r="K34" s="14">
        <f t="shared" si="2"/>
        <v>410076.85759999999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f t="shared" ref="I38:I46" si="3">H38*F$116</f>
        <v>0</v>
      </c>
      <c r="J38" s="12"/>
      <c r="K38" s="14">
        <f t="shared" ref="K38:K46" si="4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>
        <v>7</v>
      </c>
      <c r="H39" s="12">
        <v>14062</v>
      </c>
      <c r="I39" s="13">
        <f t="shared" si="3"/>
        <v>9226.0781999999999</v>
      </c>
      <c r="J39" s="12"/>
      <c r="K39" s="14">
        <f t="shared" si="4"/>
        <v>23288.0782</v>
      </c>
    </row>
    <row r="40" spans="1:11" ht="18" customHeight="1">
      <c r="A40" s="6" t="s">
        <v>48</v>
      </c>
      <c r="B40" s="63" t="s">
        <v>49</v>
      </c>
      <c r="F40" s="11">
        <v>132</v>
      </c>
      <c r="G40" s="11">
        <v>108</v>
      </c>
      <c r="H40" s="12">
        <v>8168</v>
      </c>
      <c r="I40" s="13">
        <f t="shared" si="3"/>
        <v>5359.0248000000001</v>
      </c>
      <c r="J40" s="12"/>
      <c r="K40" s="14">
        <f t="shared" si="4"/>
        <v>13527.024799999999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1000</v>
      </c>
      <c r="G41" s="11">
        <v>210</v>
      </c>
      <c r="H41" s="12">
        <v>35168</v>
      </c>
      <c r="I41" s="13">
        <f t="shared" si="3"/>
        <v>23073.7248</v>
      </c>
      <c r="J41" s="12"/>
      <c r="K41" s="14">
        <f t="shared" si="4"/>
        <v>58241.724799999996</v>
      </c>
    </row>
    <row r="42" spans="1:11" ht="18" customHeight="1">
      <c r="A42" s="6" t="s">
        <v>52</v>
      </c>
      <c r="B42" s="63" t="s">
        <v>53</v>
      </c>
      <c r="F42" s="11">
        <v>82</v>
      </c>
      <c r="G42" s="11">
        <v>8</v>
      </c>
      <c r="H42" s="12">
        <v>14108</v>
      </c>
      <c r="I42" s="13">
        <f t="shared" si="3"/>
        <v>9256.2587999999996</v>
      </c>
      <c r="J42" s="12"/>
      <c r="K42" s="14">
        <f t="shared" si="4"/>
        <v>23364.2588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f t="shared" si="3"/>
        <v>0</v>
      </c>
      <c r="J43" s="12"/>
      <c r="K43" s="14">
        <f t="shared" si="4"/>
        <v>0</v>
      </c>
    </row>
    <row r="44" spans="1:11" ht="18" customHeight="1">
      <c r="A44" s="6" t="s">
        <v>55</v>
      </c>
      <c r="B44" s="378" t="s">
        <v>245</v>
      </c>
      <c r="C44" s="379"/>
      <c r="D44" s="380"/>
      <c r="F44" s="11"/>
      <c r="G44" s="11">
        <v>4</v>
      </c>
      <c r="H44" s="12">
        <v>4000</v>
      </c>
      <c r="I44" s="13">
        <f t="shared" si="3"/>
        <v>2624.4</v>
      </c>
      <c r="J44" s="12"/>
      <c r="K44" s="14">
        <f t="shared" si="4"/>
        <v>6624.4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f t="shared" si="3"/>
        <v>0</v>
      </c>
      <c r="J45" s="12"/>
      <c r="K45" s="14">
        <f t="shared" si="4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f t="shared" si="3"/>
        <v>0</v>
      </c>
      <c r="J46" s="12"/>
      <c r="K46" s="14">
        <f t="shared" si="4"/>
        <v>0</v>
      </c>
    </row>
    <row r="48" spans="1:11" ht="18" customHeight="1">
      <c r="E48" s="5" t="s">
        <v>41</v>
      </c>
      <c r="F48" s="25">
        <f t="shared" ref="F48:K48" si="5">SUM(F38:F46)</f>
        <v>1214</v>
      </c>
      <c r="G48" s="25">
        <f t="shared" si="5"/>
        <v>337</v>
      </c>
      <c r="H48" s="14">
        <f t="shared" si="5"/>
        <v>75506</v>
      </c>
      <c r="I48" s="14">
        <f t="shared" si="5"/>
        <v>49539.486599999997</v>
      </c>
      <c r="J48" s="14">
        <f t="shared" si="5"/>
        <v>0</v>
      </c>
      <c r="K48" s="14">
        <f t="shared" si="5"/>
        <v>125045.48659999999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246</v>
      </c>
      <c r="C52" s="385"/>
      <c r="D52" s="359"/>
      <c r="F52" s="11"/>
      <c r="G52" s="11"/>
      <c r="H52" s="12">
        <v>833253</v>
      </c>
      <c r="I52" s="13">
        <f t="shared" ref="I52:I61" si="6">H52*F$116</f>
        <v>546697.29330000002</v>
      </c>
      <c r="J52" s="12">
        <v>-196000</v>
      </c>
      <c r="K52" s="14">
        <f t="shared" ref="K52:K61" si="7">(H52+I52)-J52</f>
        <v>1575950.2933</v>
      </c>
    </row>
    <row r="53" spans="1:11" ht="18" customHeight="1">
      <c r="A53" s="6" t="s">
        <v>63</v>
      </c>
      <c r="B53" s="128" t="s">
        <v>247</v>
      </c>
      <c r="C53" s="28"/>
      <c r="D53" s="29"/>
      <c r="F53" s="11"/>
      <c r="G53" s="11"/>
      <c r="H53" s="12">
        <v>54996</v>
      </c>
      <c r="I53" s="13">
        <f t="shared" si="6"/>
        <v>36082.875599999999</v>
      </c>
      <c r="J53" s="12"/>
      <c r="K53" s="14">
        <f t="shared" si="7"/>
        <v>91078.875599999999</v>
      </c>
    </row>
    <row r="54" spans="1:11" ht="18" customHeight="1">
      <c r="A54" s="6" t="s">
        <v>65</v>
      </c>
      <c r="B54" s="381" t="s">
        <v>248</v>
      </c>
      <c r="C54" s="358"/>
      <c r="D54" s="359"/>
      <c r="F54" s="11"/>
      <c r="G54" s="11"/>
      <c r="H54" s="12">
        <v>52014</v>
      </c>
      <c r="I54" s="13">
        <f t="shared" si="6"/>
        <v>34126.385399999999</v>
      </c>
      <c r="J54" s="12"/>
      <c r="K54" s="14">
        <f t="shared" si="7"/>
        <v>86140.385399999999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f t="shared" si="6"/>
        <v>0</v>
      </c>
      <c r="J55" s="12"/>
      <c r="K55" s="14">
        <f t="shared" si="7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f t="shared" si="6"/>
        <v>0</v>
      </c>
      <c r="J56" s="12"/>
      <c r="K56" s="14">
        <f t="shared" si="7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f t="shared" si="6"/>
        <v>0</v>
      </c>
      <c r="J57" s="12"/>
      <c r="K57" s="14">
        <f t="shared" si="7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f t="shared" si="6"/>
        <v>0</v>
      </c>
      <c r="J58" s="12"/>
      <c r="K58" s="14">
        <f t="shared" si="7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f t="shared" si="6"/>
        <v>0</v>
      </c>
      <c r="J59" s="12"/>
      <c r="K59" s="14">
        <f t="shared" si="7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f t="shared" si="6"/>
        <v>0</v>
      </c>
      <c r="J60" s="12"/>
      <c r="K60" s="14">
        <f t="shared" si="7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f t="shared" si="6"/>
        <v>0</v>
      </c>
      <c r="J61" s="12"/>
      <c r="K61" s="14">
        <f t="shared" si="7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8">SUM(F52:F61)</f>
        <v>0</v>
      </c>
      <c r="G63" s="19">
        <f t="shared" si="8"/>
        <v>0</v>
      </c>
      <c r="H63" s="14">
        <f t="shared" si="8"/>
        <v>940263</v>
      </c>
      <c r="I63" s="14">
        <f t="shared" si="8"/>
        <v>616906.55430000008</v>
      </c>
      <c r="J63" s="14">
        <f t="shared" si="8"/>
        <v>-196000</v>
      </c>
      <c r="K63" s="14">
        <f t="shared" si="8"/>
        <v>1753169.5543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9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9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9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9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9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9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10">SUM(F67:F72)</f>
        <v>0</v>
      </c>
      <c r="G74" s="43">
        <f t="shared" si="10"/>
        <v>0</v>
      </c>
      <c r="H74" s="43">
        <f t="shared" si="10"/>
        <v>0</v>
      </c>
      <c r="I74" s="43">
        <f t="shared" si="10"/>
        <v>0</v>
      </c>
      <c r="J74" s="43">
        <f t="shared" si="10"/>
        <v>0</v>
      </c>
      <c r="K74" s="43">
        <f t="shared" si="10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4100</v>
      </c>
      <c r="I77" s="13">
        <f>H77*F$116</f>
        <v>2690.01</v>
      </c>
      <c r="J77" s="12"/>
      <c r="K77" s="14">
        <f>(H77+I77)-J77</f>
        <v>6790.01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f>H78*F$116</f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>
        <v>8420</v>
      </c>
      <c r="I79" s="13">
        <f>H79*F$116</f>
        <v>5524.3620000000001</v>
      </c>
      <c r="J79" s="12"/>
      <c r="K79" s="14">
        <f>(H79+I79)-J79</f>
        <v>13944.362000000001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f>H80*F$116</f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1">SUM(F77:F80)</f>
        <v>0</v>
      </c>
      <c r="G82" s="44">
        <f t="shared" si="11"/>
        <v>0</v>
      </c>
      <c r="H82" s="45">
        <f t="shared" si="11"/>
        <v>12520</v>
      </c>
      <c r="I82" s="45">
        <f t="shared" si="11"/>
        <v>8214.3719999999994</v>
      </c>
      <c r="J82" s="45">
        <f t="shared" si="11"/>
        <v>0</v>
      </c>
      <c r="K82" s="45">
        <f t="shared" si="11"/>
        <v>20734.372000000003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2">H86*F$116</f>
        <v>0</v>
      </c>
      <c r="J86" s="12"/>
      <c r="K86" s="14">
        <f t="shared" ref="K86:K97" si="13">(H86+I86)-J86</f>
        <v>0</v>
      </c>
    </row>
    <row r="87" spans="1:11" ht="18" customHeight="1">
      <c r="A87" s="6" t="s">
        <v>102</v>
      </c>
      <c r="B87" s="63" t="s">
        <v>103</v>
      </c>
      <c r="F87" s="11">
        <v>48</v>
      </c>
      <c r="G87" s="11"/>
      <c r="H87" s="12">
        <v>5250</v>
      </c>
      <c r="I87" s="13">
        <f t="shared" si="12"/>
        <v>3444.5250000000001</v>
      </c>
      <c r="J87" s="12"/>
      <c r="K87" s="14">
        <f t="shared" si="13"/>
        <v>8694.5249999999996</v>
      </c>
    </row>
    <row r="88" spans="1:11" ht="18" customHeight="1">
      <c r="A88" s="6" t="s">
        <v>104</v>
      </c>
      <c r="B88" s="63" t="s">
        <v>105</v>
      </c>
      <c r="F88" s="11">
        <v>768</v>
      </c>
      <c r="G88" s="11"/>
      <c r="H88" s="12">
        <v>25793</v>
      </c>
      <c r="I88" s="13">
        <f t="shared" si="12"/>
        <v>16922.7873</v>
      </c>
      <c r="J88" s="12"/>
      <c r="K88" s="14">
        <f t="shared" si="13"/>
        <v>42715.787299999996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2"/>
        <v>0</v>
      </c>
      <c r="J89" s="12"/>
      <c r="K89" s="14">
        <f t="shared" si="13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2"/>
        <v>0</v>
      </c>
      <c r="J90" s="12"/>
      <c r="K90" s="14">
        <f t="shared" si="13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2"/>
        <v>0</v>
      </c>
      <c r="J91" s="12"/>
      <c r="K91" s="14">
        <f t="shared" si="13"/>
        <v>0</v>
      </c>
    </row>
    <row r="92" spans="1:11" ht="18" customHeight="1">
      <c r="A92" s="6" t="s">
        <v>112</v>
      </c>
      <c r="B92" s="63" t="s">
        <v>113</v>
      </c>
      <c r="F92" s="46">
        <v>99</v>
      </c>
      <c r="G92" s="46"/>
      <c r="H92" s="47">
        <v>159348</v>
      </c>
      <c r="I92" s="13">
        <f t="shared" si="12"/>
        <v>104548.2228</v>
      </c>
      <c r="J92" s="47"/>
      <c r="K92" s="14">
        <f t="shared" si="13"/>
        <v>263896.22279999999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2"/>
        <v>0</v>
      </c>
      <c r="J93" s="12"/>
      <c r="K93" s="14">
        <f t="shared" si="13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2"/>
        <v>0</v>
      </c>
      <c r="J94" s="12"/>
      <c r="K94" s="14">
        <f t="shared" si="13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2"/>
        <v>0</v>
      </c>
      <c r="J95" s="12"/>
      <c r="K95" s="14">
        <f t="shared" si="13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2"/>
        <v>0</v>
      </c>
      <c r="J96" s="12"/>
      <c r="K96" s="14">
        <f t="shared" si="13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2"/>
        <v>0</v>
      </c>
      <c r="J97" s="12"/>
      <c r="K97" s="14">
        <f t="shared" si="13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4">SUM(F86:F97)</f>
        <v>915</v>
      </c>
      <c r="G99" s="19">
        <f t="shared" si="14"/>
        <v>0</v>
      </c>
      <c r="H99" s="19">
        <f t="shared" si="14"/>
        <v>190391</v>
      </c>
      <c r="I99" s="19">
        <f t="shared" si="14"/>
        <v>124915.53510000001</v>
      </c>
      <c r="J99" s="19">
        <f t="shared" si="14"/>
        <v>0</v>
      </c>
      <c r="K99" s="19">
        <f t="shared" si="14"/>
        <v>315306.53509999998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5">H103*F$116</f>
        <v>0</v>
      </c>
      <c r="J103" s="12"/>
      <c r="K103" s="14">
        <f t="shared" ref="K103:K108" si="16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5"/>
        <v>0</v>
      </c>
      <c r="J104" s="12"/>
      <c r="K104" s="14">
        <f t="shared" si="16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5"/>
        <v>0</v>
      </c>
      <c r="J105" s="12"/>
      <c r="K105" s="14">
        <f t="shared" si="16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5"/>
        <v>0</v>
      </c>
      <c r="J106" s="12"/>
      <c r="K106" s="14">
        <f t="shared" si="16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5"/>
        <v>0</v>
      </c>
      <c r="J107" s="12"/>
      <c r="K107" s="14">
        <f t="shared" si="16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5"/>
        <v>0</v>
      </c>
      <c r="J108" s="12"/>
      <c r="K108" s="14">
        <f t="shared" si="16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7">SUM(F103:F108)</f>
        <v>0</v>
      </c>
      <c r="G110" s="19">
        <f t="shared" si="17"/>
        <v>0</v>
      </c>
      <c r="H110" s="14">
        <f t="shared" si="17"/>
        <v>0</v>
      </c>
      <c r="I110" s="14">
        <f t="shared" si="17"/>
        <v>0</v>
      </c>
      <c r="J110" s="14">
        <f t="shared" si="17"/>
        <v>0</v>
      </c>
      <c r="K110" s="14">
        <f t="shared" si="17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2825000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0.65610000000000002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55736919</v>
      </c>
    </row>
    <row r="120" spans="1:6" ht="18" customHeight="1">
      <c r="B120" s="2" t="s">
        <v>137</v>
      </c>
      <c r="F120" s="12">
        <v>742259</v>
      </c>
    </row>
    <row r="121" spans="1:6" ht="18" customHeight="1">
      <c r="A121" s="6"/>
      <c r="B121" s="5" t="s">
        <v>138</v>
      </c>
      <c r="F121" s="12">
        <f>+F119+F120</f>
        <v>56479178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56362775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116403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-44307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72096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8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8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8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8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8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8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9">SUM(F133:F138)</f>
        <v>0</v>
      </c>
      <c r="G140" s="19">
        <f t="shared" si="19"/>
        <v>0</v>
      </c>
      <c r="H140" s="14">
        <f t="shared" si="19"/>
        <v>0</v>
      </c>
      <c r="I140" s="14">
        <f t="shared" si="19"/>
        <v>0</v>
      </c>
      <c r="J140" s="14">
        <f t="shared" si="19"/>
        <v>0</v>
      </c>
      <c r="K140" s="14">
        <f t="shared" si="19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20">F34</f>
        <v>455</v>
      </c>
      <c r="G144" s="54">
        <f t="shared" si="20"/>
        <v>2137</v>
      </c>
      <c r="H144" s="54">
        <f t="shared" si="20"/>
        <v>247616</v>
      </c>
      <c r="I144" s="54">
        <f t="shared" si="20"/>
        <v>162460.85760000002</v>
      </c>
      <c r="J144" s="54">
        <f t="shared" si="20"/>
        <v>0</v>
      </c>
      <c r="K144" s="54">
        <f t="shared" si="20"/>
        <v>410076.85759999999</v>
      </c>
    </row>
    <row r="145" spans="1:11" ht="18" customHeight="1">
      <c r="A145" s="6" t="s">
        <v>162</v>
      </c>
      <c r="B145" s="5" t="s">
        <v>163</v>
      </c>
      <c r="F145" s="54">
        <f t="shared" ref="F145:K145" si="21">F48</f>
        <v>1214</v>
      </c>
      <c r="G145" s="54">
        <f t="shared" si="21"/>
        <v>337</v>
      </c>
      <c r="H145" s="54">
        <f t="shared" si="21"/>
        <v>75506</v>
      </c>
      <c r="I145" s="54">
        <f t="shared" si="21"/>
        <v>49539.486599999997</v>
      </c>
      <c r="J145" s="54">
        <f t="shared" si="21"/>
        <v>0</v>
      </c>
      <c r="K145" s="54">
        <f t="shared" si="21"/>
        <v>125045.48659999999</v>
      </c>
    </row>
    <row r="146" spans="1:11" ht="18" customHeight="1">
      <c r="A146" s="6" t="s">
        <v>164</v>
      </c>
      <c r="B146" s="5" t="s">
        <v>165</v>
      </c>
      <c r="F146" s="54">
        <f t="shared" ref="F146:K146" si="22">F63</f>
        <v>0</v>
      </c>
      <c r="G146" s="54">
        <f t="shared" si="22"/>
        <v>0</v>
      </c>
      <c r="H146" s="54">
        <f t="shared" si="22"/>
        <v>940263</v>
      </c>
      <c r="I146" s="54">
        <f t="shared" si="22"/>
        <v>616906.55430000008</v>
      </c>
      <c r="J146" s="54">
        <f t="shared" si="22"/>
        <v>-196000</v>
      </c>
      <c r="K146" s="54">
        <f t="shared" si="22"/>
        <v>1753169.5543</v>
      </c>
    </row>
    <row r="147" spans="1:11" ht="18" customHeight="1">
      <c r="A147" s="6" t="s">
        <v>166</v>
      </c>
      <c r="B147" s="5" t="s">
        <v>167</v>
      </c>
      <c r="F147" s="54">
        <f t="shared" ref="F147:K147" si="23">F74</f>
        <v>0</v>
      </c>
      <c r="G147" s="54">
        <f t="shared" si="23"/>
        <v>0</v>
      </c>
      <c r="H147" s="54">
        <f t="shared" si="23"/>
        <v>0</v>
      </c>
      <c r="I147" s="54">
        <f t="shared" si="23"/>
        <v>0</v>
      </c>
      <c r="J147" s="54">
        <f t="shared" si="23"/>
        <v>0</v>
      </c>
      <c r="K147" s="54">
        <f t="shared" si="23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4">F82</f>
        <v>0</v>
      </c>
      <c r="G148" s="54">
        <f t="shared" si="24"/>
        <v>0</v>
      </c>
      <c r="H148" s="54">
        <f t="shared" si="24"/>
        <v>12520</v>
      </c>
      <c r="I148" s="54">
        <f t="shared" si="24"/>
        <v>8214.3719999999994</v>
      </c>
      <c r="J148" s="54">
        <f t="shared" si="24"/>
        <v>0</v>
      </c>
      <c r="K148" s="54">
        <f t="shared" si="24"/>
        <v>20734.372000000003</v>
      </c>
    </row>
    <row r="149" spans="1:11" ht="18" customHeight="1">
      <c r="A149" s="6" t="s">
        <v>170</v>
      </c>
      <c r="B149" s="5" t="s">
        <v>171</v>
      </c>
      <c r="F149" s="54">
        <f t="shared" ref="F149:K149" si="25">F99</f>
        <v>915</v>
      </c>
      <c r="G149" s="54">
        <f t="shared" si="25"/>
        <v>0</v>
      </c>
      <c r="H149" s="54">
        <f t="shared" si="25"/>
        <v>190391</v>
      </c>
      <c r="I149" s="54">
        <f t="shared" si="25"/>
        <v>124915.53510000001</v>
      </c>
      <c r="J149" s="54">
        <f t="shared" si="25"/>
        <v>0</v>
      </c>
      <c r="K149" s="54">
        <f t="shared" si="25"/>
        <v>315306.53509999998</v>
      </c>
    </row>
    <row r="150" spans="1:11" ht="18" customHeight="1">
      <c r="A150" s="6" t="s">
        <v>172</v>
      </c>
      <c r="B150" s="5" t="s">
        <v>173</v>
      </c>
      <c r="F150" s="19">
        <f t="shared" ref="F150:K150" si="26">F110</f>
        <v>0</v>
      </c>
      <c r="G150" s="19">
        <f t="shared" si="26"/>
        <v>0</v>
      </c>
      <c r="H150" s="19">
        <f t="shared" si="26"/>
        <v>0</v>
      </c>
      <c r="I150" s="19">
        <f t="shared" si="26"/>
        <v>0</v>
      </c>
      <c r="J150" s="19">
        <f t="shared" si="26"/>
        <v>0</v>
      </c>
      <c r="K150" s="19">
        <f t="shared" si="26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2825000</v>
      </c>
    </row>
    <row r="152" spans="1:11" ht="18" customHeight="1">
      <c r="A152" s="6" t="s">
        <v>147</v>
      </c>
      <c r="B152" s="5" t="s">
        <v>177</v>
      </c>
      <c r="F152" s="19">
        <f t="shared" ref="F152:K152" si="27">F140</f>
        <v>0</v>
      </c>
      <c r="G152" s="19">
        <f t="shared" si="27"/>
        <v>0</v>
      </c>
      <c r="H152" s="19">
        <f t="shared" si="27"/>
        <v>0</v>
      </c>
      <c r="I152" s="19">
        <f t="shared" si="27"/>
        <v>0</v>
      </c>
      <c r="J152" s="19">
        <f t="shared" si="27"/>
        <v>0</v>
      </c>
      <c r="K152" s="19">
        <f t="shared" si="27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8">SUM(F144:F152)</f>
        <v>2584</v>
      </c>
      <c r="G154" s="60">
        <f t="shared" si="28"/>
        <v>2474</v>
      </c>
      <c r="H154" s="60">
        <f t="shared" si="28"/>
        <v>1466296</v>
      </c>
      <c r="I154" s="60">
        <f t="shared" si="28"/>
        <v>962036.80560000008</v>
      </c>
      <c r="J154" s="60">
        <f t="shared" si="28"/>
        <v>-196000</v>
      </c>
      <c r="K154" s="61">
        <f t="shared" si="28"/>
        <v>5449332.8056000005</v>
      </c>
    </row>
    <row r="156" spans="1:11" ht="18" customHeight="1">
      <c r="B156" s="5" t="s">
        <v>178</v>
      </c>
      <c r="F156" s="62">
        <f>K154/F123</f>
        <v>9.6683188604535536E-2</v>
      </c>
    </row>
    <row r="157" spans="1:11" ht="18" customHeight="1">
      <c r="B157" s="5" t="s">
        <v>179</v>
      </c>
      <c r="F157" s="62">
        <f>K154/F129</f>
        <v>75.584398657345773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249</v>
      </c>
      <c r="D5" s="363"/>
      <c r="E5" s="363"/>
      <c r="F5" s="363"/>
      <c r="G5" s="364"/>
    </row>
    <row r="6" spans="1:11" ht="18" customHeight="1">
      <c r="B6" s="6" t="s">
        <v>4</v>
      </c>
      <c r="C6" s="365">
        <v>35</v>
      </c>
      <c r="D6" s="366"/>
      <c r="E6" s="366"/>
      <c r="F6" s="366"/>
      <c r="G6" s="367"/>
    </row>
    <row r="7" spans="1:11" ht="18" customHeight="1">
      <c r="B7" s="6" t="s">
        <v>5</v>
      </c>
      <c r="C7" s="368">
        <v>674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250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251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252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846.8</v>
      </c>
      <c r="G18" s="11">
        <v>4977</v>
      </c>
      <c r="H18" s="12">
        <v>122634</v>
      </c>
      <c r="I18" s="13">
        <v>93179</v>
      </c>
      <c r="J18" s="12">
        <v>5704</v>
      </c>
      <c r="K18" s="14">
        <f t="shared" ref="K18:K32" si="0">(H18+I18)-J18</f>
        <v>210109</v>
      </c>
    </row>
    <row r="19" spans="1:11" ht="18" customHeight="1">
      <c r="A19" s="6"/>
      <c r="B19" s="2" t="s">
        <v>23</v>
      </c>
      <c r="F19" s="11"/>
      <c r="G19" s="11"/>
      <c r="H19" s="12"/>
      <c r="I19" s="13"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240</v>
      </c>
      <c r="G21" s="11">
        <v>1013</v>
      </c>
      <c r="H21" s="12">
        <v>39122</v>
      </c>
      <c r="I21" s="13">
        <v>29369</v>
      </c>
      <c r="J21" s="12">
        <v>4639</v>
      </c>
      <c r="K21" s="14">
        <f t="shared" si="0"/>
        <v>63852</v>
      </c>
    </row>
    <row r="22" spans="1:11" ht="18" customHeight="1">
      <c r="A22" s="6"/>
      <c r="B22" s="2" t="s">
        <v>27</v>
      </c>
      <c r="F22" s="11"/>
      <c r="G22" s="11"/>
      <c r="H22" s="12"/>
      <c r="I22" s="13">
        <v>0</v>
      </c>
      <c r="J22" s="12"/>
      <c r="K22" s="14">
        <f t="shared" si="0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163.5</v>
      </c>
      <c r="G26" s="11">
        <v>137</v>
      </c>
      <c r="H26" s="12">
        <v>6039</v>
      </c>
      <c r="I26" s="13">
        <v>4566</v>
      </c>
      <c r="J26" s="12">
        <v>0</v>
      </c>
      <c r="K26" s="14">
        <f t="shared" si="0"/>
        <v>10605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/>
      <c r="J27" s="12"/>
      <c r="K27" s="14">
        <f>(H27+I27)-J27</f>
        <v>0</v>
      </c>
    </row>
    <row r="28" spans="1:11" ht="18" customHeight="1">
      <c r="A28" s="6" t="s">
        <v>35</v>
      </c>
      <c r="B28" s="378"/>
      <c r="C28" s="379"/>
      <c r="D28" s="380"/>
      <c r="F28" s="11">
        <v>132</v>
      </c>
      <c r="G28" s="11">
        <v>0</v>
      </c>
      <c r="H28" s="12">
        <v>3578</v>
      </c>
      <c r="I28" s="13">
        <v>2716</v>
      </c>
      <c r="J28" s="12"/>
      <c r="K28" s="14">
        <f>(H28+I28)-J28</f>
        <v>6294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1382.3</v>
      </c>
      <c r="G34" s="19">
        <f t="shared" si="1"/>
        <v>6127</v>
      </c>
      <c r="H34" s="14">
        <f t="shared" si="1"/>
        <v>171373</v>
      </c>
      <c r="I34" s="14">
        <f t="shared" si="1"/>
        <v>129830</v>
      </c>
      <c r="J34" s="14">
        <f t="shared" si="1"/>
        <v>10343</v>
      </c>
      <c r="K34" s="14">
        <f t="shared" si="1"/>
        <v>290860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2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6596</v>
      </c>
      <c r="G39" s="11">
        <v>176</v>
      </c>
      <c r="H39" s="12">
        <v>164280</v>
      </c>
      <c r="I39" s="13">
        <v>0</v>
      </c>
      <c r="J39" s="12"/>
      <c r="K39" s="14">
        <f t="shared" si="2"/>
        <v>164280</v>
      </c>
    </row>
    <row r="40" spans="1:11" ht="18" customHeight="1">
      <c r="A40" s="6" t="s">
        <v>48</v>
      </c>
      <c r="B40" s="63" t="s">
        <v>49</v>
      </c>
      <c r="F40" s="11">
        <v>2750</v>
      </c>
      <c r="G40" s="11">
        <v>41</v>
      </c>
      <c r="H40" s="12">
        <v>85598</v>
      </c>
      <c r="I40" s="13">
        <v>0</v>
      </c>
      <c r="J40" s="12"/>
      <c r="K40" s="14">
        <f t="shared" si="2"/>
        <v>85598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92.5</v>
      </c>
      <c r="G42" s="11">
        <v>104</v>
      </c>
      <c r="H42" s="12">
        <v>2675</v>
      </c>
      <c r="I42" s="13">
        <v>0</v>
      </c>
      <c r="J42" s="12"/>
      <c r="K42" s="14">
        <f t="shared" si="2"/>
        <v>2675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9438.5</v>
      </c>
      <c r="G48" s="25">
        <f t="shared" si="3"/>
        <v>321</v>
      </c>
      <c r="H48" s="14">
        <f t="shared" si="3"/>
        <v>252553</v>
      </c>
      <c r="I48" s="14">
        <f t="shared" si="3"/>
        <v>0</v>
      </c>
      <c r="J48" s="14">
        <f t="shared" si="3"/>
        <v>0</v>
      </c>
      <c r="K48" s="14">
        <f t="shared" si="3"/>
        <v>252553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185</v>
      </c>
      <c r="C52" s="385"/>
      <c r="D52" s="359"/>
      <c r="F52" s="11">
        <v>20</v>
      </c>
      <c r="G52" s="11">
        <v>0</v>
      </c>
      <c r="H52" s="12">
        <v>12931</v>
      </c>
      <c r="I52" s="13">
        <v>0</v>
      </c>
      <c r="J52" s="12">
        <v>0</v>
      </c>
      <c r="K52" s="14">
        <f t="shared" ref="K52:K61" si="4">(H52+I52)-J52</f>
        <v>12931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4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4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4"/>
        <v>0</v>
      </c>
    </row>
    <row r="56" spans="1:11" ht="18" customHeight="1">
      <c r="A56" s="6" t="s">
        <v>69</v>
      </c>
      <c r="B56" s="381" t="s">
        <v>253</v>
      </c>
      <c r="C56" s="358"/>
      <c r="D56" s="359"/>
      <c r="F56" s="11">
        <v>200</v>
      </c>
      <c r="G56" s="11">
        <v>4</v>
      </c>
      <c r="H56" s="12">
        <v>1154683</v>
      </c>
      <c r="I56" s="13">
        <v>0</v>
      </c>
      <c r="J56" s="12">
        <v>964858</v>
      </c>
      <c r="K56" s="14">
        <f t="shared" si="4"/>
        <v>189825</v>
      </c>
    </row>
    <row r="57" spans="1:11" ht="18" customHeight="1">
      <c r="A57" s="6" t="s">
        <v>71</v>
      </c>
      <c r="B57" s="27" t="s">
        <v>254</v>
      </c>
      <c r="C57" s="28"/>
      <c r="D57" s="29"/>
      <c r="F57" s="11">
        <v>1</v>
      </c>
      <c r="G57" s="11">
        <v>0</v>
      </c>
      <c r="H57" s="12">
        <v>12004</v>
      </c>
      <c r="I57" s="13">
        <v>0</v>
      </c>
      <c r="J57" s="12">
        <v>0</v>
      </c>
      <c r="K57" s="14">
        <f t="shared" si="4"/>
        <v>12004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4"/>
        <v>0</v>
      </c>
    </row>
    <row r="59" spans="1:11" ht="18" customHeight="1">
      <c r="A59" s="6" t="s">
        <v>75</v>
      </c>
      <c r="B59" s="27" t="s">
        <v>255</v>
      </c>
      <c r="C59" s="28"/>
      <c r="D59" s="29"/>
      <c r="F59" s="11">
        <v>0</v>
      </c>
      <c r="G59" s="11">
        <v>0</v>
      </c>
      <c r="H59" s="12">
        <v>1500</v>
      </c>
      <c r="I59" s="13">
        <v>0</v>
      </c>
      <c r="J59" s="12">
        <v>0</v>
      </c>
      <c r="K59" s="14">
        <f t="shared" si="4"/>
        <v>1500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221</v>
      </c>
      <c r="G63" s="19">
        <f t="shared" si="5"/>
        <v>4</v>
      </c>
      <c r="H63" s="14">
        <f t="shared" si="5"/>
        <v>1181118</v>
      </c>
      <c r="I63" s="14">
        <f t="shared" si="5"/>
        <v>0</v>
      </c>
      <c r="J63" s="14">
        <f t="shared" si="5"/>
        <v>964858</v>
      </c>
      <c r="K63" s="14">
        <f t="shared" si="5"/>
        <v>216260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0</v>
      </c>
      <c r="G74" s="43">
        <f t="shared" si="7"/>
        <v>0</v>
      </c>
      <c r="H74" s="43">
        <f t="shared" si="7"/>
        <v>0</v>
      </c>
      <c r="I74" s="43">
        <f t="shared" si="7"/>
        <v>0</v>
      </c>
      <c r="J74" s="43">
        <f t="shared" si="7"/>
        <v>0</v>
      </c>
      <c r="K74" s="43">
        <f t="shared" si="7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11</v>
      </c>
      <c r="G77" s="11">
        <v>219</v>
      </c>
      <c r="H77" s="12">
        <v>1852</v>
      </c>
      <c r="I77" s="13">
        <v>0</v>
      </c>
      <c r="J77" s="12">
        <v>0</v>
      </c>
      <c r="K77" s="14">
        <f>(H77+I77)-J77</f>
        <v>1852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>
        <v>0</v>
      </c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539</v>
      </c>
      <c r="G79" s="11">
        <v>12103</v>
      </c>
      <c r="H79" s="12">
        <v>37687</v>
      </c>
      <c r="I79" s="13">
        <v>199</v>
      </c>
      <c r="J79" s="12">
        <v>0</v>
      </c>
      <c r="K79" s="14">
        <f>(H79+I79)-J79</f>
        <v>37886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>
        <v>0</v>
      </c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550</v>
      </c>
      <c r="G82" s="44">
        <f t="shared" si="8"/>
        <v>12322</v>
      </c>
      <c r="H82" s="45">
        <f t="shared" si="8"/>
        <v>39539</v>
      </c>
      <c r="I82" s="45">
        <f t="shared" si="8"/>
        <v>199</v>
      </c>
      <c r="J82" s="45">
        <f t="shared" si="8"/>
        <v>0</v>
      </c>
      <c r="K82" s="45">
        <f t="shared" si="8"/>
        <v>39738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11</v>
      </c>
      <c r="G87" s="11">
        <v>0</v>
      </c>
      <c r="H87" s="12">
        <v>438</v>
      </c>
      <c r="I87" s="13">
        <v>333</v>
      </c>
      <c r="J87" s="12">
        <v>0</v>
      </c>
      <c r="K87" s="14">
        <f t="shared" si="9"/>
        <v>771</v>
      </c>
    </row>
    <row r="88" spans="1:11" ht="18" customHeight="1">
      <c r="A88" s="6" t="s">
        <v>104</v>
      </c>
      <c r="B88" s="63" t="s">
        <v>105</v>
      </c>
      <c r="F88" s="11">
        <v>586</v>
      </c>
      <c r="G88" s="11">
        <v>85</v>
      </c>
      <c r="H88" s="12">
        <v>25281</v>
      </c>
      <c r="I88" s="13">
        <v>19209</v>
      </c>
      <c r="J88" s="12">
        <v>0</v>
      </c>
      <c r="K88" s="14">
        <f t="shared" si="9"/>
        <v>44490</v>
      </c>
    </row>
    <row r="89" spans="1:11" ht="18" customHeight="1">
      <c r="A89" s="6" t="s">
        <v>106</v>
      </c>
      <c r="B89" s="63" t="s">
        <v>107</v>
      </c>
      <c r="F89" s="11">
        <v>15</v>
      </c>
      <c r="G89" s="11">
        <v>0</v>
      </c>
      <c r="H89" s="12">
        <v>711</v>
      </c>
      <c r="I89" s="13">
        <v>540</v>
      </c>
      <c r="J89" s="12">
        <v>0</v>
      </c>
      <c r="K89" s="14">
        <f t="shared" si="9"/>
        <v>1251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v>0</v>
      </c>
      <c r="J90" s="12">
        <v>0</v>
      </c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35.5</v>
      </c>
      <c r="G91" s="11">
        <v>75</v>
      </c>
      <c r="H91" s="12">
        <v>1608</v>
      </c>
      <c r="I91" s="13">
        <v>1067</v>
      </c>
      <c r="J91" s="12">
        <v>0</v>
      </c>
      <c r="K91" s="14">
        <f t="shared" si="9"/>
        <v>2675</v>
      </c>
    </row>
    <row r="92" spans="1:11" ht="18" customHeight="1">
      <c r="A92" s="6" t="s">
        <v>112</v>
      </c>
      <c r="B92" s="63" t="s">
        <v>113</v>
      </c>
      <c r="F92" s="46">
        <v>19</v>
      </c>
      <c r="G92" s="46">
        <v>1</v>
      </c>
      <c r="H92" s="47">
        <v>754</v>
      </c>
      <c r="I92" s="13">
        <v>571</v>
      </c>
      <c r="J92" s="47">
        <v>0</v>
      </c>
      <c r="K92" s="14">
        <f t="shared" si="9"/>
        <v>1325</v>
      </c>
    </row>
    <row r="93" spans="1:11" ht="18" customHeight="1">
      <c r="A93" s="6" t="s">
        <v>114</v>
      </c>
      <c r="B93" s="63" t="s">
        <v>115</v>
      </c>
      <c r="F93" s="11">
        <v>132</v>
      </c>
      <c r="G93" s="11">
        <v>3</v>
      </c>
      <c r="H93" s="12">
        <v>366541</v>
      </c>
      <c r="I93" s="13">
        <v>278565</v>
      </c>
      <c r="J93" s="12">
        <v>0</v>
      </c>
      <c r="K93" s="14">
        <f t="shared" si="9"/>
        <v>645106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/>
      <c r="J94" s="12"/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>
        <v>20</v>
      </c>
      <c r="G95" s="11">
        <v>2</v>
      </c>
      <c r="H95" s="12">
        <v>808</v>
      </c>
      <c r="I95" s="13">
        <v>613</v>
      </c>
      <c r="J95" s="12">
        <v>0</v>
      </c>
      <c r="K95" s="14">
        <f t="shared" si="9"/>
        <v>1421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818.5</v>
      </c>
      <c r="G99" s="19">
        <f t="shared" si="10"/>
        <v>166</v>
      </c>
      <c r="H99" s="19">
        <f t="shared" si="10"/>
        <v>396141</v>
      </c>
      <c r="I99" s="19">
        <f t="shared" si="10"/>
        <v>300898</v>
      </c>
      <c r="J99" s="19">
        <f t="shared" si="10"/>
        <v>0</v>
      </c>
      <c r="K99" s="19">
        <f t="shared" si="10"/>
        <v>697039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v>0</v>
      </c>
      <c r="J103" s="12">
        <v>0</v>
      </c>
      <c r="K103" s="14">
        <f t="shared" ref="K103:K108" si="11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/>
      <c r="J105" s="12"/>
      <c r="K105" s="14">
        <f t="shared" si="11"/>
        <v>0</v>
      </c>
    </row>
    <row r="106" spans="1:11" ht="18" customHeight="1">
      <c r="A106" s="6" t="s">
        <v>125</v>
      </c>
      <c r="B106" s="381"/>
      <c r="C106" s="358"/>
      <c r="D106" s="359"/>
      <c r="F106" s="11">
        <v>2866</v>
      </c>
      <c r="G106" s="11">
        <v>1</v>
      </c>
      <c r="H106" s="12">
        <v>83503</v>
      </c>
      <c r="I106" s="13">
        <v>63460</v>
      </c>
      <c r="J106" s="12">
        <v>0</v>
      </c>
      <c r="K106" s="14">
        <f t="shared" si="11"/>
        <v>146963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2866</v>
      </c>
      <c r="G110" s="19">
        <f t="shared" si="12"/>
        <v>1</v>
      </c>
      <c r="H110" s="14">
        <f t="shared" si="12"/>
        <v>83503</v>
      </c>
      <c r="I110" s="14">
        <f t="shared" si="12"/>
        <v>63460</v>
      </c>
      <c r="J110" s="14">
        <f t="shared" si="12"/>
        <v>0</v>
      </c>
      <c r="K110" s="14">
        <f t="shared" si="12"/>
        <v>146963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1727048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f>I154/H154</f>
        <v>0.23273736752239757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97519123.86999999</v>
      </c>
    </row>
    <row r="120" spans="1:6" ht="18" customHeight="1">
      <c r="B120" s="2" t="s">
        <v>137</v>
      </c>
      <c r="F120" s="12">
        <v>3772787</v>
      </c>
    </row>
    <row r="121" spans="1:6" ht="18" customHeight="1">
      <c r="A121" s="6"/>
      <c r="B121" s="5" t="s">
        <v>138</v>
      </c>
      <c r="F121" s="12">
        <f>+F119+F120</f>
        <v>101291910.86999999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103915231.12000002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-2623320.2500000298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576314.84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-2047005.41000003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1382.3</v>
      </c>
      <c r="G144" s="54">
        <f t="shared" si="15"/>
        <v>6127</v>
      </c>
      <c r="H144" s="54">
        <f t="shared" si="15"/>
        <v>171373</v>
      </c>
      <c r="I144" s="54">
        <f t="shared" si="15"/>
        <v>129830</v>
      </c>
      <c r="J144" s="54">
        <f t="shared" si="15"/>
        <v>10343</v>
      </c>
      <c r="K144" s="54">
        <f t="shared" si="15"/>
        <v>290860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9438.5</v>
      </c>
      <c r="G145" s="54">
        <f t="shared" si="16"/>
        <v>321</v>
      </c>
      <c r="H145" s="54">
        <f t="shared" si="16"/>
        <v>252553</v>
      </c>
      <c r="I145" s="54">
        <f t="shared" si="16"/>
        <v>0</v>
      </c>
      <c r="J145" s="54">
        <f t="shared" si="16"/>
        <v>0</v>
      </c>
      <c r="K145" s="54">
        <f t="shared" si="16"/>
        <v>252553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221</v>
      </c>
      <c r="G146" s="54">
        <f t="shared" si="17"/>
        <v>4</v>
      </c>
      <c r="H146" s="54">
        <f t="shared" si="17"/>
        <v>1181118</v>
      </c>
      <c r="I146" s="54">
        <f t="shared" si="17"/>
        <v>0</v>
      </c>
      <c r="J146" s="54">
        <f t="shared" si="17"/>
        <v>964858</v>
      </c>
      <c r="K146" s="54">
        <f t="shared" si="17"/>
        <v>216260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0</v>
      </c>
      <c r="G147" s="54">
        <f t="shared" si="18"/>
        <v>0</v>
      </c>
      <c r="H147" s="54">
        <f t="shared" si="18"/>
        <v>0</v>
      </c>
      <c r="I147" s="54">
        <f t="shared" si="18"/>
        <v>0</v>
      </c>
      <c r="J147" s="54">
        <f t="shared" si="18"/>
        <v>0</v>
      </c>
      <c r="K147" s="54">
        <f t="shared" si="18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550</v>
      </c>
      <c r="G148" s="54">
        <f t="shared" si="19"/>
        <v>12322</v>
      </c>
      <c r="H148" s="54">
        <f t="shared" si="19"/>
        <v>39539</v>
      </c>
      <c r="I148" s="54">
        <f t="shared" si="19"/>
        <v>199</v>
      </c>
      <c r="J148" s="54">
        <f t="shared" si="19"/>
        <v>0</v>
      </c>
      <c r="K148" s="54">
        <f t="shared" si="19"/>
        <v>39738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818.5</v>
      </c>
      <c r="G149" s="54">
        <f t="shared" si="20"/>
        <v>166</v>
      </c>
      <c r="H149" s="54">
        <f t="shared" si="20"/>
        <v>396141</v>
      </c>
      <c r="I149" s="54">
        <f t="shared" si="20"/>
        <v>300898</v>
      </c>
      <c r="J149" s="54">
        <f t="shared" si="20"/>
        <v>0</v>
      </c>
      <c r="K149" s="54">
        <f t="shared" si="20"/>
        <v>697039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2866</v>
      </c>
      <c r="G150" s="19">
        <f t="shared" si="21"/>
        <v>1</v>
      </c>
      <c r="H150" s="19">
        <f t="shared" si="21"/>
        <v>83503</v>
      </c>
      <c r="I150" s="19">
        <f t="shared" si="21"/>
        <v>63460</v>
      </c>
      <c r="J150" s="19">
        <f t="shared" si="21"/>
        <v>0</v>
      </c>
      <c r="K150" s="19">
        <f t="shared" si="21"/>
        <v>146963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1727048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15276.3</v>
      </c>
      <c r="G154" s="60">
        <f t="shared" si="23"/>
        <v>18941</v>
      </c>
      <c r="H154" s="60">
        <f t="shared" si="23"/>
        <v>2124227</v>
      </c>
      <c r="I154" s="60">
        <f t="shared" si="23"/>
        <v>494387</v>
      </c>
      <c r="J154" s="60">
        <f t="shared" si="23"/>
        <v>975201</v>
      </c>
      <c r="K154" s="61">
        <f t="shared" si="23"/>
        <v>3370461</v>
      </c>
    </row>
    <row r="156" spans="1:11" ht="18" customHeight="1">
      <c r="B156" s="5" t="s">
        <v>178</v>
      </c>
      <c r="F156" s="62">
        <f>K154/F123</f>
        <v>3.2434715909045453E-2</v>
      </c>
    </row>
    <row r="157" spans="1:11" ht="18" customHeight="1">
      <c r="B157" s="5" t="s">
        <v>179</v>
      </c>
      <c r="F157" s="62">
        <f>K154/F129</f>
        <v>-1.6465325316360306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256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257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258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214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215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216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995</v>
      </c>
      <c r="G18" s="11">
        <v>1681</v>
      </c>
      <c r="H18" s="12">
        <v>48932</v>
      </c>
      <c r="I18" s="13">
        <f>H18*F$116</f>
        <v>32104.285200000002</v>
      </c>
      <c r="J18" s="12">
        <v>3321</v>
      </c>
      <c r="K18" s="14">
        <f t="shared" ref="K18:K32" si="0">(H18+I18)-J18</f>
        <v>77715.285199999998</v>
      </c>
    </row>
    <row r="19" spans="1:11" ht="18" customHeight="1">
      <c r="A19" s="6"/>
      <c r="B19" s="2" t="s">
        <v>23</v>
      </c>
      <c r="F19" s="11"/>
      <c r="G19" s="11"/>
      <c r="H19" s="12"/>
      <c r="I19" s="13">
        <f>H19*F$116</f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>
        <v>17.5</v>
      </c>
      <c r="G20" s="11">
        <v>180</v>
      </c>
      <c r="H20" s="12">
        <v>827</v>
      </c>
      <c r="I20" s="13">
        <f t="shared" ref="I20:I32" si="1">H20*F$116</f>
        <v>542.59469999999999</v>
      </c>
      <c r="J20" s="12">
        <v>400</v>
      </c>
      <c r="K20" s="14">
        <f t="shared" si="0"/>
        <v>969.5947000000001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319</v>
      </c>
      <c r="G22" s="11">
        <v>3085</v>
      </c>
      <c r="H22" s="12">
        <v>28707</v>
      </c>
      <c r="I22" s="13">
        <f t="shared" si="1"/>
        <v>18834.662700000001</v>
      </c>
      <c r="J22" s="12">
        <v>12671</v>
      </c>
      <c r="K22" s="14">
        <f t="shared" si="0"/>
        <v>34870.662700000001</v>
      </c>
    </row>
    <row r="23" spans="1:11" ht="18" customHeight="1">
      <c r="A23" s="6"/>
      <c r="B23" s="2" t="s">
        <v>28</v>
      </c>
      <c r="F23" s="11">
        <v>36</v>
      </c>
      <c r="G23" s="11">
        <v>45</v>
      </c>
      <c r="H23" s="12">
        <v>2371</v>
      </c>
      <c r="I23" s="13">
        <f t="shared" si="1"/>
        <v>1555.6131</v>
      </c>
      <c r="J23" s="12">
        <v>180</v>
      </c>
      <c r="K23" s="14">
        <f t="shared" si="0"/>
        <v>3746.6131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1923</v>
      </c>
      <c r="G26" s="11">
        <v>1420</v>
      </c>
      <c r="H26" s="12">
        <v>60404</v>
      </c>
      <c r="I26" s="13">
        <f t="shared" si="1"/>
        <v>39631.064400000003</v>
      </c>
      <c r="J26" s="12">
        <v>0</v>
      </c>
      <c r="K26" s="14">
        <f t="shared" si="0"/>
        <v>100035.0644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3290.5</v>
      </c>
      <c r="G34" s="19">
        <f t="shared" si="2"/>
        <v>6411</v>
      </c>
      <c r="H34" s="14">
        <f t="shared" si="2"/>
        <v>141241</v>
      </c>
      <c r="I34" s="14">
        <f t="shared" si="2"/>
        <v>92668.220100000006</v>
      </c>
      <c r="J34" s="14">
        <f t="shared" si="2"/>
        <v>16572</v>
      </c>
      <c r="K34" s="14">
        <f t="shared" si="2"/>
        <v>217337.22010000001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875</v>
      </c>
      <c r="G40" s="11">
        <v>5690</v>
      </c>
      <c r="H40" s="12">
        <v>30313</v>
      </c>
      <c r="I40" s="13">
        <f>H40*F$116</f>
        <v>19888.3593</v>
      </c>
      <c r="J40" s="12">
        <v>0</v>
      </c>
      <c r="K40" s="14">
        <f t="shared" si="3"/>
        <v>50201.359299999996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6714</v>
      </c>
      <c r="G42" s="11">
        <v>18637</v>
      </c>
      <c r="H42" s="12">
        <v>220214</v>
      </c>
      <c r="I42" s="13">
        <f>H42*F$116</f>
        <v>144482.40540000002</v>
      </c>
      <c r="J42" s="12">
        <v>12000</v>
      </c>
      <c r="K42" s="14">
        <f t="shared" si="3"/>
        <v>352696.40540000005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 t="s">
        <v>259</v>
      </c>
      <c r="C44" s="379"/>
      <c r="D44" s="380"/>
      <c r="F44" s="11">
        <v>108</v>
      </c>
      <c r="G44" s="11">
        <v>270</v>
      </c>
      <c r="H44" s="12">
        <v>5346</v>
      </c>
      <c r="I44" s="13">
        <f>H44*F$116</f>
        <v>3507.5106000000001</v>
      </c>
      <c r="J44" s="12">
        <v>0</v>
      </c>
      <c r="K44" s="14">
        <f t="shared" si="3"/>
        <v>8853.5105999999996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7697</v>
      </c>
      <c r="G48" s="25">
        <f t="shared" si="4"/>
        <v>24597</v>
      </c>
      <c r="H48" s="14">
        <f t="shared" si="4"/>
        <v>255873</v>
      </c>
      <c r="I48" s="14">
        <f t="shared" si="4"/>
        <v>167878.27530000004</v>
      </c>
      <c r="J48" s="14">
        <f t="shared" si="4"/>
        <v>12000</v>
      </c>
      <c r="K48" s="14">
        <f t="shared" si="4"/>
        <v>411751.27530000004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260</v>
      </c>
      <c r="C52" s="385"/>
      <c r="D52" s="359"/>
      <c r="F52" s="11">
        <v>15682</v>
      </c>
      <c r="G52" s="11">
        <v>11553</v>
      </c>
      <c r="H52" s="12">
        <v>1112233</v>
      </c>
      <c r="I52" s="13">
        <f>H52*F$116</f>
        <v>729736.07130000007</v>
      </c>
      <c r="J52" s="12">
        <v>840221</v>
      </c>
      <c r="K52" s="14">
        <f t="shared" ref="K52:K61" si="5">(H52+I52)-J52</f>
        <v>1001748.0713</v>
      </c>
    </row>
    <row r="53" spans="1:11" ht="18" customHeight="1">
      <c r="A53" s="6" t="s">
        <v>63</v>
      </c>
      <c r="B53" s="27" t="s">
        <v>261</v>
      </c>
      <c r="C53" s="28"/>
      <c r="D53" s="29"/>
      <c r="F53" s="11">
        <v>36117</v>
      </c>
      <c r="G53" s="11">
        <v>13037</v>
      </c>
      <c r="H53" s="12">
        <v>1803139</v>
      </c>
      <c r="I53" s="13">
        <f>H53*F$116</f>
        <v>1183039.4979000001</v>
      </c>
      <c r="J53" s="12">
        <v>2571875</v>
      </c>
      <c r="K53" s="14">
        <f t="shared" si="5"/>
        <v>414303.49789999984</v>
      </c>
    </row>
    <row r="54" spans="1:11" ht="18" customHeight="1">
      <c r="A54" s="6" t="s">
        <v>65</v>
      </c>
      <c r="B54" s="381" t="s">
        <v>218</v>
      </c>
      <c r="C54" s="358"/>
      <c r="D54" s="359"/>
      <c r="F54" s="11">
        <v>54</v>
      </c>
      <c r="G54" s="11">
        <v>62</v>
      </c>
      <c r="H54" s="12">
        <v>1425</v>
      </c>
      <c r="I54" s="13">
        <f>H54*F$116</f>
        <v>934.9425</v>
      </c>
      <c r="J54" s="12">
        <v>0</v>
      </c>
      <c r="K54" s="14">
        <f t="shared" si="5"/>
        <v>2359.9425000000001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51853</v>
      </c>
      <c r="G63" s="19">
        <f t="shared" si="6"/>
        <v>24652</v>
      </c>
      <c r="H63" s="14">
        <f t="shared" si="6"/>
        <v>2916797</v>
      </c>
      <c r="I63" s="14">
        <f t="shared" si="6"/>
        <v>1913710.5117000001</v>
      </c>
      <c r="J63" s="14">
        <f t="shared" si="6"/>
        <v>3412096</v>
      </c>
      <c r="K63" s="14">
        <f t="shared" si="6"/>
        <v>1418411.5116999997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58104</v>
      </c>
      <c r="I77" s="13">
        <v>0</v>
      </c>
      <c r="J77" s="12">
        <v>0</v>
      </c>
      <c r="K77" s="14">
        <f>(H77+I77)-J77</f>
        <v>58104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321684</v>
      </c>
      <c r="I78" s="13">
        <v>0</v>
      </c>
      <c r="J78" s="12">
        <v>0</v>
      </c>
      <c r="K78" s="14">
        <f>(H78+I78)-J78</f>
        <v>321684</v>
      </c>
    </row>
    <row r="79" spans="1:11" ht="18" customHeight="1">
      <c r="A79" s="6" t="s">
        <v>95</v>
      </c>
      <c r="B79" s="63" t="s">
        <v>96</v>
      </c>
      <c r="F79" s="11">
        <v>2072</v>
      </c>
      <c r="G79" s="11">
        <v>12998</v>
      </c>
      <c r="H79" s="12">
        <v>110387</v>
      </c>
      <c r="I79" s="13">
        <f>H79*0.1</f>
        <v>11038.7</v>
      </c>
      <c r="J79" s="12">
        <v>47005</v>
      </c>
      <c r="K79" s="14">
        <f>(H79+I79)-J79</f>
        <v>74420.7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2072</v>
      </c>
      <c r="G82" s="44">
        <f t="shared" si="9"/>
        <v>12998</v>
      </c>
      <c r="H82" s="45">
        <f t="shared" si="9"/>
        <v>490175</v>
      </c>
      <c r="I82" s="45">
        <f t="shared" si="9"/>
        <v>11038.7</v>
      </c>
      <c r="J82" s="45">
        <f t="shared" si="9"/>
        <v>47005</v>
      </c>
      <c r="K82" s="45">
        <f t="shared" si="9"/>
        <v>454208.7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1000</v>
      </c>
      <c r="I87" s="13">
        <f t="shared" si="10"/>
        <v>656.1</v>
      </c>
      <c r="J87" s="12">
        <v>0</v>
      </c>
      <c r="K87" s="14">
        <f t="shared" si="11"/>
        <v>1656.1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v>765</v>
      </c>
      <c r="G92" s="46">
        <v>0</v>
      </c>
      <c r="H92" s="47">
        <v>25470</v>
      </c>
      <c r="I92" s="13">
        <f t="shared" si="10"/>
        <v>16710.867000000002</v>
      </c>
      <c r="J92" s="47">
        <v>0</v>
      </c>
      <c r="K92" s="14">
        <f t="shared" si="11"/>
        <v>42180.866999999998</v>
      </c>
    </row>
    <row r="93" spans="1:11" ht="18" customHeight="1">
      <c r="A93" s="6" t="s">
        <v>114</v>
      </c>
      <c r="B93" s="63" t="s">
        <v>115</v>
      </c>
      <c r="F93" s="11">
        <v>1048</v>
      </c>
      <c r="G93" s="11">
        <v>0</v>
      </c>
      <c r="H93" s="12">
        <v>99647</v>
      </c>
      <c r="I93" s="13">
        <f t="shared" si="10"/>
        <v>65378.396700000005</v>
      </c>
      <c r="J93" s="12">
        <v>0</v>
      </c>
      <c r="K93" s="14">
        <f t="shared" si="11"/>
        <v>165025.39670000001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1813</v>
      </c>
      <c r="G99" s="19">
        <f t="shared" si="12"/>
        <v>0</v>
      </c>
      <c r="H99" s="19">
        <f t="shared" si="12"/>
        <v>126117</v>
      </c>
      <c r="I99" s="19">
        <f t="shared" si="12"/>
        <v>82745.363700000002</v>
      </c>
      <c r="J99" s="19">
        <f t="shared" si="12"/>
        <v>0</v>
      </c>
      <c r="K99" s="19">
        <f t="shared" si="12"/>
        <v>208862.36370000002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2365487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0.65610000000000002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106419106</v>
      </c>
    </row>
    <row r="120" spans="1:6" ht="18" customHeight="1">
      <c r="B120" s="2" t="s">
        <v>137</v>
      </c>
      <c r="F120" s="12">
        <v>1980581</v>
      </c>
    </row>
    <row r="121" spans="1:6" ht="18" customHeight="1">
      <c r="A121" s="6"/>
      <c r="B121" s="5" t="s">
        <v>138</v>
      </c>
      <c r="F121" s="12">
        <v>108399687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103074694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5324993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931125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6256118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3290.5</v>
      </c>
      <c r="G144" s="54">
        <f t="shared" si="18"/>
        <v>6411</v>
      </c>
      <c r="H144" s="54">
        <f t="shared" si="18"/>
        <v>141241</v>
      </c>
      <c r="I144" s="54">
        <f t="shared" si="18"/>
        <v>92668.220100000006</v>
      </c>
      <c r="J144" s="54">
        <f t="shared" si="18"/>
        <v>16572</v>
      </c>
      <c r="K144" s="54">
        <f t="shared" si="18"/>
        <v>217337.22010000001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7697</v>
      </c>
      <c r="G145" s="54">
        <f t="shared" si="19"/>
        <v>24597</v>
      </c>
      <c r="H145" s="54">
        <f t="shared" si="19"/>
        <v>255873</v>
      </c>
      <c r="I145" s="54">
        <f t="shared" si="19"/>
        <v>167878.27530000004</v>
      </c>
      <c r="J145" s="54">
        <f t="shared" si="19"/>
        <v>12000</v>
      </c>
      <c r="K145" s="54">
        <f t="shared" si="19"/>
        <v>411751.27530000004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51853</v>
      </c>
      <c r="G146" s="54">
        <f t="shared" si="20"/>
        <v>24652</v>
      </c>
      <c r="H146" s="54">
        <f t="shared" si="20"/>
        <v>2916797</v>
      </c>
      <c r="I146" s="54">
        <f t="shared" si="20"/>
        <v>1913710.5117000001</v>
      </c>
      <c r="J146" s="54">
        <f t="shared" si="20"/>
        <v>3412096</v>
      </c>
      <c r="K146" s="54">
        <f t="shared" si="20"/>
        <v>1418411.5116999997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2072</v>
      </c>
      <c r="G148" s="54">
        <f t="shared" si="22"/>
        <v>12998</v>
      </c>
      <c r="H148" s="54">
        <f t="shared" si="22"/>
        <v>490175</v>
      </c>
      <c r="I148" s="54">
        <f t="shared" si="22"/>
        <v>11038.7</v>
      </c>
      <c r="J148" s="54">
        <f t="shared" si="22"/>
        <v>47005</v>
      </c>
      <c r="K148" s="54">
        <f t="shared" si="22"/>
        <v>454208.7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1813</v>
      </c>
      <c r="G149" s="54">
        <f t="shared" si="23"/>
        <v>0</v>
      </c>
      <c r="H149" s="54">
        <f t="shared" si="23"/>
        <v>126117</v>
      </c>
      <c r="I149" s="54">
        <f t="shared" si="23"/>
        <v>82745.363700000002</v>
      </c>
      <c r="J149" s="54">
        <f t="shared" si="23"/>
        <v>0</v>
      </c>
      <c r="K149" s="54">
        <f t="shared" si="23"/>
        <v>208862.36370000002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2365487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66725.5</v>
      </c>
      <c r="G154" s="60">
        <f t="shared" si="26"/>
        <v>68658</v>
      </c>
      <c r="H154" s="60">
        <f t="shared" si="26"/>
        <v>3930203</v>
      </c>
      <c r="I154" s="60">
        <f t="shared" si="26"/>
        <v>2268041.0708000003</v>
      </c>
      <c r="J154" s="60">
        <f t="shared" si="26"/>
        <v>3487673</v>
      </c>
      <c r="K154" s="61">
        <f t="shared" si="26"/>
        <v>5076058.0707999999</v>
      </c>
    </row>
    <row r="156" spans="1:11" ht="18" customHeight="1">
      <c r="B156" s="5" t="s">
        <v>178</v>
      </c>
      <c r="F156" s="62">
        <f>K154/F123</f>
        <v>4.9246404464707891E-2</v>
      </c>
    </row>
    <row r="157" spans="1:11" ht="18" customHeight="1">
      <c r="B157" s="5" t="s">
        <v>179</v>
      </c>
      <c r="F157" s="62">
        <f>K154/F129</f>
        <v>0.81137505251659259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262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263</v>
      </c>
      <c r="D6" s="366"/>
      <c r="E6" s="366"/>
      <c r="F6" s="366"/>
      <c r="G6" s="367"/>
    </row>
    <row r="7" spans="1:11" ht="18" customHeight="1">
      <c r="B7" s="6" t="s">
        <v>5</v>
      </c>
      <c r="C7" s="368">
        <v>1356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264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265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266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1323</v>
      </c>
      <c r="G18" s="11">
        <v>4044</v>
      </c>
      <c r="H18" s="12">
        <v>154902.72</v>
      </c>
      <c r="I18" s="13">
        <f>H18*F$116</f>
        <v>85196.496000000014</v>
      </c>
      <c r="J18" s="12">
        <v>27125</v>
      </c>
      <c r="K18" s="14">
        <f t="shared" ref="K18:K32" si="0">(H18+I18)-J18</f>
        <v>212974.21600000001</v>
      </c>
    </row>
    <row r="19" spans="1:11" ht="18" customHeight="1">
      <c r="A19" s="6"/>
      <c r="B19" s="2" t="s">
        <v>23</v>
      </c>
      <c r="F19" s="11">
        <v>152</v>
      </c>
      <c r="G19" s="11">
        <v>1089</v>
      </c>
      <c r="H19" s="12">
        <v>28503.040000000001</v>
      </c>
      <c r="I19" s="13">
        <f>H19*F$116</f>
        <v>15676.672000000002</v>
      </c>
      <c r="J19" s="12"/>
      <c r="K19" s="14">
        <f t="shared" si="0"/>
        <v>44179.712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385</v>
      </c>
      <c r="G22" s="11">
        <v>4246</v>
      </c>
      <c r="H22" s="12">
        <v>24010.2</v>
      </c>
      <c r="I22" s="13">
        <f t="shared" si="1"/>
        <v>13205.61</v>
      </c>
      <c r="J22" s="12"/>
      <c r="K22" s="14">
        <f t="shared" si="0"/>
        <v>37215.81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f t="shared" si="1"/>
        <v>0</v>
      </c>
      <c r="J26" s="12"/>
      <c r="K26" s="14">
        <f t="shared" si="0"/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1860</v>
      </c>
      <c r="G34" s="19">
        <f t="shared" si="2"/>
        <v>9379</v>
      </c>
      <c r="H34" s="14">
        <f t="shared" si="2"/>
        <v>207415.96000000002</v>
      </c>
      <c r="I34" s="14">
        <f t="shared" si="2"/>
        <v>114078.77800000002</v>
      </c>
      <c r="J34" s="14">
        <f t="shared" si="2"/>
        <v>27125</v>
      </c>
      <c r="K34" s="14">
        <f t="shared" si="2"/>
        <v>294369.73800000001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880</v>
      </c>
      <c r="G38" s="11">
        <v>10</v>
      </c>
      <c r="H38" s="12">
        <v>281600</v>
      </c>
      <c r="I38" s="13"/>
      <c r="J38" s="12"/>
      <c r="K38" s="14">
        <f t="shared" ref="K38:K46" si="3">(H38+I38)-J38</f>
        <v>281600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37386</v>
      </c>
      <c r="G40" s="11">
        <v>383</v>
      </c>
      <c r="H40" s="12">
        <v>807830</v>
      </c>
      <c r="I40" s="13"/>
      <c r="J40" s="12"/>
      <c r="K40" s="14">
        <f t="shared" si="3"/>
        <v>807830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14126</v>
      </c>
      <c r="G41" s="11">
        <v>2248</v>
      </c>
      <c r="H41" s="12">
        <v>427987</v>
      </c>
      <c r="I41" s="13"/>
      <c r="J41" s="12"/>
      <c r="K41" s="14">
        <f t="shared" si="3"/>
        <v>427987</v>
      </c>
    </row>
    <row r="42" spans="1:11" ht="18" customHeight="1">
      <c r="A42" s="6" t="s">
        <v>52</v>
      </c>
      <c r="B42" s="63" t="s">
        <v>53</v>
      </c>
      <c r="F42" s="11">
        <v>2782</v>
      </c>
      <c r="G42" s="11">
        <v>450</v>
      </c>
      <c r="H42" s="12">
        <v>107249.60000000001</v>
      </c>
      <c r="I42" s="13"/>
      <c r="J42" s="12"/>
      <c r="K42" s="14">
        <f t="shared" si="3"/>
        <v>107249.60000000001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55174</v>
      </c>
      <c r="G48" s="25">
        <f t="shared" si="4"/>
        <v>3091</v>
      </c>
      <c r="H48" s="14">
        <f t="shared" si="4"/>
        <v>1624666.6</v>
      </c>
      <c r="I48" s="14">
        <f t="shared" si="4"/>
        <v>0</v>
      </c>
      <c r="J48" s="14">
        <f t="shared" si="4"/>
        <v>0</v>
      </c>
      <c r="K48" s="14">
        <f t="shared" si="4"/>
        <v>1624666.6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267</v>
      </c>
      <c r="C52" s="385"/>
      <c r="D52" s="359"/>
      <c r="F52" s="11">
        <v>1334</v>
      </c>
      <c r="G52" s="11">
        <v>9320</v>
      </c>
      <c r="H52" s="12">
        <v>99995.95</v>
      </c>
      <c r="I52" s="13">
        <v>0</v>
      </c>
      <c r="J52" s="12">
        <v>32627.919999999998</v>
      </c>
      <c r="K52" s="14">
        <f t="shared" ref="K52:K61" si="5">(H52+I52)-J52</f>
        <v>67368.03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1334</v>
      </c>
      <c r="G63" s="19">
        <f t="shared" si="6"/>
        <v>9320</v>
      </c>
      <c r="H63" s="14">
        <f t="shared" si="6"/>
        <v>99995.95</v>
      </c>
      <c r="I63" s="14">
        <f t="shared" si="6"/>
        <v>0</v>
      </c>
      <c r="J63" s="14">
        <f t="shared" si="6"/>
        <v>32627.919999999998</v>
      </c>
      <c r="K63" s="14">
        <f t="shared" si="6"/>
        <v>67368.03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68525.240000000005</v>
      </c>
      <c r="I77" s="13">
        <v>0</v>
      </c>
      <c r="J77" s="12"/>
      <c r="K77" s="14">
        <f>(H77+I77)-J77</f>
        <v>68525.240000000005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1335</v>
      </c>
      <c r="G79" s="11">
        <v>10579</v>
      </c>
      <c r="H79" s="12">
        <v>102605.96</v>
      </c>
      <c r="I79" s="13">
        <v>0</v>
      </c>
      <c r="J79" s="12"/>
      <c r="K79" s="14">
        <f>(H79+I79)-J79</f>
        <v>102605.96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1335</v>
      </c>
      <c r="G82" s="44">
        <f t="shared" si="9"/>
        <v>10579</v>
      </c>
      <c r="H82" s="45">
        <f t="shared" si="9"/>
        <v>171131.2</v>
      </c>
      <c r="I82" s="45">
        <f t="shared" si="9"/>
        <v>0</v>
      </c>
      <c r="J82" s="45">
        <f t="shared" si="9"/>
        <v>0</v>
      </c>
      <c r="K82" s="45">
        <f t="shared" si="9"/>
        <v>171131.2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>
        <v>72</v>
      </c>
      <c r="G87" s="11">
        <v>2589</v>
      </c>
      <c r="H87" s="12">
        <v>14883</v>
      </c>
      <c r="I87" s="13">
        <f t="shared" si="10"/>
        <v>8185.6500000000005</v>
      </c>
      <c r="J87" s="12"/>
      <c r="K87" s="14">
        <f t="shared" si="11"/>
        <v>23068.65</v>
      </c>
    </row>
    <row r="88" spans="1:11" ht="18" customHeight="1">
      <c r="A88" s="6" t="s">
        <v>104</v>
      </c>
      <c r="B88" s="63" t="s">
        <v>105</v>
      </c>
      <c r="F88" s="11">
        <v>9920</v>
      </c>
      <c r="G88" s="11">
        <v>1276</v>
      </c>
      <c r="H88" s="12">
        <v>287300</v>
      </c>
      <c r="I88" s="13">
        <f t="shared" si="10"/>
        <v>158015</v>
      </c>
      <c r="J88" s="12"/>
      <c r="K88" s="14">
        <f t="shared" si="11"/>
        <v>445315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4178</v>
      </c>
      <c r="G93" s="11">
        <v>6580</v>
      </c>
      <c r="H93" s="12">
        <v>161099</v>
      </c>
      <c r="I93" s="13">
        <f t="shared" si="10"/>
        <v>88604.450000000012</v>
      </c>
      <c r="J93" s="12">
        <v>160140</v>
      </c>
      <c r="K93" s="14">
        <f t="shared" si="11"/>
        <v>89563.450000000012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14170</v>
      </c>
      <c r="G99" s="19">
        <f t="shared" si="12"/>
        <v>10445</v>
      </c>
      <c r="H99" s="19">
        <f t="shared" si="12"/>
        <v>463282</v>
      </c>
      <c r="I99" s="19">
        <f t="shared" si="12"/>
        <v>254805.1</v>
      </c>
      <c r="J99" s="19">
        <f t="shared" si="12"/>
        <v>160140</v>
      </c>
      <c r="K99" s="19">
        <f t="shared" si="12"/>
        <v>557947.10000000009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80</v>
      </c>
      <c r="G103" s="11"/>
      <c r="H103" s="12">
        <v>3583.33</v>
      </c>
      <c r="I103" s="13">
        <f t="shared" ref="I103:I108" si="13">H103*F$116</f>
        <v>1970.8315000000002</v>
      </c>
      <c r="J103" s="12"/>
      <c r="K103" s="14">
        <f t="shared" ref="K103:K108" si="14">(H103+I103)-J103</f>
        <v>5554.1615000000002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80</v>
      </c>
      <c r="G110" s="19">
        <f t="shared" si="15"/>
        <v>0</v>
      </c>
      <c r="H110" s="14">
        <f t="shared" si="15"/>
        <v>3583.33</v>
      </c>
      <c r="I110" s="14">
        <f t="shared" si="15"/>
        <v>1970.8315000000002</v>
      </c>
      <c r="J110" s="14">
        <f t="shared" si="15"/>
        <v>0</v>
      </c>
      <c r="K110" s="14">
        <f t="shared" si="15"/>
        <v>5554.1615000000002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793669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0.55000000000000004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168349236</v>
      </c>
    </row>
    <row r="120" spans="1:6" ht="18" customHeight="1">
      <c r="B120" s="2" t="s">
        <v>137</v>
      </c>
      <c r="F120" s="12">
        <v>11386629</v>
      </c>
    </row>
    <row r="121" spans="1:6" ht="18" customHeight="1">
      <c r="A121" s="6"/>
      <c r="B121" s="5" t="s">
        <v>138</v>
      </c>
      <c r="F121" s="12">
        <v>179735867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174268710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5467157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-18448323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-12981075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1860</v>
      </c>
      <c r="G144" s="54">
        <f t="shared" si="18"/>
        <v>9379</v>
      </c>
      <c r="H144" s="54">
        <f t="shared" si="18"/>
        <v>207415.96000000002</v>
      </c>
      <c r="I144" s="54">
        <f t="shared" si="18"/>
        <v>114078.77800000002</v>
      </c>
      <c r="J144" s="54">
        <f t="shared" si="18"/>
        <v>27125</v>
      </c>
      <c r="K144" s="54">
        <f t="shared" si="18"/>
        <v>294369.73800000001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55174</v>
      </c>
      <c r="G145" s="54">
        <f t="shared" si="19"/>
        <v>3091</v>
      </c>
      <c r="H145" s="54">
        <f t="shared" si="19"/>
        <v>1624666.6</v>
      </c>
      <c r="I145" s="54">
        <f t="shared" si="19"/>
        <v>0</v>
      </c>
      <c r="J145" s="54">
        <f t="shared" si="19"/>
        <v>0</v>
      </c>
      <c r="K145" s="54">
        <f t="shared" si="19"/>
        <v>1624666.6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1334</v>
      </c>
      <c r="G146" s="54">
        <f t="shared" si="20"/>
        <v>9320</v>
      </c>
      <c r="H146" s="54">
        <f t="shared" si="20"/>
        <v>99995.95</v>
      </c>
      <c r="I146" s="54">
        <f t="shared" si="20"/>
        <v>0</v>
      </c>
      <c r="J146" s="54">
        <f t="shared" si="20"/>
        <v>32627.919999999998</v>
      </c>
      <c r="K146" s="54">
        <f t="shared" si="20"/>
        <v>67368.03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1335</v>
      </c>
      <c r="G148" s="54">
        <f t="shared" si="22"/>
        <v>10579</v>
      </c>
      <c r="H148" s="54">
        <f t="shared" si="22"/>
        <v>171131.2</v>
      </c>
      <c r="I148" s="54">
        <f t="shared" si="22"/>
        <v>0</v>
      </c>
      <c r="J148" s="54">
        <f t="shared" si="22"/>
        <v>0</v>
      </c>
      <c r="K148" s="54">
        <f t="shared" si="22"/>
        <v>171131.2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14170</v>
      </c>
      <c r="G149" s="54">
        <f t="shared" si="23"/>
        <v>10445</v>
      </c>
      <c r="H149" s="54">
        <f t="shared" si="23"/>
        <v>463282</v>
      </c>
      <c r="I149" s="54">
        <f t="shared" si="23"/>
        <v>254805.1</v>
      </c>
      <c r="J149" s="54">
        <f t="shared" si="23"/>
        <v>160140</v>
      </c>
      <c r="K149" s="54">
        <f t="shared" si="23"/>
        <v>557947.10000000009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80</v>
      </c>
      <c r="G150" s="19">
        <f t="shared" si="24"/>
        <v>0</v>
      </c>
      <c r="H150" s="19">
        <f t="shared" si="24"/>
        <v>3583.33</v>
      </c>
      <c r="I150" s="19">
        <f t="shared" si="24"/>
        <v>1970.8315000000002</v>
      </c>
      <c r="J150" s="19">
        <f t="shared" si="24"/>
        <v>0</v>
      </c>
      <c r="K150" s="19">
        <f t="shared" si="24"/>
        <v>5554.1615000000002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793669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73953</v>
      </c>
      <c r="G154" s="60">
        <f t="shared" si="26"/>
        <v>42814</v>
      </c>
      <c r="H154" s="60">
        <f t="shared" si="26"/>
        <v>2570075.04</v>
      </c>
      <c r="I154" s="60">
        <f t="shared" si="26"/>
        <v>370854.7095</v>
      </c>
      <c r="J154" s="60">
        <f t="shared" si="26"/>
        <v>219892.91999999998</v>
      </c>
      <c r="K154" s="61">
        <f t="shared" si="26"/>
        <v>3514705.8295</v>
      </c>
    </row>
    <row r="156" spans="1:11" ht="18" customHeight="1">
      <c r="B156" s="5" t="s">
        <v>178</v>
      </c>
      <c r="F156" s="62">
        <f>K154/F123</f>
        <v>2.0168312656356956E-2</v>
      </c>
    </row>
    <row r="157" spans="1:11" ht="18" customHeight="1">
      <c r="B157" s="5" t="s">
        <v>179</v>
      </c>
      <c r="F157" s="62">
        <f>K154/F129</f>
        <v>-0.27075614535005765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6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532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533</v>
      </c>
      <c r="D6" s="366"/>
      <c r="E6" s="366"/>
      <c r="F6" s="366"/>
      <c r="G6" s="367"/>
    </row>
    <row r="7" spans="1:11" ht="18" customHeight="1">
      <c r="B7" s="6" t="s">
        <v>5</v>
      </c>
      <c r="C7" s="368">
        <f>+'[6]DGH CBR Detail 2009'!D139</f>
        <v>617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526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527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528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/>
      <c r="G18" s="11"/>
      <c r="H18" s="12"/>
      <c r="I18" s="13">
        <f>H18*F$116</f>
        <v>0</v>
      </c>
      <c r="J18" s="12"/>
      <c r="K18" s="14">
        <f t="shared" ref="K18:K32" si="0">(H18+I18)-J18</f>
        <v>0</v>
      </c>
    </row>
    <row r="19" spans="1:11" ht="18" customHeight="1">
      <c r="A19" s="6"/>
      <c r="B19" s="2" t="s">
        <v>23</v>
      </c>
      <c r="F19" s="11">
        <f>+'[6]DGH CBR Detail 2009'!H4</f>
        <v>9</v>
      </c>
      <c r="G19" s="11">
        <f>+'[6]DGH CBR Detail 2009'!G4</f>
        <v>28</v>
      </c>
      <c r="H19" s="12">
        <f>+'[6]DGH CBR Detail 2009'!P4</f>
        <v>400.22388804825647</v>
      </c>
      <c r="I19" s="13">
        <f>H19*F$116</f>
        <v>201.48727030196295</v>
      </c>
      <c r="J19" s="12">
        <f>+'[6]DGH CBR Detail 2009'!M4</f>
        <v>330</v>
      </c>
      <c r="K19" s="14">
        <f t="shared" si="0"/>
        <v>271.71115835021942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f>+'[6]DGH CBR Detail 2009'!H5</f>
        <v>2</v>
      </c>
      <c r="G22" s="11">
        <f>+'[6]DGH CBR Detail 2009'!G5</f>
        <v>14</v>
      </c>
      <c r="H22" s="12">
        <f>+'[6]DGH CBR Detail 2009'!P5</f>
        <v>162.8933967899172</v>
      </c>
      <c r="I22" s="13">
        <f t="shared" si="1"/>
        <v>82.006464005610809</v>
      </c>
      <c r="J22" s="12">
        <f>+'[6]DGH CBR Detail 2009'!M5</f>
        <v>140</v>
      </c>
      <c r="K22" s="14">
        <f t="shared" si="0"/>
        <v>104.89986079552801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f>+'[6]DGH CBR Detail 2009'!H6</f>
        <v>3</v>
      </c>
      <c r="G26" s="11">
        <f>+'[6]DGH CBR Detail 2009'!G6</f>
        <v>35</v>
      </c>
      <c r="H26" s="12">
        <f>+'[6]DGH CBR Detail 2009'!P6</f>
        <v>138.03383700392274</v>
      </c>
      <c r="I26" s="13">
        <f t="shared" si="1"/>
        <v>69.491256913363145</v>
      </c>
      <c r="J26" s="12"/>
      <c r="K26" s="14">
        <f t="shared" si="0"/>
        <v>207.52509391728589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14</v>
      </c>
      <c r="G34" s="19">
        <f t="shared" si="2"/>
        <v>77</v>
      </c>
      <c r="H34" s="14">
        <f t="shared" si="2"/>
        <v>701.15112184209636</v>
      </c>
      <c r="I34" s="14">
        <f t="shared" si="2"/>
        <v>352.98499122093688</v>
      </c>
      <c r="J34" s="14">
        <f t="shared" si="2"/>
        <v>470</v>
      </c>
      <c r="K34" s="14">
        <f t="shared" si="2"/>
        <v>584.13611306303335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f>+'[6]DGH CBR Detail 2009'!R51</f>
        <v>20050.28871599074</v>
      </c>
      <c r="G40" s="11">
        <f>+'[6]DGH CBR Detail 2009'!R52</f>
        <v>20</v>
      </c>
      <c r="H40" s="12">
        <f>+'[6]DGH CBR Detail 2009'!P51</f>
        <v>766030.67612381291</v>
      </c>
      <c r="I40" s="13">
        <f>H40*F$116</f>
        <v>385647.71996104374</v>
      </c>
      <c r="J40" s="12"/>
      <c r="K40" s="14">
        <f t="shared" si="3"/>
        <v>1151678.3960848567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20050.28871599074</v>
      </c>
      <c r="G48" s="25">
        <f t="shared" si="4"/>
        <v>20</v>
      </c>
      <c r="H48" s="14">
        <f t="shared" si="4"/>
        <v>766030.67612381291</v>
      </c>
      <c r="I48" s="14">
        <f t="shared" si="4"/>
        <v>385647.71996104374</v>
      </c>
      <c r="J48" s="14">
        <f t="shared" si="4"/>
        <v>0</v>
      </c>
      <c r="K48" s="14">
        <f t="shared" si="4"/>
        <v>1151678.3960848567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410" t="s">
        <v>534</v>
      </c>
      <c r="C52" s="411"/>
      <c r="D52" s="412"/>
      <c r="F52" s="11">
        <f>+'[6]DGH CBR Detail 2009'!O17</f>
        <v>1023.8346954545455</v>
      </c>
      <c r="G52" s="11">
        <f>+'[6]DGH CBR Detail 2009'!O16</f>
        <v>1365.1129272727273</v>
      </c>
      <c r="H52" s="12">
        <f>+'[6]DGH CBR Detail 2009'!K15</f>
        <v>750812.11</v>
      </c>
      <c r="I52" s="13">
        <v>0</v>
      </c>
      <c r="J52" s="12">
        <f>-'[6]DGH CBR Detail 2009'!K14</f>
        <v>394762.61</v>
      </c>
      <c r="K52" s="14">
        <f t="shared" ref="K52:K61" si="5">(H52+I52)-J52</f>
        <v>356049.5</v>
      </c>
    </row>
    <row r="53" spans="1:11" ht="18" customHeight="1">
      <c r="A53" s="6" t="s">
        <v>63</v>
      </c>
      <c r="B53" s="221" t="s">
        <v>535</v>
      </c>
      <c r="C53" s="28"/>
      <c r="D53" s="29"/>
      <c r="F53" s="11">
        <f>+'[6]DGH CBR Detail 2009'!O21</f>
        <v>10950</v>
      </c>
      <c r="G53" s="11">
        <f>+'[6]DGH CBR Detail 2009'!O20</f>
        <v>19594</v>
      </c>
      <c r="H53" s="12">
        <f>+'[6]DGH CBR Detail 2009'!K19</f>
        <v>452701.12</v>
      </c>
      <c r="I53" s="13">
        <v>0</v>
      </c>
      <c r="J53" s="12"/>
      <c r="K53" s="14">
        <f t="shared" si="5"/>
        <v>452701.12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11973.834695454545</v>
      </c>
      <c r="G63" s="19">
        <f t="shared" si="6"/>
        <v>20959.112927272727</v>
      </c>
      <c r="H63" s="14">
        <f t="shared" si="6"/>
        <v>1203513.23</v>
      </c>
      <c r="I63" s="14">
        <f t="shared" si="6"/>
        <v>0</v>
      </c>
      <c r="J63" s="14">
        <f t="shared" si="6"/>
        <v>394762.61</v>
      </c>
      <c r="K63" s="14">
        <f t="shared" si="6"/>
        <v>808750.62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f>+'[6]DGH CBR Detail 2009'!H7</f>
        <v>6</v>
      </c>
      <c r="G79" s="11">
        <f>+'[6]DGH CBR Detail 2009'!G7</f>
        <v>750</v>
      </c>
      <c r="H79" s="12">
        <f>+'[6]DGH CBR Detail 2009'!P7</f>
        <v>431.35574063725858</v>
      </c>
      <c r="I79" s="13">
        <v>0</v>
      </c>
      <c r="J79" s="12"/>
      <c r="K79" s="14">
        <f>(H79+I79)-J79</f>
        <v>431.35574063725858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6</v>
      </c>
      <c r="G82" s="44">
        <f t="shared" si="9"/>
        <v>750</v>
      </c>
      <c r="H82" s="45">
        <f t="shared" si="9"/>
        <v>431.35574063725858</v>
      </c>
      <c r="I82" s="45">
        <f t="shared" si="9"/>
        <v>0</v>
      </c>
      <c r="J82" s="45">
        <f t="shared" si="9"/>
        <v>0</v>
      </c>
      <c r="K82" s="45">
        <f t="shared" si="9"/>
        <v>431.35574063725858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f>+'[6]DGH CBR Detail 2009'!H8</f>
        <v>100</v>
      </c>
      <c r="G92" s="46"/>
      <c r="H92" s="47">
        <f>+'[6]DGH CBR Detail 2009'!P8</f>
        <v>6422.7578822969645</v>
      </c>
      <c r="I92" s="13">
        <f t="shared" si="10"/>
        <v>3233.4500567302389</v>
      </c>
      <c r="J92" s="47"/>
      <c r="K92" s="14">
        <f t="shared" si="11"/>
        <v>9656.2079390272029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100</v>
      </c>
      <c r="G99" s="19">
        <f t="shared" si="12"/>
        <v>0</v>
      </c>
      <c r="H99" s="19">
        <f t="shared" si="12"/>
        <v>6422.7578822969645</v>
      </c>
      <c r="I99" s="19">
        <f t="shared" si="12"/>
        <v>3233.4500567302389</v>
      </c>
      <c r="J99" s="19">
        <f t="shared" si="12"/>
        <v>0</v>
      </c>
      <c r="K99" s="19">
        <f t="shared" si="12"/>
        <v>9656.2079390272029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f>+'[6]DGH CBR Detail 2009'!E78</f>
        <v>1220210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f>+'[6]DGH CBR Detail 2009'!G62</f>
        <v>0.50343639227668713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f>+'[6]DGH CBR Detail 2009'!E116*1000</f>
        <v>44424176.369999997</v>
      </c>
    </row>
    <row r="120" spans="1:6" ht="18" customHeight="1">
      <c r="B120" s="2" t="s">
        <v>137</v>
      </c>
      <c r="F120" s="12">
        <f>+'[6]DGH CBR Detail 2009'!E117*1000</f>
        <v>646148.25</v>
      </c>
    </row>
    <row r="121" spans="1:6" ht="18" customHeight="1">
      <c r="A121" s="6"/>
      <c r="B121" s="5" t="s">
        <v>138</v>
      </c>
      <c r="F121" s="12">
        <f>+F120+F119</f>
        <v>45070324.619999997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f>+'[6]DGH CBR Detail 2009'!E125*1000</f>
        <v>43095615.775439426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1974708.844560571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f>+'[6]DGH CBR Detail 2009'!G127*1000</f>
        <v>11709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+F127+F125</f>
        <v>1986417.844560571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14</v>
      </c>
      <c r="G144" s="54">
        <f t="shared" si="18"/>
        <v>77</v>
      </c>
      <c r="H144" s="54">
        <f t="shared" si="18"/>
        <v>701.15112184209636</v>
      </c>
      <c r="I144" s="54">
        <f t="shared" si="18"/>
        <v>352.98499122093688</v>
      </c>
      <c r="J144" s="54">
        <f t="shared" si="18"/>
        <v>470</v>
      </c>
      <c r="K144" s="54">
        <f t="shared" si="18"/>
        <v>584.13611306303335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20050.28871599074</v>
      </c>
      <c r="G145" s="54">
        <f t="shared" si="19"/>
        <v>20</v>
      </c>
      <c r="H145" s="54">
        <f t="shared" si="19"/>
        <v>766030.67612381291</v>
      </c>
      <c r="I145" s="54">
        <f t="shared" si="19"/>
        <v>385647.71996104374</v>
      </c>
      <c r="J145" s="54">
        <f t="shared" si="19"/>
        <v>0</v>
      </c>
      <c r="K145" s="54">
        <f t="shared" si="19"/>
        <v>1151678.3960848567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11973.834695454545</v>
      </c>
      <c r="G146" s="54">
        <f t="shared" si="20"/>
        <v>20959.112927272727</v>
      </c>
      <c r="H146" s="54">
        <f t="shared" si="20"/>
        <v>1203513.23</v>
      </c>
      <c r="I146" s="54">
        <f t="shared" si="20"/>
        <v>0</v>
      </c>
      <c r="J146" s="54">
        <f t="shared" si="20"/>
        <v>394762.61</v>
      </c>
      <c r="K146" s="54">
        <f t="shared" si="20"/>
        <v>808750.62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6</v>
      </c>
      <c r="G148" s="54">
        <f t="shared" si="22"/>
        <v>750</v>
      </c>
      <c r="H148" s="54">
        <f t="shared" si="22"/>
        <v>431.35574063725858</v>
      </c>
      <c r="I148" s="54">
        <f t="shared" si="22"/>
        <v>0</v>
      </c>
      <c r="J148" s="54">
        <f t="shared" si="22"/>
        <v>0</v>
      </c>
      <c r="K148" s="54">
        <f t="shared" si="22"/>
        <v>431.35574063725858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100</v>
      </c>
      <c r="G149" s="54">
        <f t="shared" si="23"/>
        <v>0</v>
      </c>
      <c r="H149" s="54">
        <f t="shared" si="23"/>
        <v>6422.7578822969645</v>
      </c>
      <c r="I149" s="54">
        <f t="shared" si="23"/>
        <v>3233.4500567302389</v>
      </c>
      <c r="J149" s="54">
        <f t="shared" si="23"/>
        <v>0</v>
      </c>
      <c r="K149" s="54">
        <f t="shared" si="23"/>
        <v>9656.2079390272029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1220210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32144.123411445285</v>
      </c>
      <c r="G154" s="60">
        <f t="shared" si="26"/>
        <v>21806.112927272727</v>
      </c>
      <c r="H154" s="60">
        <f t="shared" si="26"/>
        <v>1977099.1708685893</v>
      </c>
      <c r="I154" s="60">
        <f t="shared" si="26"/>
        <v>389234.15500899492</v>
      </c>
      <c r="J154" s="60">
        <f t="shared" si="26"/>
        <v>395232.61</v>
      </c>
      <c r="K154" s="61">
        <f t="shared" si="26"/>
        <v>3191310.7158775842</v>
      </c>
    </row>
    <row r="156" spans="1:11" ht="18" customHeight="1">
      <c r="B156" s="5" t="s">
        <v>178</v>
      </c>
      <c r="F156" s="62">
        <f>K154/F123</f>
        <v>7.4051864869658979E-2</v>
      </c>
    </row>
    <row r="157" spans="1:11" ht="18" customHeight="1">
      <c r="B157" s="5" t="s">
        <v>179</v>
      </c>
      <c r="F157" s="62">
        <f>K154/F129</f>
        <v>1.6065656702674032</v>
      </c>
      <c r="G157" s="5"/>
    </row>
    <row r="158" spans="1:11" ht="18" customHeight="1">
      <c r="G158" s="5"/>
    </row>
  </sheetData>
  <sheetProtection password="EF72" sheet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136:D136"/>
    <mergeCell ref="B138:D138"/>
    <mergeCell ref="B96:D96"/>
    <mergeCell ref="B97:D97"/>
    <mergeCell ref="B104:C104"/>
    <mergeCell ref="B106:D106"/>
    <mergeCell ref="B107:D107"/>
    <mergeCell ref="B108:D108"/>
    <mergeCell ref="B137:D137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7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413" t="s">
        <v>524</v>
      </c>
      <c r="D5" s="414"/>
      <c r="E5" s="414"/>
      <c r="F5" s="414"/>
      <c r="G5" s="415"/>
    </row>
    <row r="6" spans="1:11" ht="18" customHeight="1">
      <c r="B6" s="6" t="s">
        <v>4</v>
      </c>
      <c r="C6" s="416" t="s">
        <v>525</v>
      </c>
      <c r="D6" s="417"/>
      <c r="E6" s="417"/>
      <c r="F6" s="417"/>
      <c r="G6" s="418"/>
    </row>
    <row r="7" spans="1:11" ht="18" customHeight="1">
      <c r="B7" s="6" t="s">
        <v>5</v>
      </c>
      <c r="C7" s="368">
        <f>+'[6]MHE CBR Detail 2009'!D247</f>
        <v>1290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526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527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528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f>+'[6]MHE CBR Detail 2009'!H40</f>
        <v>28121</v>
      </c>
      <c r="G18" s="11">
        <f>+'[6]MHE CBR Detail 2009'!G40</f>
        <v>4775</v>
      </c>
      <c r="H18" s="12">
        <f>+'[6]MHE CBR Detail 2009'!P40</f>
        <v>15239.096308106466</v>
      </c>
      <c r="I18" s="13">
        <f t="shared" ref="I18:I32" si="0">H18*F$116</f>
        <v>5869.6675460384167</v>
      </c>
      <c r="J18" s="12">
        <f>+'[6]MHE CBR Detail 2009'!M40</f>
        <v>15600</v>
      </c>
      <c r="K18" s="14">
        <f t="shared" ref="K18:K32" si="1">(H18+I18)-J18</f>
        <v>5508.7638541448832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f>+'[6]MHE CBR Detail 2009'!H48</f>
        <v>1939</v>
      </c>
      <c r="G21" s="11">
        <f>+'[6]MHE CBR Detail 2009'!G48</f>
        <v>545</v>
      </c>
      <c r="H21" s="12">
        <f>+'[6]MHE CBR Detail 2009'!P48</f>
        <v>94202.208345755978</v>
      </c>
      <c r="I21" s="13">
        <f t="shared" si="0"/>
        <v>36284.018022649936</v>
      </c>
      <c r="J21" s="12">
        <f>+'[6]MHE CBR Detail 2009'!M48</f>
        <v>32161</v>
      </c>
      <c r="K21" s="14">
        <f t="shared" si="1"/>
        <v>98325.226368405914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f>+'[6]MHE CBR Detail 2009'!H56</f>
        <v>3166</v>
      </c>
      <c r="G26" s="11">
        <f>+'[6]MHE CBR Detail 2009'!G56</f>
        <v>20738</v>
      </c>
      <c r="H26" s="12">
        <f>+'[6]MHE CBR Detail 2009'!P56</f>
        <v>132135.83904053501</v>
      </c>
      <c r="I26" s="13">
        <f t="shared" si="0"/>
        <v>50894.976342672366</v>
      </c>
      <c r="J26" s="12">
        <f>+'[6]MHE CBR Detail 2009'!M56</f>
        <v>1000</v>
      </c>
      <c r="K26" s="14">
        <f t="shared" si="1"/>
        <v>182030.81538320737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33226</v>
      </c>
      <c r="G34" s="19">
        <f t="shared" si="2"/>
        <v>26058</v>
      </c>
      <c r="H34" s="14">
        <f t="shared" si="2"/>
        <v>241577.14369439747</v>
      </c>
      <c r="I34" s="14">
        <f t="shared" si="2"/>
        <v>93048.661911360716</v>
      </c>
      <c r="J34" s="14">
        <f t="shared" si="2"/>
        <v>48761</v>
      </c>
      <c r="K34" s="14">
        <f t="shared" si="2"/>
        <v>285864.80560575816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f t="shared" ref="I38:I46" si="3">H38*F$116</f>
        <v>0</v>
      </c>
      <c r="J38" s="12"/>
      <c r="K38" s="14">
        <f t="shared" ref="K38:K46" si="4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f t="shared" si="3"/>
        <v>0</v>
      </c>
      <c r="J39" s="12"/>
      <c r="K39" s="14">
        <f t="shared" si="4"/>
        <v>0</v>
      </c>
    </row>
    <row r="40" spans="1:11" ht="18" customHeight="1">
      <c r="A40" s="6" t="s">
        <v>48</v>
      </c>
      <c r="B40" s="63" t="s">
        <v>49</v>
      </c>
      <c r="F40" s="11">
        <f>+'[6]MHE CBR Detail 2009'!O123</f>
        <v>42428.411284009264</v>
      </c>
      <c r="G40" s="11">
        <f>+'[6]MHE CBR Detail 2009'!O124</f>
        <v>42</v>
      </c>
      <c r="H40" s="12">
        <f>+'[6]MHE CBR Detail 2009'!M123</f>
        <v>2255401.8517906228</v>
      </c>
      <c r="I40" s="13">
        <f t="shared" si="3"/>
        <v>868716.8047942674</v>
      </c>
      <c r="J40" s="12">
        <f>+'[6]MHE CBR Detail 2009'!M67</f>
        <v>0</v>
      </c>
      <c r="K40" s="14">
        <f t="shared" si="4"/>
        <v>3124118.6565848901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f>+'[6]MHE CBR Detail 2009'!H69</f>
        <v>336</v>
      </c>
      <c r="G41" s="11">
        <f>+'[6]MHE CBR Detail 2009'!G69</f>
        <v>11</v>
      </c>
      <c r="H41" s="12">
        <f>+'[6]MHE CBR Detail 2009'!P69</f>
        <v>12300.195676863925</v>
      </c>
      <c r="I41" s="13">
        <f t="shared" si="3"/>
        <v>4737.6864030975594</v>
      </c>
      <c r="J41" s="12">
        <f>+'[6]MHE CBR Detail 2009'!M69</f>
        <v>0</v>
      </c>
      <c r="K41" s="14">
        <f t="shared" si="4"/>
        <v>17037.882079961484</v>
      </c>
    </row>
    <row r="42" spans="1:11" ht="18" customHeight="1">
      <c r="A42" s="6" t="s">
        <v>52</v>
      </c>
      <c r="B42" s="63" t="s">
        <v>53</v>
      </c>
      <c r="F42" s="11">
        <f>+'[6]MHE CBR Detail 2009'!H74</f>
        <v>64</v>
      </c>
      <c r="G42" s="11">
        <f>+'[6]MHE CBR Detail 2009'!G74</f>
        <v>85</v>
      </c>
      <c r="H42" s="12">
        <f>+'[6]MHE CBR Detail 2009'!P74</f>
        <v>2520.7033657518755</v>
      </c>
      <c r="I42" s="13">
        <f t="shared" si="3"/>
        <v>970.903421042952</v>
      </c>
      <c r="J42" s="12">
        <f>+'[6]MHE CBR Detail 2009'!M74</f>
        <v>0</v>
      </c>
      <c r="K42" s="14">
        <f t="shared" si="4"/>
        <v>3491.6067867948277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f t="shared" si="3"/>
        <v>0</v>
      </c>
      <c r="J43" s="12"/>
      <c r="K43" s="14">
        <f t="shared" si="4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f t="shared" si="3"/>
        <v>0</v>
      </c>
      <c r="J44" s="12"/>
      <c r="K44" s="14">
        <f t="shared" si="4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f t="shared" si="3"/>
        <v>0</v>
      </c>
      <c r="J45" s="12"/>
      <c r="K45" s="14">
        <f t="shared" si="4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f t="shared" si="3"/>
        <v>0</v>
      </c>
      <c r="J46" s="12"/>
      <c r="K46" s="14">
        <f t="shared" si="4"/>
        <v>0</v>
      </c>
    </row>
    <row r="48" spans="1:11" ht="18" customHeight="1">
      <c r="E48" s="5" t="s">
        <v>41</v>
      </c>
      <c r="F48" s="25">
        <f t="shared" ref="F48:K48" si="5">SUM(F38:F46)</f>
        <v>42828.411284009264</v>
      </c>
      <c r="G48" s="25">
        <f t="shared" si="5"/>
        <v>138</v>
      </c>
      <c r="H48" s="14">
        <f t="shared" si="5"/>
        <v>2270222.7508332389</v>
      </c>
      <c r="I48" s="14">
        <f t="shared" si="5"/>
        <v>874425.39461840794</v>
      </c>
      <c r="J48" s="14">
        <f t="shared" si="5"/>
        <v>0</v>
      </c>
      <c r="K48" s="14">
        <f t="shared" si="5"/>
        <v>3144648.1454516468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529</v>
      </c>
      <c r="C52" s="385"/>
      <c r="D52" s="359"/>
      <c r="F52" s="11">
        <f>+'[6]MHE CBR Detail 2009'!O88</f>
        <v>1229.1493636363634</v>
      </c>
      <c r="G52" s="11">
        <f>+'[6]MHE CBR Detail 2009'!O87</f>
        <v>1638.865818181818</v>
      </c>
      <c r="H52" s="12">
        <f>+'[6]MHE CBR Detail 2009'!K86</f>
        <v>901376.2</v>
      </c>
      <c r="I52" s="13">
        <v>0</v>
      </c>
      <c r="J52" s="12">
        <f>+'[6]MHE CBR Detail 2009'!K85</f>
        <v>-54148.51</v>
      </c>
      <c r="K52" s="14">
        <f t="shared" ref="K52:K61" si="6">(H52+I52)-J52</f>
        <v>955524.71</v>
      </c>
    </row>
    <row r="53" spans="1:11" ht="18" customHeight="1">
      <c r="A53" s="6" t="s">
        <v>63</v>
      </c>
      <c r="B53" s="381" t="s">
        <v>530</v>
      </c>
      <c r="C53" s="358"/>
      <c r="D53" s="359"/>
      <c r="F53" s="11">
        <f>+'[6]MHE CBR Detail 2009'!O92</f>
        <v>18250</v>
      </c>
      <c r="G53" s="11">
        <f>+'[6]MHE CBR Detail 2009'!O91</f>
        <v>38509</v>
      </c>
      <c r="H53" s="12">
        <f>+'[6]MHE CBR Detail 2009'!K90</f>
        <v>916658.62</v>
      </c>
      <c r="I53" s="13">
        <v>0</v>
      </c>
      <c r="J53" s="12"/>
      <c r="K53" s="14">
        <f t="shared" si="6"/>
        <v>916658.62</v>
      </c>
    </row>
    <row r="54" spans="1:11" ht="18" customHeight="1">
      <c r="A54" s="6" t="s">
        <v>65</v>
      </c>
      <c r="B54" s="381" t="s">
        <v>531</v>
      </c>
      <c r="C54" s="358"/>
      <c r="D54" s="359"/>
      <c r="F54" s="11"/>
      <c r="G54" s="11"/>
      <c r="H54" s="12">
        <f>+'[6]MHE CBR Detail 2009'!I163</f>
        <v>8546.91</v>
      </c>
      <c r="I54" s="13">
        <f>H54*F$116</f>
        <v>3292.0272456854609</v>
      </c>
      <c r="J54" s="12"/>
      <c r="K54" s="14">
        <f t="shared" si="6"/>
        <v>11838.937245685462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6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6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6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6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6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6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6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7">SUM(F52:F61)</f>
        <v>19479.149363636363</v>
      </c>
      <c r="G63" s="19">
        <f t="shared" si="7"/>
        <v>40147.865818181817</v>
      </c>
      <c r="H63" s="14">
        <f t="shared" si="7"/>
        <v>1826581.7299999997</v>
      </c>
      <c r="I63" s="14">
        <f t="shared" si="7"/>
        <v>3292.0272456854609</v>
      </c>
      <c r="J63" s="14">
        <f t="shared" si="7"/>
        <v>-54148.51</v>
      </c>
      <c r="K63" s="14">
        <f t="shared" si="7"/>
        <v>1884022.2672456854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8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8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8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8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8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8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9">SUM(F67:F72)</f>
        <v>0</v>
      </c>
      <c r="G74" s="43">
        <f t="shared" si="9"/>
        <v>0</v>
      </c>
      <c r="H74" s="43">
        <f t="shared" si="9"/>
        <v>0</v>
      </c>
      <c r="I74" s="43">
        <f t="shared" si="9"/>
        <v>0</v>
      </c>
      <c r="J74" s="43">
        <f t="shared" si="9"/>
        <v>0</v>
      </c>
      <c r="K74" s="43">
        <f t="shared" si="9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0">SUM(F77:F80)</f>
        <v>0</v>
      </c>
      <c r="G82" s="44">
        <f t="shared" si="10"/>
        <v>0</v>
      </c>
      <c r="H82" s="45">
        <f t="shared" si="10"/>
        <v>0</v>
      </c>
      <c r="I82" s="45">
        <f t="shared" si="10"/>
        <v>0</v>
      </c>
      <c r="J82" s="45">
        <f t="shared" si="10"/>
        <v>0</v>
      </c>
      <c r="K82" s="45">
        <f t="shared" si="10"/>
        <v>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1">H86*F$116</f>
        <v>0</v>
      </c>
      <c r="J86" s="12"/>
      <c r="K86" s="14">
        <f t="shared" ref="K86:K97" si="12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1"/>
        <v>0</v>
      </c>
      <c r="J87" s="12"/>
      <c r="K87" s="14">
        <f t="shared" si="12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1"/>
        <v>0</v>
      </c>
      <c r="J88" s="12"/>
      <c r="K88" s="14">
        <f t="shared" si="12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1"/>
        <v>0</v>
      </c>
      <c r="J89" s="12"/>
      <c r="K89" s="14">
        <f t="shared" si="12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1"/>
        <v>0</v>
      </c>
      <c r="J90" s="12"/>
      <c r="K90" s="14">
        <f t="shared" si="12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1"/>
        <v>0</v>
      </c>
      <c r="J91" s="12"/>
      <c r="K91" s="14">
        <f t="shared" si="12"/>
        <v>0</v>
      </c>
    </row>
    <row r="92" spans="1:11" ht="18" customHeight="1">
      <c r="A92" s="6" t="s">
        <v>112</v>
      </c>
      <c r="B92" s="63" t="s">
        <v>113</v>
      </c>
      <c r="F92" s="46">
        <f>+'[6]MHE CBR Detail 2009'!H78</f>
        <v>12</v>
      </c>
      <c r="G92" s="46">
        <f>+'[6]MHE CBR Detail 2009'!G78</f>
        <v>10123</v>
      </c>
      <c r="H92" s="47">
        <f>+'[6]MHE CBR Detail 2009'!P78</f>
        <v>10824.317104313792</v>
      </c>
      <c r="I92" s="13">
        <f t="shared" si="11"/>
        <v>4169.2198494356617</v>
      </c>
      <c r="J92" s="47"/>
      <c r="K92" s="14">
        <f t="shared" si="12"/>
        <v>14993.536953749453</v>
      </c>
    </row>
    <row r="93" spans="1:11" ht="18" customHeight="1">
      <c r="A93" s="6" t="s">
        <v>114</v>
      </c>
      <c r="B93" s="63" t="s">
        <v>115</v>
      </c>
      <c r="F93" s="11"/>
      <c r="G93" s="11">
        <f>+'[6]MHE CBR Detail 2009'!G67</f>
        <v>3077</v>
      </c>
      <c r="H93" s="12"/>
      <c r="I93" s="13">
        <f t="shared" si="11"/>
        <v>0</v>
      </c>
      <c r="J93" s="12"/>
      <c r="K93" s="14">
        <f t="shared" si="12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1"/>
        <v>0</v>
      </c>
      <c r="J94" s="12"/>
      <c r="K94" s="14">
        <f t="shared" si="12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1"/>
        <v>0</v>
      </c>
      <c r="J95" s="12"/>
      <c r="K95" s="14">
        <f t="shared" si="12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1"/>
        <v>0</v>
      </c>
      <c r="J96" s="12"/>
      <c r="K96" s="14">
        <f t="shared" si="12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1"/>
        <v>0</v>
      </c>
      <c r="J97" s="12"/>
      <c r="K97" s="14">
        <f t="shared" si="12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3">SUM(F86:F97)</f>
        <v>12</v>
      </c>
      <c r="G99" s="19">
        <f t="shared" si="13"/>
        <v>13200</v>
      </c>
      <c r="H99" s="19">
        <f t="shared" si="13"/>
        <v>10824.317104313792</v>
      </c>
      <c r="I99" s="19">
        <f t="shared" si="13"/>
        <v>4169.2198494356617</v>
      </c>
      <c r="J99" s="19">
        <f t="shared" si="13"/>
        <v>0</v>
      </c>
      <c r="K99" s="19">
        <f t="shared" si="13"/>
        <v>14993.536953749453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4">H103*F$116</f>
        <v>0</v>
      </c>
      <c r="J103" s="12"/>
      <c r="K103" s="14">
        <f t="shared" ref="K103:K108" si="15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4"/>
        <v>0</v>
      </c>
      <c r="J104" s="12"/>
      <c r="K104" s="14">
        <f t="shared" si="15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4"/>
        <v>0</v>
      </c>
      <c r="J105" s="12"/>
      <c r="K105" s="14">
        <f t="shared" si="15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4"/>
        <v>0</v>
      </c>
      <c r="J106" s="12"/>
      <c r="K106" s="14">
        <f t="shared" si="15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4"/>
        <v>0</v>
      </c>
      <c r="J107" s="12"/>
      <c r="K107" s="14">
        <f t="shared" si="15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4"/>
        <v>0</v>
      </c>
      <c r="J108" s="12"/>
      <c r="K108" s="14">
        <f t="shared" si="15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6">SUM(F103:F108)</f>
        <v>0</v>
      </c>
      <c r="G110" s="19">
        <f t="shared" si="16"/>
        <v>0</v>
      </c>
      <c r="H110" s="14">
        <f t="shared" si="16"/>
        <v>0</v>
      </c>
      <c r="I110" s="14">
        <f t="shared" si="16"/>
        <v>0</v>
      </c>
      <c r="J110" s="14">
        <f t="shared" si="16"/>
        <v>0</v>
      </c>
      <c r="K110" s="14">
        <f t="shared" si="16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f>+'[6]MHE CBR Detail 2009'!E186</f>
        <v>3109636.0000000005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f>+'[6]MHE CBR Detail 2009'!G170</f>
        <v>0.38517162877407868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f>+'[6]MHE CBR Detail 2009'!E224*1000</f>
        <v>139245217.84999999</v>
      </c>
    </row>
    <row r="120" spans="1:6" ht="18" customHeight="1">
      <c r="B120" s="2" t="s">
        <v>137</v>
      </c>
      <c r="F120" s="12">
        <f>+'[6]MHE CBR Detail 2009'!E225*1000</f>
        <v>1770296.4199999997</v>
      </c>
    </row>
    <row r="121" spans="1:6" ht="18" customHeight="1">
      <c r="A121" s="6"/>
      <c r="B121" s="5" t="s">
        <v>138</v>
      </c>
      <c r="F121" s="12">
        <f>+F120+F119</f>
        <v>141015514.26999998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f>+'[6]MHE CBR Detail 2009'!E233*1000</f>
        <v>134106844.82514803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6908669.4448519498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f>+'[6]MHE CBR Detail 2009'!G235*1000</f>
        <v>-6152199.5000000009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+F127+F125</f>
        <v>756469.94485194888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f>+'[6]MHE CBR Detail 2009'!G145</f>
        <v>7790</v>
      </c>
      <c r="J133" s="13">
        <f>+'[6]MHE CBR Detail 2009'!H145</f>
        <v>1315</v>
      </c>
      <c r="K133" s="14">
        <f t="shared" ref="K133:K138" si="17">(H133+I133)-J133</f>
        <v>6475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f>+'[6]MHE CBR Detail 2009'!G153</f>
        <v>125530</v>
      </c>
      <c r="J134" s="12">
        <f>+'[6]MHE CBR Detail 2009'!H153</f>
        <v>0</v>
      </c>
      <c r="K134" s="14">
        <f t="shared" si="17"/>
        <v>125530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7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7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7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7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8">SUM(F133:F138)</f>
        <v>0</v>
      </c>
      <c r="G140" s="19">
        <f t="shared" si="18"/>
        <v>0</v>
      </c>
      <c r="H140" s="14">
        <f t="shared" si="18"/>
        <v>0</v>
      </c>
      <c r="I140" s="14">
        <f t="shared" si="18"/>
        <v>133320</v>
      </c>
      <c r="J140" s="14">
        <f t="shared" si="18"/>
        <v>1315</v>
      </c>
      <c r="K140" s="14">
        <f t="shared" si="18"/>
        <v>132005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9">F34</f>
        <v>33226</v>
      </c>
      <c r="G144" s="54">
        <f t="shared" si="19"/>
        <v>26058</v>
      </c>
      <c r="H144" s="54">
        <f t="shared" si="19"/>
        <v>241577.14369439747</v>
      </c>
      <c r="I144" s="54">
        <f t="shared" si="19"/>
        <v>93048.661911360716</v>
      </c>
      <c r="J144" s="54">
        <f t="shared" si="19"/>
        <v>48761</v>
      </c>
      <c r="K144" s="54">
        <f t="shared" si="19"/>
        <v>285864.80560575816</v>
      </c>
    </row>
    <row r="145" spans="1:11" ht="18" customHeight="1">
      <c r="A145" s="6" t="s">
        <v>162</v>
      </c>
      <c r="B145" s="5" t="s">
        <v>163</v>
      </c>
      <c r="F145" s="54">
        <f t="shared" ref="F145:K145" si="20">F48</f>
        <v>42828.411284009264</v>
      </c>
      <c r="G145" s="54">
        <f t="shared" si="20"/>
        <v>138</v>
      </c>
      <c r="H145" s="54">
        <f t="shared" si="20"/>
        <v>2270222.7508332389</v>
      </c>
      <c r="I145" s="54">
        <f t="shared" si="20"/>
        <v>874425.39461840794</v>
      </c>
      <c r="J145" s="54">
        <f t="shared" si="20"/>
        <v>0</v>
      </c>
      <c r="K145" s="54">
        <f t="shared" si="20"/>
        <v>3144648.1454516468</v>
      </c>
    </row>
    <row r="146" spans="1:11" ht="18" customHeight="1">
      <c r="A146" s="6" t="s">
        <v>164</v>
      </c>
      <c r="B146" s="5" t="s">
        <v>165</v>
      </c>
      <c r="F146" s="54">
        <f t="shared" ref="F146:K146" si="21">F63</f>
        <v>19479.149363636363</v>
      </c>
      <c r="G146" s="54">
        <f t="shared" si="21"/>
        <v>40147.865818181817</v>
      </c>
      <c r="H146" s="54">
        <f t="shared" si="21"/>
        <v>1826581.7299999997</v>
      </c>
      <c r="I146" s="54">
        <f t="shared" si="21"/>
        <v>3292.0272456854609</v>
      </c>
      <c r="J146" s="54">
        <f t="shared" si="21"/>
        <v>-54148.51</v>
      </c>
      <c r="K146" s="54">
        <f t="shared" si="21"/>
        <v>1884022.2672456854</v>
      </c>
    </row>
    <row r="147" spans="1:11" ht="18" customHeight="1">
      <c r="A147" s="6" t="s">
        <v>166</v>
      </c>
      <c r="B147" s="5" t="s">
        <v>167</v>
      </c>
      <c r="F147" s="54">
        <f t="shared" ref="F147:K147" si="22">F74</f>
        <v>0</v>
      </c>
      <c r="G147" s="54">
        <f t="shared" si="22"/>
        <v>0</v>
      </c>
      <c r="H147" s="54">
        <f t="shared" si="22"/>
        <v>0</v>
      </c>
      <c r="I147" s="54">
        <f t="shared" si="22"/>
        <v>0</v>
      </c>
      <c r="J147" s="54">
        <f t="shared" si="22"/>
        <v>0</v>
      </c>
      <c r="K147" s="54">
        <f t="shared" si="22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3">F82</f>
        <v>0</v>
      </c>
      <c r="G148" s="54">
        <f t="shared" si="23"/>
        <v>0</v>
      </c>
      <c r="H148" s="54">
        <f t="shared" si="23"/>
        <v>0</v>
      </c>
      <c r="I148" s="54">
        <f t="shared" si="23"/>
        <v>0</v>
      </c>
      <c r="J148" s="54">
        <f t="shared" si="23"/>
        <v>0</v>
      </c>
      <c r="K148" s="54">
        <f t="shared" si="23"/>
        <v>0</v>
      </c>
    </row>
    <row r="149" spans="1:11" ht="18" customHeight="1">
      <c r="A149" s="6" t="s">
        <v>170</v>
      </c>
      <c r="B149" s="5" t="s">
        <v>171</v>
      </c>
      <c r="F149" s="54">
        <f t="shared" ref="F149:K149" si="24">F99</f>
        <v>12</v>
      </c>
      <c r="G149" s="54">
        <f t="shared" si="24"/>
        <v>13200</v>
      </c>
      <c r="H149" s="54">
        <f t="shared" si="24"/>
        <v>10824.317104313792</v>
      </c>
      <c r="I149" s="54">
        <f t="shared" si="24"/>
        <v>4169.2198494356617</v>
      </c>
      <c r="J149" s="54">
        <f t="shared" si="24"/>
        <v>0</v>
      </c>
      <c r="K149" s="54">
        <f t="shared" si="24"/>
        <v>14993.536953749453</v>
      </c>
    </row>
    <row r="150" spans="1:11" ht="18" customHeight="1">
      <c r="A150" s="6" t="s">
        <v>172</v>
      </c>
      <c r="B150" s="5" t="s">
        <v>173</v>
      </c>
      <c r="F150" s="19">
        <f t="shared" ref="F150:K150" si="25">F110</f>
        <v>0</v>
      </c>
      <c r="G150" s="19">
        <f t="shared" si="25"/>
        <v>0</v>
      </c>
      <c r="H150" s="19">
        <f t="shared" si="25"/>
        <v>0</v>
      </c>
      <c r="I150" s="19">
        <f t="shared" si="25"/>
        <v>0</v>
      </c>
      <c r="J150" s="19">
        <f t="shared" si="25"/>
        <v>0</v>
      </c>
      <c r="K150" s="19">
        <f t="shared" si="25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3109636.0000000005</v>
      </c>
    </row>
    <row r="152" spans="1:11" ht="18" customHeight="1">
      <c r="A152" s="6" t="s">
        <v>147</v>
      </c>
      <c r="B152" s="5" t="s">
        <v>177</v>
      </c>
      <c r="F152" s="19">
        <f t="shared" ref="F152:K152" si="26">F140</f>
        <v>0</v>
      </c>
      <c r="G152" s="19">
        <f t="shared" si="26"/>
        <v>0</v>
      </c>
      <c r="H152" s="19">
        <f t="shared" si="26"/>
        <v>0</v>
      </c>
      <c r="I152" s="19">
        <f t="shared" si="26"/>
        <v>133320</v>
      </c>
      <c r="J152" s="19">
        <f t="shared" si="26"/>
        <v>1315</v>
      </c>
      <c r="K152" s="19">
        <f t="shared" si="26"/>
        <v>132005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7">SUM(F144:F152)</f>
        <v>95545.560647645616</v>
      </c>
      <c r="G154" s="60">
        <f t="shared" si="27"/>
        <v>79543.865818181817</v>
      </c>
      <c r="H154" s="60">
        <f t="shared" si="27"/>
        <v>4349205.9416319495</v>
      </c>
      <c r="I154" s="60">
        <f t="shared" si="27"/>
        <v>1108255.3036248898</v>
      </c>
      <c r="J154" s="60">
        <f t="shared" si="27"/>
        <v>-4072.510000000002</v>
      </c>
      <c r="K154" s="61">
        <f t="shared" si="27"/>
        <v>8571169.7552568391</v>
      </c>
    </row>
    <row r="156" spans="1:11" ht="18" customHeight="1">
      <c r="B156" s="5" t="s">
        <v>178</v>
      </c>
      <c r="F156" s="219">
        <f>K154/F123</f>
        <v>6.3912992408643662E-2</v>
      </c>
    </row>
    <row r="157" spans="1:11" ht="18" customHeight="1">
      <c r="B157" s="5" t="s">
        <v>179</v>
      </c>
      <c r="F157" s="219">
        <f>K154/F129</f>
        <v>11.330482874550066</v>
      </c>
      <c r="G157" s="5"/>
    </row>
    <row r="158" spans="1:11" ht="18" customHeight="1">
      <c r="G158" s="5"/>
    </row>
  </sheetData>
  <sheetProtection password="EF72" sheet="1"/>
  <mergeCells count="34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0:C90"/>
    <mergeCell ref="B44:D44"/>
    <mergeCell ref="B45:D45"/>
    <mergeCell ref="B46:D46"/>
    <mergeCell ref="B51:C51"/>
    <mergeCell ref="B52:D52"/>
    <mergeCell ref="B53:D53"/>
    <mergeCell ref="B54:D54"/>
    <mergeCell ref="B39:C39"/>
    <mergeCell ref="B55:D55"/>
    <mergeCell ref="B56:D56"/>
    <mergeCell ref="B58:D58"/>
    <mergeCell ref="B61:D61"/>
    <mergeCell ref="B108:D108"/>
    <mergeCell ref="B137:D137"/>
    <mergeCell ref="B138:D138"/>
    <mergeCell ref="B95:D95"/>
    <mergeCell ref="B96:D96"/>
    <mergeCell ref="B97:D97"/>
    <mergeCell ref="B104:C104"/>
    <mergeCell ref="B106:D106"/>
    <mergeCell ref="B107:D107"/>
    <mergeCell ref="B136:D136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442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441</v>
      </c>
      <c r="D6" s="366"/>
      <c r="E6" s="366"/>
      <c r="F6" s="366"/>
      <c r="G6" s="367"/>
    </row>
    <row r="7" spans="1:11" ht="18" customHeight="1">
      <c r="B7" s="6" t="s">
        <v>5</v>
      </c>
      <c r="C7" s="368">
        <v>3260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440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439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438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4388.3</v>
      </c>
      <c r="G18" s="11">
        <v>305746</v>
      </c>
      <c r="H18" s="12">
        <v>475077</v>
      </c>
      <c r="I18" s="13">
        <v>254455</v>
      </c>
      <c r="J18" s="12">
        <v>58832</v>
      </c>
      <c r="K18" s="14">
        <f t="shared" ref="K18:K32" si="0">(H18+I18)-J18</f>
        <v>670700</v>
      </c>
    </row>
    <row r="19" spans="1:11" ht="18" customHeight="1">
      <c r="A19" s="6"/>
      <c r="B19" s="2" t="s">
        <v>23</v>
      </c>
      <c r="F19" s="11">
        <v>0</v>
      </c>
      <c r="G19" s="11">
        <v>0</v>
      </c>
      <c r="H19" s="12">
        <v>0</v>
      </c>
      <c r="I19" s="13">
        <v>0</v>
      </c>
      <c r="J19" s="12">
        <v>0</v>
      </c>
      <c r="K19" s="14">
        <f t="shared" si="0"/>
        <v>0</v>
      </c>
    </row>
    <row r="20" spans="1:11" ht="18" customHeight="1">
      <c r="A20" s="6"/>
      <c r="B20" s="2" t="s">
        <v>24</v>
      </c>
      <c r="F20" s="11">
        <v>0</v>
      </c>
      <c r="G20" s="11">
        <v>0</v>
      </c>
      <c r="H20" s="12">
        <v>0</v>
      </c>
      <c r="I20" s="13">
        <v>0</v>
      </c>
      <c r="J20" s="12">
        <v>0</v>
      </c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7483.5</v>
      </c>
      <c r="G21" s="11">
        <v>5328</v>
      </c>
      <c r="H21" s="12">
        <v>623289</v>
      </c>
      <c r="I21" s="13">
        <v>336576</v>
      </c>
      <c r="J21" s="12">
        <v>40060</v>
      </c>
      <c r="K21" s="14">
        <f t="shared" si="0"/>
        <v>919805</v>
      </c>
    </row>
    <row r="22" spans="1:11" ht="18" customHeight="1">
      <c r="A22" s="6"/>
      <c r="B22" s="2" t="s">
        <v>27</v>
      </c>
      <c r="F22" s="11">
        <v>0</v>
      </c>
      <c r="G22" s="11">
        <v>0</v>
      </c>
      <c r="H22" s="12">
        <v>0</v>
      </c>
      <c r="I22" s="13">
        <v>0</v>
      </c>
      <c r="J22" s="12">
        <v>0</v>
      </c>
      <c r="K22" s="14">
        <f t="shared" si="0"/>
        <v>0</v>
      </c>
    </row>
    <row r="23" spans="1:11" ht="18" customHeight="1">
      <c r="A23" s="6"/>
      <c r="B23" s="2" t="s">
        <v>28</v>
      </c>
      <c r="F23" s="11">
        <v>0</v>
      </c>
      <c r="G23" s="11">
        <v>0</v>
      </c>
      <c r="H23" s="12">
        <v>0</v>
      </c>
      <c r="I23" s="13">
        <v>0</v>
      </c>
      <c r="J23" s="12">
        <v>0</v>
      </c>
      <c r="K23" s="14">
        <f t="shared" si="0"/>
        <v>0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v>0</v>
      </c>
      <c r="J24" s="12">
        <v>0</v>
      </c>
      <c r="K24" s="14">
        <f t="shared" si="0"/>
        <v>0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2">
        <v>0</v>
      </c>
      <c r="I25" s="13">
        <v>0</v>
      </c>
      <c r="J25" s="12">
        <v>0</v>
      </c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57</v>
      </c>
      <c r="G26" s="11">
        <v>173</v>
      </c>
      <c r="H26" s="12">
        <v>398184</v>
      </c>
      <c r="I26" s="13">
        <v>214558</v>
      </c>
      <c r="J26" s="12">
        <v>0</v>
      </c>
      <c r="K26" s="14">
        <f t="shared" si="0"/>
        <v>612742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2">
        <v>0</v>
      </c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 t="s">
        <v>437</v>
      </c>
      <c r="C28" s="379"/>
      <c r="D28" s="380"/>
      <c r="F28" s="11">
        <v>26</v>
      </c>
      <c r="G28" s="11">
        <v>105</v>
      </c>
      <c r="H28" s="12">
        <v>2184</v>
      </c>
      <c r="I28" s="13">
        <v>1179</v>
      </c>
      <c r="J28" s="12">
        <v>0</v>
      </c>
      <c r="K28" s="14">
        <f t="shared" si="0"/>
        <v>3363</v>
      </c>
    </row>
    <row r="29" spans="1:11" ht="18" customHeight="1">
      <c r="A29" s="6" t="s">
        <v>37</v>
      </c>
      <c r="B29" s="378"/>
      <c r="C29" s="379"/>
      <c r="D29" s="380"/>
      <c r="F29" s="11">
        <v>0</v>
      </c>
      <c r="G29" s="11">
        <v>0</v>
      </c>
      <c r="H29" s="12">
        <v>0</v>
      </c>
      <c r="I29" s="13">
        <v>0</v>
      </c>
      <c r="J29" s="12">
        <v>0</v>
      </c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>
        <v>0</v>
      </c>
      <c r="G30" s="11">
        <v>0</v>
      </c>
      <c r="H30" s="12">
        <v>0</v>
      </c>
      <c r="I30" s="13">
        <v>0</v>
      </c>
      <c r="J30" s="12">
        <v>0</v>
      </c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>
        <v>0</v>
      </c>
      <c r="G31" s="11">
        <v>0</v>
      </c>
      <c r="H31" s="12">
        <v>0</v>
      </c>
      <c r="I31" s="13">
        <v>0</v>
      </c>
      <c r="J31" s="12">
        <v>0</v>
      </c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>
        <v>0</v>
      </c>
      <c r="G32" s="11">
        <v>0</v>
      </c>
      <c r="H32" s="12">
        <v>0</v>
      </c>
      <c r="I32" s="13">
        <v>0</v>
      </c>
      <c r="J32" s="12">
        <v>0</v>
      </c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11954.8</v>
      </c>
      <c r="G34" s="19">
        <f t="shared" si="1"/>
        <v>311352</v>
      </c>
      <c r="H34" s="14">
        <f t="shared" si="1"/>
        <v>1498734</v>
      </c>
      <c r="I34" s="14">
        <f t="shared" si="1"/>
        <v>806768</v>
      </c>
      <c r="J34" s="14">
        <f t="shared" si="1"/>
        <v>98892</v>
      </c>
      <c r="K34" s="14">
        <f t="shared" si="1"/>
        <v>2206610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192</v>
      </c>
      <c r="G38" s="11">
        <v>230</v>
      </c>
      <c r="H38" s="12">
        <v>8263565</v>
      </c>
      <c r="I38" s="13">
        <v>4462324</v>
      </c>
      <c r="J38" s="12">
        <v>0</v>
      </c>
      <c r="K38" s="14">
        <f t="shared" ref="K38:K46" si="2">(H38+I38)-J38</f>
        <v>12725889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0</v>
      </c>
      <c r="I39" s="13">
        <v>0</v>
      </c>
      <c r="J39" s="12">
        <v>0</v>
      </c>
      <c r="K39" s="14">
        <f t="shared" si="2"/>
        <v>0</v>
      </c>
    </row>
    <row r="40" spans="1:11" ht="18" customHeight="1">
      <c r="A40" s="6" t="s">
        <v>48</v>
      </c>
      <c r="B40" s="63" t="s">
        <v>49</v>
      </c>
      <c r="F40" s="11">
        <v>3020</v>
      </c>
      <c r="G40" s="11">
        <v>1293</v>
      </c>
      <c r="H40" s="12">
        <v>963041</v>
      </c>
      <c r="I40" s="13">
        <v>519901</v>
      </c>
      <c r="J40" s="12">
        <v>9750</v>
      </c>
      <c r="K40" s="14">
        <f t="shared" si="2"/>
        <v>1473192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0</v>
      </c>
      <c r="G41" s="11">
        <v>0</v>
      </c>
      <c r="H41" s="12">
        <v>0</v>
      </c>
      <c r="I41" s="13">
        <v>0</v>
      </c>
      <c r="J41" s="12">
        <v>0</v>
      </c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626</v>
      </c>
      <c r="G42" s="11">
        <v>193</v>
      </c>
      <c r="H42" s="12">
        <v>38551</v>
      </c>
      <c r="I42" s="13">
        <v>18598</v>
      </c>
      <c r="J42" s="12">
        <v>0</v>
      </c>
      <c r="K42" s="14">
        <f t="shared" si="2"/>
        <v>57149</v>
      </c>
    </row>
    <row r="43" spans="1:11" ht="18" customHeight="1">
      <c r="A43" s="6" t="s">
        <v>54</v>
      </c>
      <c r="B43" s="63" t="s">
        <v>34</v>
      </c>
      <c r="F43" s="11">
        <v>0</v>
      </c>
      <c r="G43" s="11">
        <v>0</v>
      </c>
      <c r="H43" s="12">
        <v>0</v>
      </c>
      <c r="I43" s="13">
        <v>0</v>
      </c>
      <c r="J43" s="12">
        <v>0</v>
      </c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>
        <v>0</v>
      </c>
      <c r="G44" s="11">
        <v>0</v>
      </c>
      <c r="H44" s="12">
        <v>0</v>
      </c>
      <c r="I44" s="13">
        <v>0</v>
      </c>
      <c r="J44" s="12">
        <v>0</v>
      </c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>
        <v>0</v>
      </c>
      <c r="G45" s="11">
        <v>0</v>
      </c>
      <c r="H45" s="12">
        <v>0</v>
      </c>
      <c r="I45" s="13">
        <v>0</v>
      </c>
      <c r="J45" s="12">
        <v>0</v>
      </c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>
        <v>0</v>
      </c>
      <c r="G46" s="11">
        <v>0</v>
      </c>
      <c r="H46" s="12">
        <v>0</v>
      </c>
      <c r="I46" s="13">
        <v>0</v>
      </c>
      <c r="J46" s="12">
        <v>0</v>
      </c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3838</v>
      </c>
      <c r="G48" s="25">
        <f t="shared" si="3"/>
        <v>1716</v>
      </c>
      <c r="H48" s="14">
        <f t="shared" si="3"/>
        <v>9265157</v>
      </c>
      <c r="I48" s="14">
        <f t="shared" si="3"/>
        <v>5000823</v>
      </c>
      <c r="J48" s="14">
        <f t="shared" si="3"/>
        <v>9750</v>
      </c>
      <c r="K48" s="14">
        <f t="shared" si="3"/>
        <v>14256230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436</v>
      </c>
      <c r="C52" s="385"/>
      <c r="D52" s="359"/>
      <c r="F52" s="11">
        <v>0</v>
      </c>
      <c r="G52" s="11">
        <v>0</v>
      </c>
      <c r="H52" s="12">
        <v>3784878.3782356139</v>
      </c>
      <c r="I52" s="13">
        <v>0</v>
      </c>
      <c r="J52" s="12">
        <v>2917470.7199999988</v>
      </c>
      <c r="K52" s="14">
        <f t="shared" ref="K52:K61" si="4">(H52+I52)-J52</f>
        <v>867407.65823561512</v>
      </c>
    </row>
    <row r="53" spans="1:11" ht="18" customHeight="1">
      <c r="A53" s="6" t="s">
        <v>63</v>
      </c>
      <c r="B53" s="27" t="s">
        <v>435</v>
      </c>
      <c r="C53" s="28"/>
      <c r="D53" s="29"/>
      <c r="F53" s="11">
        <v>0</v>
      </c>
      <c r="G53" s="11">
        <v>0</v>
      </c>
      <c r="H53" s="12">
        <v>1411403.5500000003</v>
      </c>
      <c r="I53" s="13">
        <v>0</v>
      </c>
      <c r="J53" s="12">
        <v>673959.6100000001</v>
      </c>
      <c r="K53" s="14">
        <f t="shared" si="4"/>
        <v>737443.94000000018</v>
      </c>
    </row>
    <row r="54" spans="1:11" ht="18" customHeight="1">
      <c r="A54" s="6" t="s">
        <v>65</v>
      </c>
      <c r="B54" s="381" t="s">
        <v>434</v>
      </c>
      <c r="C54" s="358"/>
      <c r="D54" s="359"/>
      <c r="F54" s="11">
        <v>0</v>
      </c>
      <c r="G54" s="11">
        <v>0</v>
      </c>
      <c r="H54" s="12">
        <v>2320426.7250000001</v>
      </c>
      <c r="I54" s="13">
        <v>0</v>
      </c>
      <c r="J54" s="12">
        <v>1945802.5299999996</v>
      </c>
      <c r="K54" s="14">
        <f t="shared" si="4"/>
        <v>374624.19500000053</v>
      </c>
    </row>
    <row r="55" spans="1:11" ht="18" customHeight="1">
      <c r="A55" s="6" t="s">
        <v>67</v>
      </c>
      <c r="B55" s="381" t="s">
        <v>433</v>
      </c>
      <c r="C55" s="358"/>
      <c r="D55" s="359"/>
      <c r="F55" s="11">
        <v>0</v>
      </c>
      <c r="G55" s="11">
        <v>0</v>
      </c>
      <c r="H55" s="12">
        <v>308571.34999999992</v>
      </c>
      <c r="I55" s="13">
        <v>0</v>
      </c>
      <c r="J55" s="12">
        <v>0</v>
      </c>
      <c r="K55" s="14">
        <f t="shared" si="4"/>
        <v>308571.34999999992</v>
      </c>
    </row>
    <row r="56" spans="1:11" ht="18" customHeight="1">
      <c r="A56" s="6" t="s">
        <v>69</v>
      </c>
      <c r="B56" s="381"/>
      <c r="C56" s="358"/>
      <c r="D56" s="359"/>
      <c r="F56" s="11">
        <v>0</v>
      </c>
      <c r="G56" s="11">
        <v>0</v>
      </c>
      <c r="H56" s="12">
        <v>0</v>
      </c>
      <c r="I56" s="13">
        <v>0</v>
      </c>
      <c r="J56" s="12">
        <v>0</v>
      </c>
      <c r="K56" s="14">
        <f t="shared" si="4"/>
        <v>0</v>
      </c>
    </row>
    <row r="57" spans="1:11" ht="18" customHeight="1">
      <c r="A57" s="6" t="s">
        <v>71</v>
      </c>
      <c r="B57" s="27"/>
      <c r="C57" s="28"/>
      <c r="D57" s="29"/>
      <c r="F57" s="11">
        <v>0</v>
      </c>
      <c r="G57" s="11">
        <v>0</v>
      </c>
      <c r="H57" s="12">
        <v>0</v>
      </c>
      <c r="I57" s="13">
        <v>0</v>
      </c>
      <c r="J57" s="12">
        <v>0</v>
      </c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>
        <v>0</v>
      </c>
      <c r="G58" s="11">
        <v>0</v>
      </c>
      <c r="H58" s="12">
        <v>0</v>
      </c>
      <c r="I58" s="13">
        <v>0</v>
      </c>
      <c r="J58" s="12">
        <v>0</v>
      </c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>
        <v>0</v>
      </c>
      <c r="G59" s="11">
        <v>0</v>
      </c>
      <c r="H59" s="12">
        <v>0</v>
      </c>
      <c r="I59" s="13">
        <v>0</v>
      </c>
      <c r="J59" s="12">
        <v>0</v>
      </c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>
        <v>0</v>
      </c>
      <c r="G60" s="11">
        <v>0</v>
      </c>
      <c r="H60" s="12">
        <v>0</v>
      </c>
      <c r="I60" s="13">
        <v>0</v>
      </c>
      <c r="J60" s="12">
        <v>0</v>
      </c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>
        <v>0</v>
      </c>
      <c r="G61" s="11">
        <v>0</v>
      </c>
      <c r="H61" s="12">
        <v>0</v>
      </c>
      <c r="I61" s="13">
        <v>0</v>
      </c>
      <c r="J61" s="12">
        <v>0</v>
      </c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0</v>
      </c>
      <c r="G63" s="19">
        <f t="shared" si="5"/>
        <v>0</v>
      </c>
      <c r="H63" s="14">
        <f t="shared" si="5"/>
        <v>7825280.0032356139</v>
      </c>
      <c r="I63" s="14">
        <f t="shared" si="5"/>
        <v>0</v>
      </c>
      <c r="J63" s="14">
        <f t="shared" si="5"/>
        <v>5537232.8599999985</v>
      </c>
      <c r="K63" s="14">
        <f t="shared" si="5"/>
        <v>2288047.1432356159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197</v>
      </c>
      <c r="G67" s="34">
        <v>0</v>
      </c>
      <c r="H67" s="34">
        <v>18250</v>
      </c>
      <c r="I67" s="13">
        <v>0</v>
      </c>
      <c r="J67" s="12">
        <v>0</v>
      </c>
      <c r="K67" s="14">
        <f t="shared" ref="K67:K72" si="6">(H67+I67)-J67</f>
        <v>18250</v>
      </c>
    </row>
    <row r="68" spans="1:11" ht="18" customHeight="1">
      <c r="A68" s="6" t="s">
        <v>82</v>
      </c>
      <c r="B68" s="63" t="s">
        <v>83</v>
      </c>
      <c r="F68" s="34">
        <v>0</v>
      </c>
      <c r="G68" s="34">
        <v>0</v>
      </c>
      <c r="H68" s="34">
        <v>0</v>
      </c>
      <c r="I68" s="13">
        <v>0</v>
      </c>
      <c r="J68" s="12">
        <v>0</v>
      </c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>
        <v>0</v>
      </c>
      <c r="G69" s="11">
        <v>0</v>
      </c>
      <c r="H69" s="12">
        <v>0</v>
      </c>
      <c r="I69" s="13">
        <v>0</v>
      </c>
      <c r="J69" s="12">
        <v>0</v>
      </c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>
        <v>0</v>
      </c>
      <c r="G70" s="35">
        <v>0</v>
      </c>
      <c r="H70" s="36">
        <v>0</v>
      </c>
      <c r="I70" s="13">
        <v>0</v>
      </c>
      <c r="J70" s="36">
        <v>0</v>
      </c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>
        <v>0</v>
      </c>
      <c r="G71" s="35">
        <v>0</v>
      </c>
      <c r="H71" s="36">
        <v>0</v>
      </c>
      <c r="I71" s="13">
        <v>0</v>
      </c>
      <c r="J71" s="36">
        <v>0</v>
      </c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>
        <v>0</v>
      </c>
      <c r="G72" s="11">
        <v>0</v>
      </c>
      <c r="H72" s="12">
        <v>0</v>
      </c>
      <c r="I72" s="13">
        <v>0</v>
      </c>
      <c r="J72" s="12">
        <v>0</v>
      </c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197</v>
      </c>
      <c r="G74" s="43">
        <f t="shared" si="7"/>
        <v>0</v>
      </c>
      <c r="H74" s="43">
        <f t="shared" si="7"/>
        <v>18250</v>
      </c>
      <c r="I74" s="43">
        <f t="shared" si="7"/>
        <v>0</v>
      </c>
      <c r="J74" s="43">
        <f t="shared" si="7"/>
        <v>0</v>
      </c>
      <c r="K74" s="43">
        <f t="shared" si="7"/>
        <v>18250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283292</v>
      </c>
      <c r="I77" s="13">
        <v>0</v>
      </c>
      <c r="J77" s="12">
        <v>0</v>
      </c>
      <c r="K77" s="14">
        <f>(H77+I77)-J77</f>
        <v>283292</v>
      </c>
    </row>
    <row r="78" spans="1:11" ht="18" customHeight="1">
      <c r="A78" s="6" t="s">
        <v>93</v>
      </c>
      <c r="B78" s="63" t="s">
        <v>94</v>
      </c>
      <c r="F78" s="11">
        <v>6</v>
      </c>
      <c r="G78" s="11">
        <v>0</v>
      </c>
      <c r="H78" s="12">
        <v>300</v>
      </c>
      <c r="I78" s="13">
        <v>0</v>
      </c>
      <c r="J78" s="12">
        <v>0</v>
      </c>
      <c r="K78" s="14">
        <f>(H78+I78)-J78</f>
        <v>300</v>
      </c>
    </row>
    <row r="79" spans="1:11" ht="18" customHeight="1">
      <c r="A79" s="6" t="s">
        <v>95</v>
      </c>
      <c r="B79" s="63" t="s">
        <v>96</v>
      </c>
      <c r="F79" s="11">
        <v>298</v>
      </c>
      <c r="G79" s="11">
        <v>458</v>
      </c>
      <c r="H79" s="12">
        <v>126941</v>
      </c>
      <c r="I79" s="13">
        <v>0</v>
      </c>
      <c r="J79" s="12">
        <v>0</v>
      </c>
      <c r="K79" s="14">
        <f>(H79+I79)-J79</f>
        <v>126941</v>
      </c>
    </row>
    <row r="80" spans="1:11" ht="18" customHeight="1">
      <c r="A80" s="6" t="s">
        <v>93</v>
      </c>
      <c r="B80" s="63" t="s">
        <v>97</v>
      </c>
      <c r="F80" s="11">
        <v>0</v>
      </c>
      <c r="G80" s="11">
        <v>0</v>
      </c>
      <c r="H80" s="12">
        <v>0</v>
      </c>
      <c r="I80" s="13">
        <v>0</v>
      </c>
      <c r="J80" s="12">
        <v>0</v>
      </c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304</v>
      </c>
      <c r="G82" s="44">
        <f t="shared" si="8"/>
        <v>458</v>
      </c>
      <c r="H82" s="45">
        <f t="shared" si="8"/>
        <v>410533</v>
      </c>
      <c r="I82" s="45">
        <f t="shared" si="8"/>
        <v>0</v>
      </c>
      <c r="J82" s="45">
        <f t="shared" si="8"/>
        <v>0</v>
      </c>
      <c r="K82" s="45">
        <f t="shared" si="8"/>
        <v>410533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0</v>
      </c>
      <c r="G86" s="11">
        <v>0</v>
      </c>
      <c r="H86" s="12">
        <v>0</v>
      </c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0</v>
      </c>
      <c r="I87" s="13">
        <v>0</v>
      </c>
      <c r="J87" s="12">
        <v>0</v>
      </c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>
        <v>78</v>
      </c>
      <c r="G88" s="11">
        <v>22</v>
      </c>
      <c r="H88" s="12">
        <v>186374</v>
      </c>
      <c r="I88" s="13">
        <v>100643</v>
      </c>
      <c r="J88" s="12">
        <v>0</v>
      </c>
      <c r="K88" s="14">
        <f t="shared" si="9"/>
        <v>287017</v>
      </c>
    </row>
    <row r="89" spans="1:11" ht="18" customHeight="1">
      <c r="A89" s="6" t="s">
        <v>106</v>
      </c>
      <c r="B89" s="63" t="s">
        <v>107</v>
      </c>
      <c r="F89" s="11">
        <v>0</v>
      </c>
      <c r="G89" s="11">
        <v>0</v>
      </c>
      <c r="H89" s="12">
        <v>0</v>
      </c>
      <c r="I89" s="13">
        <v>0</v>
      </c>
      <c r="J89" s="12">
        <v>0</v>
      </c>
      <c r="K89" s="14">
        <f t="shared" si="9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17</v>
      </c>
      <c r="G90" s="11">
        <v>27</v>
      </c>
      <c r="H90" s="12">
        <v>1127</v>
      </c>
      <c r="I90" s="13">
        <v>606</v>
      </c>
      <c r="J90" s="12">
        <v>0</v>
      </c>
      <c r="K90" s="14">
        <f t="shared" si="9"/>
        <v>1733</v>
      </c>
    </row>
    <row r="91" spans="1:11" ht="18" customHeight="1">
      <c r="A91" s="6" t="s">
        <v>110</v>
      </c>
      <c r="B91" s="63" t="s">
        <v>111</v>
      </c>
      <c r="F91" s="11">
        <v>12</v>
      </c>
      <c r="G91" s="11">
        <v>0</v>
      </c>
      <c r="H91" s="12">
        <v>1395</v>
      </c>
      <c r="I91" s="13">
        <v>753</v>
      </c>
      <c r="J91" s="12">
        <v>0</v>
      </c>
      <c r="K91" s="14">
        <f t="shared" si="9"/>
        <v>2148</v>
      </c>
    </row>
    <row r="92" spans="1:11" ht="18" customHeight="1">
      <c r="A92" s="6" t="s">
        <v>112</v>
      </c>
      <c r="B92" s="63" t="s">
        <v>113</v>
      </c>
      <c r="F92" s="46">
        <v>34.5</v>
      </c>
      <c r="G92" s="46">
        <v>176</v>
      </c>
      <c r="H92" s="47">
        <v>41084</v>
      </c>
      <c r="I92" s="13">
        <v>22183</v>
      </c>
      <c r="J92" s="47">
        <v>0</v>
      </c>
      <c r="K92" s="14">
        <f t="shared" si="9"/>
        <v>63267</v>
      </c>
    </row>
    <row r="93" spans="1:11" ht="18" customHeight="1">
      <c r="A93" s="6" t="s">
        <v>114</v>
      </c>
      <c r="B93" s="63" t="s">
        <v>115</v>
      </c>
      <c r="F93" s="11">
        <v>13</v>
      </c>
      <c r="G93" s="11">
        <v>565</v>
      </c>
      <c r="H93" s="12">
        <v>403</v>
      </c>
      <c r="I93" s="13">
        <v>218</v>
      </c>
      <c r="J93" s="12">
        <v>0</v>
      </c>
      <c r="K93" s="14">
        <f t="shared" si="9"/>
        <v>621</v>
      </c>
    </row>
    <row r="94" spans="1:11" ht="18" customHeight="1">
      <c r="A94" s="6" t="s">
        <v>116</v>
      </c>
      <c r="B94" s="63" t="s">
        <v>85</v>
      </c>
      <c r="F94" s="11">
        <v>0</v>
      </c>
      <c r="G94" s="11">
        <v>0</v>
      </c>
      <c r="H94" s="12">
        <v>0</v>
      </c>
      <c r="I94" s="13">
        <v>0</v>
      </c>
      <c r="J94" s="12">
        <v>0</v>
      </c>
      <c r="K94" s="14">
        <f t="shared" si="9"/>
        <v>0</v>
      </c>
    </row>
    <row r="95" spans="1:11" ht="18" customHeight="1">
      <c r="A95" s="6"/>
      <c r="B95" s="381" t="s">
        <v>432</v>
      </c>
      <c r="C95" s="358"/>
      <c r="D95" s="359"/>
      <c r="F95" s="11">
        <v>15</v>
      </c>
      <c r="G95" s="11">
        <v>300</v>
      </c>
      <c r="H95" s="12">
        <v>560</v>
      </c>
      <c r="I95" s="13">
        <v>302</v>
      </c>
      <c r="J95" s="12">
        <v>0</v>
      </c>
      <c r="K95" s="14">
        <f t="shared" si="9"/>
        <v>862</v>
      </c>
    </row>
    <row r="96" spans="1:11" ht="18" customHeight="1">
      <c r="A96" s="6"/>
      <c r="B96" s="381"/>
      <c r="C96" s="358"/>
      <c r="D96" s="359"/>
      <c r="F96" s="11">
        <v>0</v>
      </c>
      <c r="G96" s="11">
        <v>0</v>
      </c>
      <c r="H96" s="12">
        <v>0</v>
      </c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>
        <v>0</v>
      </c>
      <c r="G97" s="11">
        <v>0</v>
      </c>
      <c r="H97" s="12">
        <v>0</v>
      </c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169.5</v>
      </c>
      <c r="G99" s="19">
        <f t="shared" si="10"/>
        <v>1090</v>
      </c>
      <c r="H99" s="19">
        <f t="shared" si="10"/>
        <v>230943</v>
      </c>
      <c r="I99" s="19">
        <f t="shared" si="10"/>
        <v>124705</v>
      </c>
      <c r="J99" s="19">
        <f t="shared" si="10"/>
        <v>0</v>
      </c>
      <c r="K99" s="19">
        <f t="shared" si="10"/>
        <v>355648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3962</v>
      </c>
      <c r="G103" s="11">
        <v>0</v>
      </c>
      <c r="H103" s="12">
        <v>169694</v>
      </c>
      <c r="I103" s="13">
        <v>91635</v>
      </c>
      <c r="J103" s="12">
        <v>0</v>
      </c>
      <c r="K103" s="14">
        <f t="shared" ref="K103:K108" si="11">(H103+I103)-J103</f>
        <v>261329</v>
      </c>
    </row>
    <row r="104" spans="1:11" ht="18" customHeight="1">
      <c r="A104" s="6" t="s">
        <v>121</v>
      </c>
      <c r="B104" s="386" t="s">
        <v>122</v>
      </c>
      <c r="C104" s="386"/>
      <c r="F104" s="11">
        <v>0</v>
      </c>
      <c r="G104" s="11">
        <v>0</v>
      </c>
      <c r="H104" s="12">
        <v>0</v>
      </c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>
        <v>0</v>
      </c>
      <c r="G105" s="11">
        <v>0</v>
      </c>
      <c r="H105" s="12">
        <v>0</v>
      </c>
      <c r="I105" s="13">
        <v>0</v>
      </c>
      <c r="J105" s="12">
        <v>0</v>
      </c>
      <c r="K105" s="14">
        <f t="shared" si="11"/>
        <v>0</v>
      </c>
    </row>
    <row r="106" spans="1:11" ht="18" customHeight="1">
      <c r="A106" s="6" t="s">
        <v>125</v>
      </c>
      <c r="B106" s="381" t="s">
        <v>431</v>
      </c>
      <c r="C106" s="358"/>
      <c r="D106" s="359"/>
      <c r="F106" s="11">
        <v>0</v>
      </c>
      <c r="G106" s="11">
        <v>0</v>
      </c>
      <c r="H106" s="12">
        <v>1151</v>
      </c>
      <c r="I106" s="13">
        <v>621</v>
      </c>
      <c r="J106" s="12">
        <v>0</v>
      </c>
      <c r="K106" s="14">
        <f t="shared" si="11"/>
        <v>1772</v>
      </c>
    </row>
    <row r="107" spans="1:11" ht="18" customHeight="1">
      <c r="A107" s="6" t="s">
        <v>126</v>
      </c>
      <c r="B107" s="381"/>
      <c r="C107" s="358"/>
      <c r="D107" s="359"/>
      <c r="F107" s="11">
        <v>0</v>
      </c>
      <c r="G107" s="11">
        <v>0</v>
      </c>
      <c r="H107" s="12">
        <v>0</v>
      </c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>
        <v>0</v>
      </c>
      <c r="G108" s="11">
        <v>0</v>
      </c>
      <c r="H108" s="12">
        <v>0</v>
      </c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3962</v>
      </c>
      <c r="G110" s="19">
        <f t="shared" si="12"/>
        <v>0</v>
      </c>
      <c r="H110" s="14">
        <f t="shared" si="12"/>
        <v>170845</v>
      </c>
      <c r="I110" s="14">
        <f t="shared" si="12"/>
        <v>92256</v>
      </c>
      <c r="J110" s="14">
        <f t="shared" si="12"/>
        <v>0</v>
      </c>
      <c r="K110" s="14">
        <f t="shared" si="12"/>
        <v>263101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8355103.9999999991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0.5400818951229831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393333898</v>
      </c>
    </row>
    <row r="120" spans="1:6" ht="18" customHeight="1">
      <c r="B120" s="2" t="s">
        <v>137</v>
      </c>
      <c r="F120" s="12">
        <v>7292603</v>
      </c>
    </row>
    <row r="121" spans="1:6" ht="18" customHeight="1">
      <c r="A121" s="6"/>
      <c r="B121" s="5" t="s">
        <v>138</v>
      </c>
      <c r="F121" s="12">
        <f>+F120+F119</f>
        <v>400626501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382897946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17728555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240780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17969335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11954.8</v>
      </c>
      <c r="G144" s="54">
        <f t="shared" si="15"/>
        <v>311352</v>
      </c>
      <c r="H144" s="54">
        <f t="shared" si="15"/>
        <v>1498734</v>
      </c>
      <c r="I144" s="54">
        <f t="shared" si="15"/>
        <v>806768</v>
      </c>
      <c r="J144" s="54">
        <f t="shared" si="15"/>
        <v>98892</v>
      </c>
      <c r="K144" s="54">
        <f t="shared" si="15"/>
        <v>2206610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3838</v>
      </c>
      <c r="G145" s="54">
        <f t="shared" si="16"/>
        <v>1716</v>
      </c>
      <c r="H145" s="54">
        <f t="shared" si="16"/>
        <v>9265157</v>
      </c>
      <c r="I145" s="54">
        <f t="shared" si="16"/>
        <v>5000823</v>
      </c>
      <c r="J145" s="54">
        <f t="shared" si="16"/>
        <v>9750</v>
      </c>
      <c r="K145" s="54">
        <f t="shared" si="16"/>
        <v>14256230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0</v>
      </c>
      <c r="G146" s="54">
        <f t="shared" si="17"/>
        <v>0</v>
      </c>
      <c r="H146" s="54">
        <f t="shared" si="17"/>
        <v>7825280.0032356139</v>
      </c>
      <c r="I146" s="54">
        <f t="shared" si="17"/>
        <v>0</v>
      </c>
      <c r="J146" s="54">
        <f t="shared" si="17"/>
        <v>5537232.8599999985</v>
      </c>
      <c r="K146" s="54">
        <f t="shared" si="17"/>
        <v>2288047.1432356159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197</v>
      </c>
      <c r="G147" s="54">
        <f t="shared" si="18"/>
        <v>0</v>
      </c>
      <c r="H147" s="54">
        <f t="shared" si="18"/>
        <v>18250</v>
      </c>
      <c r="I147" s="54">
        <f t="shared" si="18"/>
        <v>0</v>
      </c>
      <c r="J147" s="54">
        <f t="shared" si="18"/>
        <v>0</v>
      </c>
      <c r="K147" s="54">
        <f t="shared" si="18"/>
        <v>18250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304</v>
      </c>
      <c r="G148" s="54">
        <f t="shared" si="19"/>
        <v>458</v>
      </c>
      <c r="H148" s="54">
        <f t="shared" si="19"/>
        <v>410533</v>
      </c>
      <c r="I148" s="54">
        <f t="shared" si="19"/>
        <v>0</v>
      </c>
      <c r="J148" s="54">
        <f t="shared" si="19"/>
        <v>0</v>
      </c>
      <c r="K148" s="54">
        <f t="shared" si="19"/>
        <v>410533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169.5</v>
      </c>
      <c r="G149" s="54">
        <f t="shared" si="20"/>
        <v>1090</v>
      </c>
      <c r="H149" s="54">
        <f t="shared" si="20"/>
        <v>230943</v>
      </c>
      <c r="I149" s="54">
        <f t="shared" si="20"/>
        <v>124705</v>
      </c>
      <c r="J149" s="54">
        <f t="shared" si="20"/>
        <v>0</v>
      </c>
      <c r="K149" s="54">
        <f t="shared" si="20"/>
        <v>355648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3962</v>
      </c>
      <c r="G150" s="19">
        <f t="shared" si="21"/>
        <v>0</v>
      </c>
      <c r="H150" s="19">
        <f t="shared" si="21"/>
        <v>170845</v>
      </c>
      <c r="I150" s="19">
        <f t="shared" si="21"/>
        <v>92256</v>
      </c>
      <c r="J150" s="19">
        <f t="shared" si="21"/>
        <v>0</v>
      </c>
      <c r="K150" s="19">
        <f t="shared" si="21"/>
        <v>263101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8355103.9999999991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20425.3</v>
      </c>
      <c r="G154" s="60">
        <f t="shared" si="23"/>
        <v>314616</v>
      </c>
      <c r="H154" s="60">
        <f t="shared" si="23"/>
        <v>19419742.003235616</v>
      </c>
      <c r="I154" s="60">
        <f t="shared" si="23"/>
        <v>6024552</v>
      </c>
      <c r="J154" s="60">
        <f t="shared" si="23"/>
        <v>5645874.8599999985</v>
      </c>
      <c r="K154" s="61">
        <f t="shared" si="23"/>
        <v>28153523.143235616</v>
      </c>
    </row>
    <row r="156" spans="1:11" ht="18" customHeight="1">
      <c r="B156" s="5" t="s">
        <v>178</v>
      </c>
      <c r="F156" s="62">
        <f>K154/F123</f>
        <v>7.3527485423584948E-2</v>
      </c>
    </row>
    <row r="157" spans="1:11" ht="18" customHeight="1">
      <c r="B157" s="5" t="s">
        <v>179</v>
      </c>
      <c r="F157" s="62">
        <f>K154/F129</f>
        <v>1.5667537581794551</v>
      </c>
      <c r="G157" s="5"/>
    </row>
    <row r="158" spans="1:11" ht="18" customHeight="1">
      <c r="G158" s="5"/>
    </row>
  </sheetData>
  <sheetProtection password="EF72" sheet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7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281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280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279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278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277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276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26176</v>
      </c>
      <c r="G18" s="11">
        <v>56968</v>
      </c>
      <c r="H18" s="12">
        <v>909905</v>
      </c>
      <c r="I18" s="13">
        <f t="shared" ref="I18:I32" si="0">H18*F$116</f>
        <v>538026.82650000008</v>
      </c>
      <c r="J18" s="12">
        <v>305459</v>
      </c>
      <c r="K18" s="14">
        <f t="shared" ref="K18:K32" si="1">(H18+I18)-J18</f>
        <v>1142472.8265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7595</v>
      </c>
      <c r="G21" s="11">
        <v>29096</v>
      </c>
      <c r="H21" s="12">
        <v>254307</v>
      </c>
      <c r="I21" s="13">
        <f t="shared" si="0"/>
        <v>150371.72910000003</v>
      </c>
      <c r="J21" s="12">
        <v>144097</v>
      </c>
      <c r="K21" s="14">
        <f t="shared" si="1"/>
        <v>260581.7291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f t="shared" si="0"/>
        <v>0</v>
      </c>
      <c r="J26" s="12"/>
      <c r="K26" s="14">
        <f t="shared" si="1"/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33771</v>
      </c>
      <c r="G34" s="19">
        <f t="shared" si="2"/>
        <v>86064</v>
      </c>
      <c r="H34" s="14">
        <f t="shared" si="2"/>
        <v>1164212</v>
      </c>
      <c r="I34" s="14">
        <f t="shared" si="2"/>
        <v>688398.55560000008</v>
      </c>
      <c r="J34" s="14">
        <f t="shared" si="2"/>
        <v>449556</v>
      </c>
      <c r="K34" s="14">
        <f t="shared" si="2"/>
        <v>1403054.5556000001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>
        <v>113096</v>
      </c>
      <c r="I40" s="13">
        <v>0</v>
      </c>
      <c r="J40" s="12"/>
      <c r="K40" s="14">
        <f t="shared" si="3"/>
        <v>113096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0</v>
      </c>
      <c r="G48" s="25">
        <f t="shared" si="4"/>
        <v>0</v>
      </c>
      <c r="H48" s="14">
        <f t="shared" si="4"/>
        <v>113096</v>
      </c>
      <c r="I48" s="14">
        <f t="shared" si="4"/>
        <v>0</v>
      </c>
      <c r="J48" s="14">
        <f t="shared" si="4"/>
        <v>0</v>
      </c>
      <c r="K48" s="14">
        <f t="shared" si="4"/>
        <v>113096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275</v>
      </c>
      <c r="C52" s="385"/>
      <c r="D52" s="359"/>
      <c r="F52" s="11">
        <f t="shared" ref="F52:F57" si="5">365*24</f>
        <v>8760</v>
      </c>
      <c r="G52" s="11">
        <v>9906</v>
      </c>
      <c r="H52" s="12">
        <v>1484791</v>
      </c>
      <c r="I52" s="13">
        <f t="shared" ref="I52:I58" si="6">H52*F$116</f>
        <v>877956.91830000002</v>
      </c>
      <c r="J52" s="12"/>
      <c r="K52" s="14">
        <f t="shared" ref="K52:K61" si="7">(H52+I52)-J52</f>
        <v>2362747.9183</v>
      </c>
    </row>
    <row r="53" spans="1:11" ht="18" customHeight="1">
      <c r="A53" s="6" t="s">
        <v>63</v>
      </c>
      <c r="B53" s="27" t="s">
        <v>274</v>
      </c>
      <c r="C53" s="28"/>
      <c r="D53" s="29"/>
      <c r="F53" s="11">
        <f t="shared" si="5"/>
        <v>8760</v>
      </c>
      <c r="G53" s="11"/>
      <c r="H53" s="12">
        <v>730000</v>
      </c>
      <c r="I53" s="13">
        <f t="shared" si="6"/>
        <v>431649.00000000006</v>
      </c>
      <c r="J53" s="12"/>
      <c r="K53" s="14">
        <f t="shared" si="7"/>
        <v>1161649</v>
      </c>
    </row>
    <row r="54" spans="1:11" ht="18" customHeight="1">
      <c r="A54" s="6" t="s">
        <v>65</v>
      </c>
      <c r="B54" s="381" t="s">
        <v>273</v>
      </c>
      <c r="C54" s="358"/>
      <c r="D54" s="359"/>
      <c r="F54" s="11">
        <f t="shared" si="5"/>
        <v>8760</v>
      </c>
      <c r="G54" s="11"/>
      <c r="H54" s="12">
        <v>831728</v>
      </c>
      <c r="I54" s="13">
        <f t="shared" si="6"/>
        <v>491800.76640000002</v>
      </c>
      <c r="J54" s="12"/>
      <c r="K54" s="14">
        <f t="shared" si="7"/>
        <v>1323528.7664000001</v>
      </c>
    </row>
    <row r="55" spans="1:11" ht="18" customHeight="1">
      <c r="A55" s="6" t="s">
        <v>67</v>
      </c>
      <c r="B55" s="381" t="s">
        <v>272</v>
      </c>
      <c r="C55" s="358"/>
      <c r="D55" s="359"/>
      <c r="F55" s="11">
        <f t="shared" si="5"/>
        <v>8760</v>
      </c>
      <c r="G55" s="11"/>
      <c r="H55" s="12">
        <v>965000</v>
      </c>
      <c r="I55" s="13">
        <f t="shared" si="6"/>
        <v>570604.5</v>
      </c>
      <c r="J55" s="12"/>
      <c r="K55" s="14">
        <f t="shared" si="7"/>
        <v>1535604.5</v>
      </c>
    </row>
    <row r="56" spans="1:11" ht="18" customHeight="1">
      <c r="A56" s="6" t="s">
        <v>69</v>
      </c>
      <c r="B56" s="381" t="s">
        <v>271</v>
      </c>
      <c r="C56" s="358"/>
      <c r="D56" s="359"/>
      <c r="F56" s="11">
        <f t="shared" si="5"/>
        <v>8760</v>
      </c>
      <c r="G56" s="11"/>
      <c r="H56" s="12">
        <v>640025</v>
      </c>
      <c r="I56" s="13">
        <f t="shared" si="6"/>
        <v>378446.78250000003</v>
      </c>
      <c r="J56" s="12"/>
      <c r="K56" s="14">
        <f t="shared" si="7"/>
        <v>1018471.7825</v>
      </c>
    </row>
    <row r="57" spans="1:11" ht="18" customHeight="1">
      <c r="A57" s="6" t="s">
        <v>71</v>
      </c>
      <c r="B57" s="27" t="s">
        <v>270</v>
      </c>
      <c r="C57" s="28"/>
      <c r="D57" s="29"/>
      <c r="F57" s="11">
        <f t="shared" si="5"/>
        <v>8760</v>
      </c>
      <c r="G57" s="11"/>
      <c r="H57" s="12">
        <v>1200000</v>
      </c>
      <c r="I57" s="13">
        <f t="shared" si="6"/>
        <v>709560</v>
      </c>
      <c r="J57" s="12"/>
      <c r="K57" s="14">
        <f t="shared" si="7"/>
        <v>1909560</v>
      </c>
    </row>
    <row r="58" spans="1:11" ht="18" customHeight="1">
      <c r="A58" s="6" t="s">
        <v>73</v>
      </c>
      <c r="B58" s="381" t="s">
        <v>187</v>
      </c>
      <c r="C58" s="358"/>
      <c r="D58" s="359"/>
      <c r="F58" s="11" t="s">
        <v>269</v>
      </c>
      <c r="G58" s="11"/>
      <c r="H58" s="12">
        <v>68240</v>
      </c>
      <c r="I58" s="13">
        <f t="shared" si="6"/>
        <v>40350.312000000005</v>
      </c>
      <c r="J58" s="12"/>
      <c r="K58" s="14">
        <f t="shared" si="7"/>
        <v>108590.31200000001</v>
      </c>
    </row>
    <row r="59" spans="1:11" ht="18" customHeight="1">
      <c r="A59" s="6" t="s">
        <v>75</v>
      </c>
      <c r="B59" s="27" t="s">
        <v>268</v>
      </c>
      <c r="C59" s="28"/>
      <c r="D59" s="29"/>
      <c r="F59" s="11"/>
      <c r="G59" s="11"/>
      <c r="H59" s="12">
        <v>101492</v>
      </c>
      <c r="I59" s="13">
        <v>0</v>
      </c>
      <c r="J59" s="12"/>
      <c r="K59" s="14">
        <f t="shared" si="7"/>
        <v>101492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f>H60*F$116</f>
        <v>0</v>
      </c>
      <c r="J60" s="12"/>
      <c r="K60" s="14">
        <f t="shared" si="7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f>H61*F$116</f>
        <v>0</v>
      </c>
      <c r="J61" s="12"/>
      <c r="K61" s="14">
        <f t="shared" si="7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8">SUM(F52:F61)</f>
        <v>52560</v>
      </c>
      <c r="G63" s="19">
        <f t="shared" si="8"/>
        <v>9906</v>
      </c>
      <c r="H63" s="14">
        <f t="shared" si="8"/>
        <v>6021276</v>
      </c>
      <c r="I63" s="14">
        <f t="shared" si="8"/>
        <v>3500368.2792000002</v>
      </c>
      <c r="J63" s="14">
        <f t="shared" si="8"/>
        <v>0</v>
      </c>
      <c r="K63" s="14">
        <f t="shared" si="8"/>
        <v>9521644.2792000007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9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9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9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9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9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9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10">SUM(F67:F72)</f>
        <v>0</v>
      </c>
      <c r="G74" s="43">
        <f t="shared" si="10"/>
        <v>0</v>
      </c>
      <c r="H74" s="43">
        <f t="shared" si="10"/>
        <v>0</v>
      </c>
      <c r="I74" s="43">
        <f t="shared" si="10"/>
        <v>0</v>
      </c>
      <c r="J74" s="43">
        <f t="shared" si="10"/>
        <v>0</v>
      </c>
      <c r="K74" s="43">
        <f t="shared" si="10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60250</v>
      </c>
      <c r="I77" s="13">
        <v>0</v>
      </c>
      <c r="J77" s="12"/>
      <c r="K77" s="14">
        <f>(H77+I77)-J77</f>
        <v>60250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1">SUM(F77:F80)</f>
        <v>0</v>
      </c>
      <c r="G82" s="44">
        <f t="shared" si="11"/>
        <v>0</v>
      </c>
      <c r="H82" s="45">
        <f t="shared" si="11"/>
        <v>60250</v>
      </c>
      <c r="I82" s="45">
        <f t="shared" si="11"/>
        <v>0</v>
      </c>
      <c r="J82" s="45">
        <f t="shared" si="11"/>
        <v>0</v>
      </c>
      <c r="K82" s="45">
        <f t="shared" si="11"/>
        <v>60250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2">H86*F$116</f>
        <v>0</v>
      </c>
      <c r="J86" s="12"/>
      <c r="K86" s="14">
        <f t="shared" ref="K86:K97" si="13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2"/>
        <v>0</v>
      </c>
      <c r="J87" s="12"/>
      <c r="K87" s="14">
        <f t="shared" si="13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2"/>
        <v>0</v>
      </c>
      <c r="J88" s="12"/>
      <c r="K88" s="14">
        <f t="shared" si="13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2"/>
        <v>0</v>
      </c>
      <c r="J89" s="12"/>
      <c r="K89" s="14">
        <f t="shared" si="13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2"/>
        <v>0</v>
      </c>
      <c r="J90" s="12"/>
      <c r="K90" s="14">
        <f t="shared" si="13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2"/>
        <v>0</v>
      </c>
      <c r="J91" s="12"/>
      <c r="K91" s="14">
        <f t="shared" si="13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2"/>
        <v>0</v>
      </c>
      <c r="J92" s="47"/>
      <c r="K92" s="14">
        <f t="shared" si="13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2"/>
        <v>0</v>
      </c>
      <c r="J93" s="12"/>
      <c r="K93" s="14">
        <f t="shared" si="13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2"/>
        <v>0</v>
      </c>
      <c r="J94" s="12"/>
      <c r="K94" s="14">
        <f t="shared" si="13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2"/>
        <v>0</v>
      </c>
      <c r="J95" s="12"/>
      <c r="K95" s="14">
        <f t="shared" si="13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2"/>
        <v>0</v>
      </c>
      <c r="J96" s="12"/>
      <c r="K96" s="14">
        <f t="shared" si="13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2"/>
        <v>0</v>
      </c>
      <c r="J97" s="12"/>
      <c r="K97" s="14">
        <f t="shared" si="13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4">SUM(F86:F97)</f>
        <v>0</v>
      </c>
      <c r="G99" s="19">
        <f t="shared" si="14"/>
        <v>0</v>
      </c>
      <c r="H99" s="19">
        <f t="shared" si="14"/>
        <v>0</v>
      </c>
      <c r="I99" s="19">
        <f t="shared" si="14"/>
        <v>0</v>
      </c>
      <c r="J99" s="19">
        <f t="shared" si="14"/>
        <v>0</v>
      </c>
      <c r="K99" s="19">
        <f t="shared" si="14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5">H103*F$116</f>
        <v>0</v>
      </c>
      <c r="J103" s="12"/>
      <c r="K103" s="14">
        <f t="shared" ref="K103:K108" si="16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5"/>
        <v>0</v>
      </c>
      <c r="J104" s="12"/>
      <c r="K104" s="14">
        <f t="shared" si="16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5"/>
        <v>0</v>
      </c>
      <c r="J105" s="12"/>
      <c r="K105" s="14">
        <f t="shared" si="16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5"/>
        <v>0</v>
      </c>
      <c r="J106" s="12"/>
      <c r="K106" s="14">
        <f t="shared" si="16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5"/>
        <v>0</v>
      </c>
      <c r="J107" s="12"/>
      <c r="K107" s="14">
        <f t="shared" si="16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5"/>
        <v>0</v>
      </c>
      <c r="J108" s="12"/>
      <c r="K108" s="14">
        <f t="shared" si="16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7">SUM(F103:F108)</f>
        <v>0</v>
      </c>
      <c r="G110" s="19">
        <f t="shared" si="17"/>
        <v>0</v>
      </c>
      <c r="H110" s="14">
        <f t="shared" si="17"/>
        <v>0</v>
      </c>
      <c r="I110" s="14">
        <f t="shared" si="17"/>
        <v>0</v>
      </c>
      <c r="J110" s="14">
        <f t="shared" si="17"/>
        <v>0</v>
      </c>
      <c r="K110" s="14">
        <f t="shared" si="17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5877400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0.59130000000000005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283185000</v>
      </c>
    </row>
    <row r="120" spans="1:6" ht="18" customHeight="1">
      <c r="B120" s="2" t="s">
        <v>137</v>
      </c>
      <c r="F120" s="12">
        <v>8003000</v>
      </c>
    </row>
    <row r="121" spans="1:6" ht="18" customHeight="1">
      <c r="A121" s="6"/>
      <c r="B121" s="5" t="s">
        <v>138</v>
      </c>
      <c r="F121" s="12">
        <v>291188000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288949000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2239000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-13851000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-11612000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8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8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8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8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8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8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9">SUM(F133:F138)</f>
        <v>0</v>
      </c>
      <c r="G140" s="19">
        <f t="shared" si="19"/>
        <v>0</v>
      </c>
      <c r="H140" s="14">
        <f t="shared" si="19"/>
        <v>0</v>
      </c>
      <c r="I140" s="14">
        <f t="shared" si="19"/>
        <v>0</v>
      </c>
      <c r="J140" s="14">
        <f t="shared" si="19"/>
        <v>0</v>
      </c>
      <c r="K140" s="14">
        <f t="shared" si="19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20">F34</f>
        <v>33771</v>
      </c>
      <c r="G144" s="54">
        <f t="shared" si="20"/>
        <v>86064</v>
      </c>
      <c r="H144" s="54">
        <f t="shared" si="20"/>
        <v>1164212</v>
      </c>
      <c r="I144" s="54">
        <f t="shared" si="20"/>
        <v>688398.55560000008</v>
      </c>
      <c r="J144" s="54">
        <f t="shared" si="20"/>
        <v>449556</v>
      </c>
      <c r="K144" s="54">
        <f t="shared" si="20"/>
        <v>1403054.5556000001</v>
      </c>
    </row>
    <row r="145" spans="1:11" ht="18" customHeight="1">
      <c r="A145" s="6" t="s">
        <v>162</v>
      </c>
      <c r="B145" s="5" t="s">
        <v>163</v>
      </c>
      <c r="F145" s="54">
        <f t="shared" ref="F145:K145" si="21">F48</f>
        <v>0</v>
      </c>
      <c r="G145" s="54">
        <f t="shared" si="21"/>
        <v>0</v>
      </c>
      <c r="H145" s="54">
        <f t="shared" si="21"/>
        <v>113096</v>
      </c>
      <c r="I145" s="54">
        <f t="shared" si="21"/>
        <v>0</v>
      </c>
      <c r="J145" s="54">
        <f t="shared" si="21"/>
        <v>0</v>
      </c>
      <c r="K145" s="54">
        <f t="shared" si="21"/>
        <v>113096</v>
      </c>
    </row>
    <row r="146" spans="1:11" ht="18" customHeight="1">
      <c r="A146" s="6" t="s">
        <v>164</v>
      </c>
      <c r="B146" s="5" t="s">
        <v>165</v>
      </c>
      <c r="F146" s="54">
        <f t="shared" ref="F146:K146" si="22">F63</f>
        <v>52560</v>
      </c>
      <c r="G146" s="54">
        <f t="shared" si="22"/>
        <v>9906</v>
      </c>
      <c r="H146" s="54">
        <f t="shared" si="22"/>
        <v>6021276</v>
      </c>
      <c r="I146" s="54">
        <f t="shared" si="22"/>
        <v>3500368.2792000002</v>
      </c>
      <c r="J146" s="54">
        <f t="shared" si="22"/>
        <v>0</v>
      </c>
      <c r="K146" s="54">
        <f t="shared" si="22"/>
        <v>9521644.2792000007</v>
      </c>
    </row>
    <row r="147" spans="1:11" ht="18" customHeight="1">
      <c r="A147" s="6" t="s">
        <v>166</v>
      </c>
      <c r="B147" s="5" t="s">
        <v>167</v>
      </c>
      <c r="F147" s="54">
        <f t="shared" ref="F147:K147" si="23">F74</f>
        <v>0</v>
      </c>
      <c r="G147" s="54">
        <f t="shared" si="23"/>
        <v>0</v>
      </c>
      <c r="H147" s="54">
        <f t="shared" si="23"/>
        <v>0</v>
      </c>
      <c r="I147" s="54">
        <f t="shared" si="23"/>
        <v>0</v>
      </c>
      <c r="J147" s="54">
        <f t="shared" si="23"/>
        <v>0</v>
      </c>
      <c r="K147" s="54">
        <f t="shared" si="23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4">F82</f>
        <v>0</v>
      </c>
      <c r="G148" s="54">
        <f t="shared" si="24"/>
        <v>0</v>
      </c>
      <c r="H148" s="54">
        <f t="shared" si="24"/>
        <v>60250</v>
      </c>
      <c r="I148" s="54">
        <f t="shared" si="24"/>
        <v>0</v>
      </c>
      <c r="J148" s="54">
        <f t="shared" si="24"/>
        <v>0</v>
      </c>
      <c r="K148" s="54">
        <f t="shared" si="24"/>
        <v>60250</v>
      </c>
    </row>
    <row r="149" spans="1:11" ht="18" customHeight="1">
      <c r="A149" s="6" t="s">
        <v>170</v>
      </c>
      <c r="B149" s="5" t="s">
        <v>171</v>
      </c>
      <c r="F149" s="54">
        <f t="shared" ref="F149:K149" si="25">F99</f>
        <v>0</v>
      </c>
      <c r="G149" s="54">
        <f t="shared" si="25"/>
        <v>0</v>
      </c>
      <c r="H149" s="54">
        <f t="shared" si="25"/>
        <v>0</v>
      </c>
      <c r="I149" s="54">
        <f t="shared" si="25"/>
        <v>0</v>
      </c>
      <c r="J149" s="54">
        <f t="shared" si="25"/>
        <v>0</v>
      </c>
      <c r="K149" s="54">
        <f t="shared" si="25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6">F110</f>
        <v>0</v>
      </c>
      <c r="G150" s="19">
        <f t="shared" si="26"/>
        <v>0</v>
      </c>
      <c r="H150" s="19">
        <f t="shared" si="26"/>
        <v>0</v>
      </c>
      <c r="I150" s="19">
        <f t="shared" si="26"/>
        <v>0</v>
      </c>
      <c r="J150" s="19">
        <f t="shared" si="26"/>
        <v>0</v>
      </c>
      <c r="K150" s="19">
        <f t="shared" si="26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5877400</v>
      </c>
    </row>
    <row r="152" spans="1:11" ht="18" customHeight="1">
      <c r="A152" s="6" t="s">
        <v>147</v>
      </c>
      <c r="B152" s="5" t="s">
        <v>177</v>
      </c>
      <c r="F152" s="19">
        <f t="shared" ref="F152:K152" si="27">F140</f>
        <v>0</v>
      </c>
      <c r="G152" s="19">
        <f t="shared" si="27"/>
        <v>0</v>
      </c>
      <c r="H152" s="19">
        <f t="shared" si="27"/>
        <v>0</v>
      </c>
      <c r="I152" s="19">
        <f t="shared" si="27"/>
        <v>0</v>
      </c>
      <c r="J152" s="19">
        <f t="shared" si="27"/>
        <v>0</v>
      </c>
      <c r="K152" s="19">
        <f t="shared" si="27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8">SUM(F144:F152)</f>
        <v>86331</v>
      </c>
      <c r="G154" s="60">
        <f t="shared" si="28"/>
        <v>95970</v>
      </c>
      <c r="H154" s="60">
        <f t="shared" si="28"/>
        <v>7358834</v>
      </c>
      <c r="I154" s="60">
        <f t="shared" si="28"/>
        <v>4188766.8348000003</v>
      </c>
      <c r="J154" s="60">
        <f t="shared" si="28"/>
        <v>449556</v>
      </c>
      <c r="K154" s="61">
        <f t="shared" si="28"/>
        <v>16975444.834800001</v>
      </c>
    </row>
    <row r="156" spans="1:11" ht="18" customHeight="1">
      <c r="B156" s="5" t="s">
        <v>178</v>
      </c>
      <c r="F156" s="62">
        <f>K154/F123</f>
        <v>5.8748930900608759E-2</v>
      </c>
    </row>
    <row r="157" spans="1:11" ht="18" customHeight="1">
      <c r="B157" s="5" t="s">
        <v>179</v>
      </c>
      <c r="F157" s="62">
        <f>K154/F129</f>
        <v>-1.4618881187392354</v>
      </c>
      <c r="G157" s="5"/>
    </row>
    <row r="158" spans="1:11" ht="18" customHeight="1">
      <c r="G158" s="5"/>
    </row>
  </sheetData>
  <sheetProtection password="EF72" sheet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B104:C104"/>
    <mergeCell ref="B137:D137"/>
    <mergeCell ref="B138:D138"/>
    <mergeCell ref="B136:D136"/>
    <mergeCell ref="B106:D106"/>
    <mergeCell ref="B107:D107"/>
    <mergeCell ref="B108:D108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topLeftCell="A4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285</v>
      </c>
      <c r="D5" s="363"/>
      <c r="E5" s="363"/>
      <c r="F5" s="363"/>
      <c r="G5" s="364"/>
    </row>
    <row r="6" spans="1:11" ht="18" customHeight="1">
      <c r="B6" s="6" t="s">
        <v>4</v>
      </c>
      <c r="C6" s="365">
        <v>60</v>
      </c>
      <c r="D6" s="366"/>
      <c r="E6" s="366"/>
      <c r="F6" s="366"/>
      <c r="G6" s="367"/>
    </row>
    <row r="7" spans="1:11" ht="18" customHeight="1">
      <c r="B7" s="6" t="s">
        <v>5</v>
      </c>
      <c r="C7" s="368">
        <v>446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284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283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282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108.5</v>
      </c>
      <c r="G18" s="11">
        <v>408</v>
      </c>
      <c r="H18" s="12">
        <v>8633</v>
      </c>
      <c r="I18" s="13">
        <v>5438.79</v>
      </c>
      <c r="J18" s="12"/>
      <c r="K18" s="14">
        <f t="shared" ref="K18:K32" si="0">(H18+I18)-J18</f>
        <v>14071.79</v>
      </c>
    </row>
    <row r="19" spans="1:11" ht="18" customHeight="1">
      <c r="A19" s="6"/>
      <c r="B19" s="2" t="s">
        <v>23</v>
      </c>
      <c r="F19" s="11"/>
      <c r="G19" s="11"/>
      <c r="H19" s="12"/>
      <c r="I19" s="13"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215.5</v>
      </c>
      <c r="G21" s="11">
        <v>589</v>
      </c>
      <c r="H21" s="12">
        <v>9937</v>
      </c>
      <c r="I21" s="13">
        <v>6260.31</v>
      </c>
      <c r="J21" s="12"/>
      <c r="K21" s="14">
        <f t="shared" si="0"/>
        <v>16197.310000000001</v>
      </c>
    </row>
    <row r="22" spans="1:11" ht="18" customHeight="1">
      <c r="A22" s="6"/>
      <c r="B22" s="2" t="s">
        <v>27</v>
      </c>
      <c r="F22" s="11"/>
      <c r="G22" s="11"/>
      <c r="H22" s="12"/>
      <c r="I22" s="13">
        <v>0</v>
      </c>
      <c r="J22" s="12"/>
      <c r="K22" s="14">
        <f t="shared" si="0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v>0</v>
      </c>
      <c r="J26" s="12"/>
      <c r="K26" s="14">
        <f t="shared" si="0"/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324</v>
      </c>
      <c r="G34" s="19">
        <f t="shared" si="1"/>
        <v>997</v>
      </c>
      <c r="H34" s="14">
        <f t="shared" si="1"/>
        <v>18570</v>
      </c>
      <c r="I34" s="14">
        <f t="shared" si="1"/>
        <v>11699.1</v>
      </c>
      <c r="J34" s="14">
        <f t="shared" si="1"/>
        <v>0</v>
      </c>
      <c r="K34" s="14">
        <f t="shared" si="1"/>
        <v>30269.100000000002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2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2"/>
        <v>0</v>
      </c>
    </row>
    <row r="40" spans="1:11" ht="18" customHeight="1">
      <c r="A40" s="6" t="s">
        <v>48</v>
      </c>
      <c r="B40" s="63" t="s">
        <v>49</v>
      </c>
      <c r="F40" s="11">
        <v>6240</v>
      </c>
      <c r="G40" s="11">
        <v>39</v>
      </c>
      <c r="H40" s="12">
        <v>220535</v>
      </c>
      <c r="I40" s="13">
        <v>0</v>
      </c>
      <c r="J40" s="12"/>
      <c r="K40" s="14">
        <f t="shared" si="2"/>
        <v>220535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2334</v>
      </c>
      <c r="G41" s="11">
        <v>12</v>
      </c>
      <c r="H41" s="12">
        <v>61830</v>
      </c>
      <c r="I41" s="13">
        <v>0</v>
      </c>
      <c r="J41" s="12"/>
      <c r="K41" s="14">
        <f t="shared" si="2"/>
        <v>61830</v>
      </c>
    </row>
    <row r="42" spans="1:11" ht="18" customHeight="1">
      <c r="A42" s="6" t="s">
        <v>52</v>
      </c>
      <c r="B42" s="63" t="s">
        <v>53</v>
      </c>
      <c r="F42" s="11">
        <v>497</v>
      </c>
      <c r="G42" s="11">
        <v>26</v>
      </c>
      <c r="H42" s="12">
        <v>12826</v>
      </c>
      <c r="I42" s="13">
        <v>0</v>
      </c>
      <c r="J42" s="12"/>
      <c r="K42" s="14">
        <f t="shared" si="2"/>
        <v>12826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9071</v>
      </c>
      <c r="G48" s="25">
        <f t="shared" si="3"/>
        <v>77</v>
      </c>
      <c r="H48" s="14">
        <f t="shared" si="3"/>
        <v>295191</v>
      </c>
      <c r="I48" s="14">
        <f t="shared" si="3"/>
        <v>0</v>
      </c>
      <c r="J48" s="14">
        <f t="shared" si="3"/>
        <v>0</v>
      </c>
      <c r="K48" s="14">
        <f t="shared" si="3"/>
        <v>295191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/>
      <c r="C52" s="385"/>
      <c r="D52" s="359"/>
      <c r="F52" s="11"/>
      <c r="G52" s="11"/>
      <c r="H52" s="12"/>
      <c r="I52" s="13">
        <v>0</v>
      </c>
      <c r="J52" s="12"/>
      <c r="K52" s="14">
        <f t="shared" ref="K52:K61" si="4">(H52+I52)-J52</f>
        <v>0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4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4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4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4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0</v>
      </c>
      <c r="G63" s="19">
        <f t="shared" si="5"/>
        <v>0</v>
      </c>
      <c r="H63" s="14">
        <f t="shared" si="5"/>
        <v>0</v>
      </c>
      <c r="I63" s="14">
        <f t="shared" si="5"/>
        <v>0</v>
      </c>
      <c r="J63" s="14">
        <f t="shared" si="5"/>
        <v>0</v>
      </c>
      <c r="K63" s="14">
        <f t="shared" si="5"/>
        <v>0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0</v>
      </c>
      <c r="G74" s="43">
        <f t="shared" si="7"/>
        <v>0</v>
      </c>
      <c r="H74" s="43">
        <f t="shared" si="7"/>
        <v>0</v>
      </c>
      <c r="I74" s="43">
        <f t="shared" si="7"/>
        <v>0</v>
      </c>
      <c r="J74" s="43">
        <f t="shared" si="7"/>
        <v>0</v>
      </c>
      <c r="K74" s="43">
        <f t="shared" si="7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1775</v>
      </c>
      <c r="I77" s="13">
        <v>0</v>
      </c>
      <c r="J77" s="12"/>
      <c r="K77" s="14">
        <f>(H77+I77)-J77</f>
        <v>1775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0</v>
      </c>
      <c r="G82" s="44">
        <f t="shared" si="8"/>
        <v>0</v>
      </c>
      <c r="H82" s="45">
        <f t="shared" si="8"/>
        <v>1775</v>
      </c>
      <c r="I82" s="45">
        <f t="shared" si="8"/>
        <v>0</v>
      </c>
      <c r="J82" s="45">
        <f t="shared" si="8"/>
        <v>0</v>
      </c>
      <c r="K82" s="45">
        <f t="shared" si="8"/>
        <v>1775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9">H86*F$116</f>
        <v>0</v>
      </c>
      <c r="J86" s="12"/>
      <c r="K86" s="14">
        <f t="shared" ref="K86:K97" si="10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9"/>
        <v>0</v>
      </c>
      <c r="J87" s="12"/>
      <c r="K87" s="14">
        <f t="shared" si="10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9"/>
        <v>0</v>
      </c>
      <c r="J88" s="12"/>
      <c r="K88" s="14">
        <f t="shared" si="10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9"/>
        <v>0</v>
      </c>
      <c r="J89" s="12"/>
      <c r="K89" s="14">
        <f t="shared" si="10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9"/>
        <v>0</v>
      </c>
      <c r="J90" s="12"/>
      <c r="K90" s="14">
        <f t="shared" si="10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9"/>
        <v>0</v>
      </c>
      <c r="J91" s="12"/>
      <c r="K91" s="14">
        <f t="shared" si="10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9"/>
        <v>0</v>
      </c>
      <c r="J92" s="47"/>
      <c r="K92" s="14">
        <f t="shared" si="10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9"/>
        <v>0</v>
      </c>
      <c r="J93" s="12"/>
      <c r="K93" s="14">
        <f t="shared" si="10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9"/>
        <v>0</v>
      </c>
      <c r="J94" s="12"/>
      <c r="K94" s="14">
        <f t="shared" si="10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9"/>
        <v>0</v>
      </c>
      <c r="J95" s="12"/>
      <c r="K95" s="14">
        <f t="shared" si="10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9"/>
        <v>0</v>
      </c>
      <c r="J96" s="12"/>
      <c r="K96" s="14">
        <f t="shared" si="10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9"/>
        <v>0</v>
      </c>
      <c r="J97" s="12"/>
      <c r="K97" s="14">
        <f t="shared" si="10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1">SUM(F86:F97)</f>
        <v>0</v>
      </c>
      <c r="G99" s="19">
        <f t="shared" si="11"/>
        <v>0</v>
      </c>
      <c r="H99" s="19">
        <f t="shared" si="11"/>
        <v>0</v>
      </c>
      <c r="I99" s="19">
        <f t="shared" si="11"/>
        <v>0</v>
      </c>
      <c r="J99" s="19">
        <f t="shared" si="11"/>
        <v>0</v>
      </c>
      <c r="K99" s="19">
        <f t="shared" si="11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2">H103*F$116</f>
        <v>0</v>
      </c>
      <c r="J103" s="12"/>
      <c r="K103" s="14">
        <f t="shared" ref="K103:K108" si="13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2"/>
        <v>0</v>
      </c>
      <c r="J104" s="12"/>
      <c r="K104" s="14">
        <f t="shared" si="13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2"/>
        <v>0</v>
      </c>
      <c r="J105" s="12"/>
      <c r="K105" s="14">
        <f t="shared" si="13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2"/>
        <v>0</v>
      </c>
      <c r="J106" s="12"/>
      <c r="K106" s="14">
        <f t="shared" si="13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2"/>
        <v>0</v>
      </c>
      <c r="J107" s="12"/>
      <c r="K107" s="14">
        <f t="shared" si="13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2"/>
        <v>0</v>
      </c>
      <c r="J108" s="12"/>
      <c r="K108" s="14">
        <f t="shared" si="13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4">SUM(F103:F108)</f>
        <v>0</v>
      </c>
      <c r="G110" s="19">
        <f t="shared" si="14"/>
        <v>0</v>
      </c>
      <c r="H110" s="14">
        <f t="shared" si="14"/>
        <v>0</v>
      </c>
      <c r="I110" s="14">
        <f t="shared" si="14"/>
        <v>0</v>
      </c>
      <c r="J110" s="14">
        <f t="shared" si="14"/>
        <v>0</v>
      </c>
      <c r="K110" s="14">
        <f t="shared" si="14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664274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44504695</v>
      </c>
    </row>
    <row r="120" spans="1:6" ht="18" customHeight="1">
      <c r="B120" s="2" t="s">
        <v>137</v>
      </c>
      <c r="F120" s="12">
        <v>386395</v>
      </c>
    </row>
    <row r="121" spans="1:6" ht="18" customHeight="1">
      <c r="A121" s="6"/>
      <c r="B121" s="5" t="s">
        <v>138</v>
      </c>
      <c r="F121" s="12">
        <v>44891090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43524509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1366581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10355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1376936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5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5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5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5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5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5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6">SUM(F133:F138)</f>
        <v>0</v>
      </c>
      <c r="G140" s="19">
        <f t="shared" si="16"/>
        <v>0</v>
      </c>
      <c r="H140" s="14">
        <f t="shared" si="16"/>
        <v>0</v>
      </c>
      <c r="I140" s="14">
        <f t="shared" si="16"/>
        <v>0</v>
      </c>
      <c r="J140" s="14">
        <f t="shared" si="16"/>
        <v>0</v>
      </c>
      <c r="K140" s="14">
        <f t="shared" si="16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7">F34</f>
        <v>324</v>
      </c>
      <c r="G144" s="54">
        <f t="shared" si="17"/>
        <v>997</v>
      </c>
      <c r="H144" s="54">
        <f t="shared" si="17"/>
        <v>18570</v>
      </c>
      <c r="I144" s="54">
        <f t="shared" si="17"/>
        <v>11699.1</v>
      </c>
      <c r="J144" s="54">
        <f t="shared" si="17"/>
        <v>0</v>
      </c>
      <c r="K144" s="54">
        <f t="shared" si="17"/>
        <v>30269.100000000002</v>
      </c>
    </row>
    <row r="145" spans="1:11" ht="18" customHeight="1">
      <c r="A145" s="6" t="s">
        <v>162</v>
      </c>
      <c r="B145" s="5" t="s">
        <v>163</v>
      </c>
      <c r="F145" s="54">
        <f t="shared" ref="F145:K145" si="18">F48</f>
        <v>9071</v>
      </c>
      <c r="G145" s="54">
        <f t="shared" si="18"/>
        <v>77</v>
      </c>
      <c r="H145" s="54">
        <f t="shared" si="18"/>
        <v>295191</v>
      </c>
      <c r="I145" s="54">
        <f t="shared" si="18"/>
        <v>0</v>
      </c>
      <c r="J145" s="54">
        <f t="shared" si="18"/>
        <v>0</v>
      </c>
      <c r="K145" s="54">
        <f t="shared" si="18"/>
        <v>295191</v>
      </c>
    </row>
    <row r="146" spans="1:11" ht="18" customHeight="1">
      <c r="A146" s="6" t="s">
        <v>164</v>
      </c>
      <c r="B146" s="5" t="s">
        <v>165</v>
      </c>
      <c r="F146" s="54">
        <f t="shared" ref="F146:K146" si="19">F63</f>
        <v>0</v>
      </c>
      <c r="G146" s="54">
        <f t="shared" si="19"/>
        <v>0</v>
      </c>
      <c r="H146" s="54">
        <f t="shared" si="19"/>
        <v>0</v>
      </c>
      <c r="I146" s="54">
        <f t="shared" si="19"/>
        <v>0</v>
      </c>
      <c r="J146" s="54">
        <f t="shared" si="19"/>
        <v>0</v>
      </c>
      <c r="K146" s="54">
        <f t="shared" si="19"/>
        <v>0</v>
      </c>
    </row>
    <row r="147" spans="1:11" ht="18" customHeight="1">
      <c r="A147" s="6" t="s">
        <v>166</v>
      </c>
      <c r="B147" s="5" t="s">
        <v>167</v>
      </c>
      <c r="F147" s="54">
        <f t="shared" ref="F147:K147" si="20">F74</f>
        <v>0</v>
      </c>
      <c r="G147" s="54">
        <f t="shared" si="20"/>
        <v>0</v>
      </c>
      <c r="H147" s="54">
        <f t="shared" si="20"/>
        <v>0</v>
      </c>
      <c r="I147" s="54">
        <f t="shared" si="20"/>
        <v>0</v>
      </c>
      <c r="J147" s="54">
        <f t="shared" si="20"/>
        <v>0</v>
      </c>
      <c r="K147" s="54">
        <f t="shared" si="20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1">F82</f>
        <v>0</v>
      </c>
      <c r="G148" s="54">
        <f t="shared" si="21"/>
        <v>0</v>
      </c>
      <c r="H148" s="54">
        <f t="shared" si="21"/>
        <v>1775</v>
      </c>
      <c r="I148" s="54">
        <f t="shared" si="21"/>
        <v>0</v>
      </c>
      <c r="J148" s="54">
        <f t="shared" si="21"/>
        <v>0</v>
      </c>
      <c r="K148" s="54">
        <f t="shared" si="21"/>
        <v>1775</v>
      </c>
    </row>
    <row r="149" spans="1:11" ht="18" customHeight="1">
      <c r="A149" s="6" t="s">
        <v>170</v>
      </c>
      <c r="B149" s="5" t="s">
        <v>171</v>
      </c>
      <c r="F149" s="54">
        <f t="shared" ref="F149:K149" si="22">F99</f>
        <v>0</v>
      </c>
      <c r="G149" s="54">
        <f t="shared" si="22"/>
        <v>0</v>
      </c>
      <c r="H149" s="54">
        <f t="shared" si="22"/>
        <v>0</v>
      </c>
      <c r="I149" s="54">
        <f t="shared" si="22"/>
        <v>0</v>
      </c>
      <c r="J149" s="54">
        <f t="shared" si="22"/>
        <v>0</v>
      </c>
      <c r="K149" s="54">
        <f t="shared" si="22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3">F110</f>
        <v>0</v>
      </c>
      <c r="G150" s="19">
        <f t="shared" si="23"/>
        <v>0</v>
      </c>
      <c r="H150" s="19">
        <f t="shared" si="23"/>
        <v>0</v>
      </c>
      <c r="I150" s="19">
        <f t="shared" si="23"/>
        <v>0</v>
      </c>
      <c r="J150" s="19">
        <f t="shared" si="23"/>
        <v>0</v>
      </c>
      <c r="K150" s="19">
        <f t="shared" si="23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664274</v>
      </c>
    </row>
    <row r="152" spans="1:11" ht="18" customHeight="1">
      <c r="A152" s="6" t="s">
        <v>147</v>
      </c>
      <c r="B152" s="5" t="s">
        <v>177</v>
      </c>
      <c r="F152" s="19">
        <f t="shared" ref="F152:K152" si="24">F140</f>
        <v>0</v>
      </c>
      <c r="G152" s="19">
        <f t="shared" si="24"/>
        <v>0</v>
      </c>
      <c r="H152" s="19">
        <f t="shared" si="24"/>
        <v>0</v>
      </c>
      <c r="I152" s="19">
        <f t="shared" si="24"/>
        <v>0</v>
      </c>
      <c r="J152" s="19">
        <f t="shared" si="24"/>
        <v>0</v>
      </c>
      <c r="K152" s="19">
        <f t="shared" si="24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5">SUM(F144:F152)</f>
        <v>9395</v>
      </c>
      <c r="G154" s="60">
        <f t="shared" si="25"/>
        <v>1074</v>
      </c>
      <c r="H154" s="60">
        <f t="shared" si="25"/>
        <v>315536</v>
      </c>
      <c r="I154" s="60">
        <f t="shared" si="25"/>
        <v>11699.1</v>
      </c>
      <c r="J154" s="60">
        <f t="shared" si="25"/>
        <v>0</v>
      </c>
      <c r="K154" s="61">
        <f t="shared" si="25"/>
        <v>991509.1</v>
      </c>
    </row>
    <row r="156" spans="1:11" ht="18" customHeight="1">
      <c r="B156" s="5" t="s">
        <v>178</v>
      </c>
      <c r="F156" s="233">
        <f>K154/F123</f>
        <v>2.2780477546570369E-2</v>
      </c>
    </row>
    <row r="157" spans="1:11" ht="18" customHeight="1">
      <c r="B157" s="5" t="s">
        <v>179</v>
      </c>
      <c r="F157" s="233">
        <f>K154/F129</f>
        <v>0.72008364949423942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97:D97"/>
    <mergeCell ref="B96:D96"/>
    <mergeCell ref="B104:C104"/>
    <mergeCell ref="B137:D137"/>
    <mergeCell ref="B138:D138"/>
    <mergeCell ref="B136:D136"/>
    <mergeCell ref="B106:D106"/>
    <mergeCell ref="B107:D107"/>
    <mergeCell ref="B108:D10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5:D95"/>
    <mergeCell ref="B51:C51"/>
    <mergeCell ref="B90:C90"/>
    <mergeCell ref="B52:D52"/>
    <mergeCell ref="B54:D54"/>
    <mergeCell ref="B55:D55"/>
    <mergeCell ref="B58:D58"/>
    <mergeCell ref="B61:D61"/>
    <mergeCell ref="B56:D56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view="pageBreakPreview" zoomScaleNormal="100" workbookViewId="0">
      <selection activeCell="E18" sqref="E18"/>
    </sheetView>
  </sheetViews>
  <sheetFormatPr defaultRowHeight="12.75"/>
  <cols>
    <col min="1" max="1" width="9.140625" style="230"/>
    <col min="2" max="2" width="15.85546875" style="230" customWidth="1"/>
    <col min="3" max="3" width="14.140625" style="230" customWidth="1"/>
    <col min="4" max="4" width="14.5703125" style="230" customWidth="1"/>
    <col min="5" max="5" width="12.140625" style="230" customWidth="1"/>
    <col min="6" max="6" width="14" style="230" customWidth="1"/>
    <col min="7" max="7" width="14.140625" style="230" customWidth="1"/>
    <col min="8" max="8" width="13.5703125" style="230" customWidth="1"/>
    <col min="9" max="9" width="16.42578125" style="230" bestFit="1" customWidth="1"/>
    <col min="10" max="10" width="16.5703125" style="230" bestFit="1" customWidth="1"/>
    <col min="11" max="16384" width="9.140625" style="230"/>
  </cols>
  <sheetData>
    <row r="1" spans="2:10" ht="40.5" customHeight="1">
      <c r="D1" s="354" t="s">
        <v>688</v>
      </c>
      <c r="E1" s="354"/>
      <c r="F1" s="354"/>
    </row>
    <row r="2" spans="2:10" ht="54" customHeight="1"/>
    <row r="3" spans="2:10" ht="56.45" customHeight="1">
      <c r="G3" s="322" t="s">
        <v>13</v>
      </c>
      <c r="H3" s="322" t="s">
        <v>14</v>
      </c>
      <c r="I3" s="323" t="s">
        <v>678</v>
      </c>
      <c r="J3" s="324" t="s">
        <v>679</v>
      </c>
    </row>
    <row r="4" spans="2:10">
      <c r="B4" s="228" t="s">
        <v>683</v>
      </c>
    </row>
    <row r="5" spans="2:10">
      <c r="B5" s="325" t="s">
        <v>160</v>
      </c>
      <c r="C5" s="228" t="s">
        <v>161</v>
      </c>
      <c r="G5" s="336">
        <v>775824.67681653611</v>
      </c>
      <c r="H5" s="336">
        <v>9977271.8906169124</v>
      </c>
      <c r="I5" s="337">
        <v>67402543.769687563</v>
      </c>
      <c r="J5" s="337">
        <v>41861264.796767995</v>
      </c>
    </row>
    <row r="6" spans="2:10">
      <c r="B6" s="325" t="s">
        <v>162</v>
      </c>
      <c r="C6" s="228" t="s">
        <v>163</v>
      </c>
      <c r="G6" s="336">
        <v>5254635.4626111062</v>
      </c>
      <c r="H6" s="336">
        <v>355399.68555997231</v>
      </c>
      <c r="I6" s="337">
        <v>306456177.97084236</v>
      </c>
      <c r="J6" s="337">
        <v>240396253.32660598</v>
      </c>
    </row>
    <row r="7" spans="2:10">
      <c r="B7" s="325" t="s">
        <v>164</v>
      </c>
      <c r="C7" s="228" t="s">
        <v>165</v>
      </c>
      <c r="G7" s="336">
        <v>1591721.3210118911</v>
      </c>
      <c r="H7" s="336">
        <v>1110645.8820211303</v>
      </c>
      <c r="I7" s="337">
        <v>209985520.00696576</v>
      </c>
      <c r="J7" s="337">
        <v>154204997.83951867</v>
      </c>
    </row>
    <row r="8" spans="2:10">
      <c r="B8" s="325" t="s">
        <v>166</v>
      </c>
      <c r="C8" s="228" t="s">
        <v>167</v>
      </c>
      <c r="G8" s="336">
        <v>52997.871427976002</v>
      </c>
      <c r="H8" s="336">
        <v>19357.189999788799</v>
      </c>
      <c r="I8" s="337">
        <v>3593568.3725680076</v>
      </c>
      <c r="J8" s="337">
        <v>2051057.446</v>
      </c>
    </row>
    <row r="9" spans="2:10">
      <c r="B9" s="325" t="s">
        <v>168</v>
      </c>
      <c r="C9" s="228" t="s">
        <v>169</v>
      </c>
      <c r="G9" s="336">
        <v>36001.249778618527</v>
      </c>
      <c r="H9" s="336">
        <v>167351</v>
      </c>
      <c r="I9" s="337">
        <v>17461512.366385318</v>
      </c>
      <c r="J9" s="337">
        <v>16058907.364560641</v>
      </c>
    </row>
    <row r="10" spans="2:10">
      <c r="B10" s="325" t="s">
        <v>170</v>
      </c>
      <c r="C10" s="228" t="s">
        <v>171</v>
      </c>
      <c r="G10" s="336">
        <v>159377.55168785082</v>
      </c>
      <c r="H10" s="336">
        <v>293752.70318584063</v>
      </c>
      <c r="I10" s="337">
        <v>17766671.060412973</v>
      </c>
      <c r="J10" s="337">
        <v>11721839.646806788</v>
      </c>
    </row>
    <row r="11" spans="2:10">
      <c r="B11" s="325" t="s">
        <v>172</v>
      </c>
      <c r="C11" s="228" t="s">
        <v>173</v>
      </c>
      <c r="G11" s="336">
        <v>36386.649999999994</v>
      </c>
      <c r="H11" s="336">
        <v>40623.07</v>
      </c>
      <c r="I11" s="337">
        <v>5267810.9108695779</v>
      </c>
      <c r="J11" s="337">
        <v>3388013.1030800012</v>
      </c>
    </row>
    <row r="12" spans="2:10">
      <c r="B12" s="325" t="s">
        <v>174</v>
      </c>
      <c r="C12" s="228" t="s">
        <v>175</v>
      </c>
      <c r="G12" s="342"/>
      <c r="H12" s="342"/>
      <c r="I12" s="337">
        <v>309721839.94000006</v>
      </c>
      <c r="J12" s="337">
        <v>309721839.94000006</v>
      </c>
    </row>
    <row r="13" spans="2:10">
      <c r="B13" s="325" t="s">
        <v>147</v>
      </c>
      <c r="C13" s="228" t="s">
        <v>177</v>
      </c>
      <c r="G13" s="336">
        <v>50254.5</v>
      </c>
      <c r="H13" s="336">
        <v>6008</v>
      </c>
      <c r="I13" s="337">
        <v>8582519.6628960688</v>
      </c>
      <c r="J13" s="337">
        <v>5700205.0800000001</v>
      </c>
    </row>
    <row r="14" spans="2:10">
      <c r="B14" s="326"/>
      <c r="C14" s="228"/>
      <c r="G14" s="343"/>
      <c r="H14" s="343"/>
      <c r="I14" s="344"/>
      <c r="J14" s="344"/>
    </row>
    <row r="15" spans="2:10">
      <c r="B15" s="327"/>
      <c r="C15" s="228" t="s">
        <v>159</v>
      </c>
      <c r="G15" s="341">
        <v>7957199.2833339777</v>
      </c>
      <c r="H15" s="341">
        <v>11970409.421383647</v>
      </c>
      <c r="I15" s="337">
        <v>946238164.0606277</v>
      </c>
      <c r="J15" s="337">
        <v>785104378.54334009</v>
      </c>
    </row>
    <row r="16" spans="2:10">
      <c r="G16" s="328"/>
      <c r="H16" s="328"/>
      <c r="I16" s="329"/>
    </row>
    <row r="18" spans="2:10" ht="61.35" customHeight="1">
      <c r="G18" s="322" t="s">
        <v>13</v>
      </c>
      <c r="H18" s="322" t="s">
        <v>14</v>
      </c>
      <c r="I18" s="323" t="s">
        <v>678</v>
      </c>
      <c r="J18" s="324" t="s">
        <v>679</v>
      </c>
    </row>
    <row r="19" spans="2:10">
      <c r="B19" s="228" t="s">
        <v>680</v>
      </c>
    </row>
    <row r="20" spans="2:10">
      <c r="B20" s="325" t="s">
        <v>160</v>
      </c>
      <c r="C20" s="228" t="s">
        <v>161</v>
      </c>
      <c r="G20" s="336">
        <v>665184</v>
      </c>
      <c r="H20" s="336">
        <v>10484175</v>
      </c>
      <c r="I20" s="337">
        <v>62543531</v>
      </c>
      <c r="J20" s="337">
        <v>38565371</v>
      </c>
    </row>
    <row r="21" spans="2:10">
      <c r="B21" s="325" t="s">
        <v>162</v>
      </c>
      <c r="C21" s="228" t="s">
        <v>163</v>
      </c>
      <c r="G21" s="336">
        <v>4333042</v>
      </c>
      <c r="H21" s="336">
        <v>284110</v>
      </c>
      <c r="I21" s="337">
        <v>263234030</v>
      </c>
      <c r="J21" s="337">
        <v>200744207</v>
      </c>
    </row>
    <row r="22" spans="2:10">
      <c r="B22" s="325" t="s">
        <v>164</v>
      </c>
      <c r="C22" s="228" t="s">
        <v>165</v>
      </c>
      <c r="G22" s="336">
        <v>1917105</v>
      </c>
      <c r="H22" s="336">
        <v>1049971</v>
      </c>
      <c r="I22" s="337">
        <v>191461782</v>
      </c>
      <c r="J22" s="337">
        <v>138400998</v>
      </c>
    </row>
    <row r="23" spans="2:10">
      <c r="B23" s="325" t="s">
        <v>166</v>
      </c>
      <c r="C23" s="228" t="s">
        <v>167</v>
      </c>
      <c r="G23" s="336">
        <v>78509</v>
      </c>
      <c r="H23" s="336">
        <v>22332</v>
      </c>
      <c r="I23" s="337">
        <v>8932207</v>
      </c>
      <c r="J23" s="337">
        <v>7290598</v>
      </c>
    </row>
    <row r="24" spans="2:10">
      <c r="B24" s="325" t="s">
        <v>168</v>
      </c>
      <c r="C24" s="228" t="s">
        <v>169</v>
      </c>
      <c r="G24" s="336">
        <v>36077</v>
      </c>
      <c r="H24" s="336">
        <v>149485</v>
      </c>
      <c r="I24" s="337">
        <v>17848729</v>
      </c>
      <c r="J24" s="337">
        <v>16343118</v>
      </c>
    </row>
    <row r="25" spans="2:10">
      <c r="B25" s="325" t="s">
        <v>170</v>
      </c>
      <c r="C25" s="228" t="s">
        <v>171</v>
      </c>
      <c r="G25" s="336">
        <v>182788</v>
      </c>
      <c r="H25" s="336">
        <v>294720</v>
      </c>
      <c r="I25" s="337">
        <v>16922917</v>
      </c>
      <c r="J25" s="337">
        <v>11530022</v>
      </c>
    </row>
    <row r="26" spans="2:10">
      <c r="B26" s="325" t="s">
        <v>172</v>
      </c>
      <c r="C26" s="228" t="s">
        <v>173</v>
      </c>
      <c r="G26" s="336">
        <v>53168</v>
      </c>
      <c r="H26" s="336">
        <v>190002</v>
      </c>
      <c r="I26" s="337">
        <v>6936090</v>
      </c>
      <c r="J26" s="337">
        <v>4386865</v>
      </c>
    </row>
    <row r="27" spans="2:10">
      <c r="B27" s="325" t="s">
        <v>174</v>
      </c>
      <c r="C27" s="228" t="s">
        <v>175</v>
      </c>
      <c r="G27" s="338"/>
      <c r="H27" s="338"/>
      <c r="I27" s="337">
        <v>286323867</v>
      </c>
      <c r="J27" s="337">
        <v>286323867</v>
      </c>
    </row>
    <row r="28" spans="2:10">
      <c r="B28" s="325" t="s">
        <v>147</v>
      </c>
      <c r="C28" s="228" t="s">
        <v>177</v>
      </c>
      <c r="G28" s="336">
        <v>66334</v>
      </c>
      <c r="H28" s="336">
        <v>8178</v>
      </c>
      <c r="I28" s="337">
        <v>6884244</v>
      </c>
      <c r="J28" s="337">
        <v>6521616</v>
      </c>
    </row>
    <row r="29" spans="2:10">
      <c r="B29" s="326"/>
      <c r="C29" s="228"/>
      <c r="G29" s="339"/>
      <c r="H29" s="339"/>
      <c r="I29" s="340"/>
      <c r="J29" s="340"/>
    </row>
    <row r="30" spans="2:10">
      <c r="B30" s="327"/>
      <c r="C30" s="228" t="s">
        <v>159</v>
      </c>
      <c r="G30" s="341">
        <v>7332206</v>
      </c>
      <c r="H30" s="341">
        <v>12482972</v>
      </c>
      <c r="I30" s="337">
        <v>861087398</v>
      </c>
      <c r="J30" s="337">
        <v>710106661</v>
      </c>
    </row>
    <row r="37" spans="1:9" ht="74.25" customHeight="1" thickBot="1">
      <c r="C37" s="330" t="s">
        <v>684</v>
      </c>
      <c r="D37" s="330" t="s">
        <v>681</v>
      </c>
      <c r="E37" s="330" t="s">
        <v>686</v>
      </c>
      <c r="F37" s="330" t="s">
        <v>685</v>
      </c>
      <c r="G37" s="330" t="s">
        <v>682</v>
      </c>
      <c r="H37" s="330" t="s">
        <v>687</v>
      </c>
    </row>
    <row r="38" spans="1:9" ht="25.7" customHeight="1" thickBot="1">
      <c r="A38" s="331" t="s">
        <v>160</v>
      </c>
      <c r="B38" s="332" t="s">
        <v>161</v>
      </c>
      <c r="C38" s="334">
        <v>67402543.769687563</v>
      </c>
      <c r="D38" s="334">
        <v>62543531</v>
      </c>
      <c r="E38" s="335">
        <f>(C38-D38)/ABS(D38)</f>
        <v>7.7690093475655586E-2</v>
      </c>
      <c r="F38" s="334">
        <v>41861264.796767995</v>
      </c>
      <c r="G38" s="334">
        <v>38565371</v>
      </c>
      <c r="H38" s="335">
        <f>(F38-G38)/ABS(G38)</f>
        <v>8.5462520165253811E-2</v>
      </c>
    </row>
    <row r="39" spans="1:9" ht="33" customHeight="1" thickBot="1">
      <c r="A39" s="331" t="s">
        <v>162</v>
      </c>
      <c r="B39" s="332" t="s">
        <v>163</v>
      </c>
      <c r="C39" s="334">
        <v>306456177.97084236</v>
      </c>
      <c r="D39" s="334">
        <v>263234030</v>
      </c>
      <c r="E39" s="335">
        <f t="shared" ref="E39:E47" si="0">(C39-D39)/ABS(D39)</f>
        <v>0.16419665789731808</v>
      </c>
      <c r="F39" s="334">
        <v>240396253.32660598</v>
      </c>
      <c r="G39" s="334">
        <v>200744207</v>
      </c>
      <c r="H39" s="335">
        <f t="shared" ref="H39:H47" si="1">(F39-G39)/ABS(G39)</f>
        <v>0.19752523332643904</v>
      </c>
    </row>
    <row r="40" spans="1:9" ht="33.6" customHeight="1" thickBot="1">
      <c r="A40" s="331" t="s">
        <v>164</v>
      </c>
      <c r="B40" s="332" t="s">
        <v>165</v>
      </c>
      <c r="C40" s="334">
        <v>209985520.00696576</v>
      </c>
      <c r="D40" s="334">
        <v>191461782</v>
      </c>
      <c r="E40" s="335">
        <f t="shared" si="0"/>
        <v>9.6749010760621437E-2</v>
      </c>
      <c r="F40" s="334">
        <v>154204997.83951867</v>
      </c>
      <c r="G40" s="334">
        <v>138400998</v>
      </c>
      <c r="H40" s="335">
        <f t="shared" si="1"/>
        <v>0.11418992686395706</v>
      </c>
    </row>
    <row r="41" spans="1:9" ht="25.7" customHeight="1" thickBot="1">
      <c r="A41" s="331" t="s">
        <v>166</v>
      </c>
      <c r="B41" s="332" t="s">
        <v>167</v>
      </c>
      <c r="C41" s="334">
        <v>3593568.3725680076</v>
      </c>
      <c r="D41" s="334">
        <v>8932207</v>
      </c>
      <c r="E41" s="335">
        <f t="shared" si="0"/>
        <v>-0.59768415884584769</v>
      </c>
      <c r="F41" s="334">
        <v>2051057.446</v>
      </c>
      <c r="G41" s="334">
        <v>7290589</v>
      </c>
      <c r="H41" s="335">
        <f t="shared" si="1"/>
        <v>-0.718670542805252</v>
      </c>
    </row>
    <row r="42" spans="1:9" ht="25.7" customHeight="1" thickBot="1">
      <c r="A42" s="331" t="s">
        <v>168</v>
      </c>
      <c r="B42" s="332" t="s">
        <v>169</v>
      </c>
      <c r="C42" s="334">
        <v>17461512.366385318</v>
      </c>
      <c r="D42" s="334">
        <v>17848729</v>
      </c>
      <c r="E42" s="335">
        <f t="shared" si="0"/>
        <v>-2.1694353341051995E-2</v>
      </c>
      <c r="F42" s="334">
        <v>16058907.364560641</v>
      </c>
      <c r="G42" s="334">
        <v>16343118</v>
      </c>
      <c r="H42" s="335">
        <f t="shared" si="1"/>
        <v>-1.7390233334872735E-2</v>
      </c>
    </row>
    <row r="43" spans="1:9" ht="33.6" customHeight="1" thickBot="1">
      <c r="A43" s="331" t="s">
        <v>170</v>
      </c>
      <c r="B43" s="332" t="s">
        <v>171</v>
      </c>
      <c r="C43" s="334">
        <v>17766671.060412973</v>
      </c>
      <c r="D43" s="334">
        <v>16922917</v>
      </c>
      <c r="E43" s="335">
        <f t="shared" si="0"/>
        <v>4.9858665643338747E-2</v>
      </c>
      <c r="F43" s="334">
        <v>11721839.646806788</v>
      </c>
      <c r="G43" s="334">
        <v>11530022</v>
      </c>
      <c r="H43" s="335">
        <f t="shared" si="1"/>
        <v>1.6636364337100806E-2</v>
      </c>
    </row>
    <row r="44" spans="1:9" ht="33" customHeight="1" thickBot="1">
      <c r="A44" s="331" t="s">
        <v>172</v>
      </c>
      <c r="B44" s="332" t="s">
        <v>173</v>
      </c>
      <c r="C44" s="334">
        <v>5267810.9108695779</v>
      </c>
      <c r="D44" s="334">
        <v>6936090</v>
      </c>
      <c r="E44" s="335">
        <f t="shared" si="0"/>
        <v>-0.24052154587533064</v>
      </c>
      <c r="F44" s="334">
        <v>3388013.1030800012</v>
      </c>
      <c r="G44" s="334">
        <v>4386865</v>
      </c>
      <c r="H44" s="335">
        <f t="shared" si="1"/>
        <v>-0.22769150564697085</v>
      </c>
    </row>
    <row r="45" spans="1:9" ht="25.7" customHeight="1" thickBot="1">
      <c r="A45" s="331" t="s">
        <v>174</v>
      </c>
      <c r="B45" s="332" t="s">
        <v>175</v>
      </c>
      <c r="C45" s="334">
        <v>309721839.94000006</v>
      </c>
      <c r="D45" s="334">
        <v>286323867</v>
      </c>
      <c r="E45" s="335">
        <f t="shared" si="0"/>
        <v>8.1718555931629883E-2</v>
      </c>
      <c r="F45" s="334">
        <v>309721839.94000006</v>
      </c>
      <c r="G45" s="334">
        <v>286323867</v>
      </c>
      <c r="H45" s="335">
        <f t="shared" si="1"/>
        <v>8.1718555931629883E-2</v>
      </c>
    </row>
    <row r="46" spans="1:9" ht="31.7" customHeight="1" thickBot="1">
      <c r="A46" s="331" t="s">
        <v>147</v>
      </c>
      <c r="B46" s="332" t="s">
        <v>177</v>
      </c>
      <c r="C46" s="334">
        <v>8582519.6628960688</v>
      </c>
      <c r="D46" s="334">
        <v>6884244</v>
      </c>
      <c r="E46" s="335">
        <f t="shared" si="0"/>
        <v>0.24669021941931005</v>
      </c>
      <c r="F46" s="334">
        <v>5700205.0800000001</v>
      </c>
      <c r="G46" s="334">
        <v>6521616</v>
      </c>
      <c r="H46" s="335">
        <f t="shared" si="1"/>
        <v>-0.12595205237474882</v>
      </c>
      <c r="I46" s="333"/>
    </row>
    <row r="47" spans="1:9" ht="25.7" customHeight="1">
      <c r="B47" s="228" t="s">
        <v>648</v>
      </c>
      <c r="C47" s="334">
        <f>SUM(C38:C46)</f>
        <v>946238164.0606277</v>
      </c>
      <c r="D47" s="334">
        <v>861087398</v>
      </c>
      <c r="E47" s="335">
        <f t="shared" si="0"/>
        <v>9.8887483730922862E-2</v>
      </c>
      <c r="F47" s="334">
        <f>SUM(F38:F46)</f>
        <v>785104378.54334009</v>
      </c>
      <c r="G47" s="334">
        <v>710106661</v>
      </c>
      <c r="H47" s="335">
        <f t="shared" si="1"/>
        <v>0.10561472193166779</v>
      </c>
    </row>
    <row r="48" spans="1:9">
      <c r="D48" s="333"/>
    </row>
  </sheetData>
  <mergeCells count="1">
    <mergeCell ref="D1:F1"/>
  </mergeCells>
  <pageMargins left="0.75" right="0.75" top="1" bottom="1" header="0.5" footer="0.5"/>
  <pageSetup scale="81" orientation="landscape" r:id="rId1"/>
  <headerFooter>
    <oddFooter>&amp;C&amp;P</oddFooter>
  </headerFooter>
  <rowBreaks count="1" manualBreakCount="1">
    <brk id="32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290</v>
      </c>
      <c r="D5" s="363"/>
      <c r="E5" s="363"/>
      <c r="F5" s="363"/>
      <c r="G5" s="364"/>
    </row>
    <row r="6" spans="1:11" ht="18" customHeight="1">
      <c r="B6" s="6" t="s">
        <v>4</v>
      </c>
      <c r="C6" s="365">
        <v>17</v>
      </c>
      <c r="D6" s="366"/>
      <c r="E6" s="366"/>
      <c r="F6" s="366"/>
      <c r="G6" s="367"/>
    </row>
    <row r="7" spans="1:11" ht="18" customHeight="1">
      <c r="B7" s="6" t="s">
        <v>5</v>
      </c>
      <c r="C7" s="368">
        <v>341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289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288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287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509</v>
      </c>
      <c r="G18" s="11">
        <f>192+44+89+369+86+20609+256+32+48+465</f>
        <v>22190</v>
      </c>
      <c r="H18" s="12">
        <f>1542+2712+567+5154+1378+3417+1740+1596+1300+2202</f>
        <v>21608</v>
      </c>
      <c r="I18" s="13">
        <f t="shared" ref="I18:I32" si="0">H18*F$116</f>
        <v>15773.84</v>
      </c>
      <c r="J18" s="12">
        <v>576</v>
      </c>
      <c r="K18" s="14">
        <f t="shared" ref="K18:K32" si="1">(H18+I18)-J18</f>
        <v>36805.839999999997</v>
      </c>
    </row>
    <row r="19" spans="1:11" ht="18" customHeight="1">
      <c r="A19" s="6"/>
      <c r="B19" s="2" t="s">
        <v>23</v>
      </c>
      <c r="F19" s="11">
        <v>2</v>
      </c>
      <c r="G19" s="11">
        <f>67+8</f>
        <v>75</v>
      </c>
      <c r="H19" s="12">
        <f>1953+230</f>
        <v>2183</v>
      </c>
      <c r="I19" s="13">
        <f t="shared" si="0"/>
        <v>1593.59</v>
      </c>
      <c r="J19" s="12"/>
      <c r="K19" s="14">
        <f t="shared" si="1"/>
        <v>3776.59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85</v>
      </c>
      <c r="G22" s="11">
        <v>491</v>
      </c>
      <c r="H22" s="12">
        <v>13668</v>
      </c>
      <c r="I22" s="13">
        <f t="shared" si="0"/>
        <v>9977.64</v>
      </c>
      <c r="J22" s="12">
        <v>13115</v>
      </c>
      <c r="K22" s="14">
        <f t="shared" si="1"/>
        <v>10530.64</v>
      </c>
    </row>
    <row r="23" spans="1:11" ht="18" customHeight="1">
      <c r="A23" s="6"/>
      <c r="B23" s="2" t="s">
        <v>28</v>
      </c>
      <c r="F23" s="11">
        <v>166</v>
      </c>
      <c r="G23" s="11">
        <v>949</v>
      </c>
      <c r="H23" s="12">
        <v>14637</v>
      </c>
      <c r="I23" s="13">
        <f t="shared" si="0"/>
        <v>10685.01</v>
      </c>
      <c r="J23" s="12">
        <v>14750</v>
      </c>
      <c r="K23" s="14">
        <f t="shared" si="1"/>
        <v>10572.010000000002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86.1</v>
      </c>
      <c r="G26" s="11">
        <v>345</v>
      </c>
      <c r="H26" s="12">
        <v>3764</v>
      </c>
      <c r="I26" s="13">
        <f t="shared" si="0"/>
        <v>2747.72</v>
      </c>
      <c r="J26" s="12"/>
      <c r="K26" s="14">
        <f t="shared" si="1"/>
        <v>6511.7199999999993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286</v>
      </c>
      <c r="C28" s="379"/>
      <c r="D28" s="380"/>
      <c r="F28" s="11">
        <v>20.100000000000001</v>
      </c>
      <c r="G28" s="11">
        <v>44</v>
      </c>
      <c r="H28" s="12">
        <v>6917</v>
      </c>
      <c r="I28" s="13">
        <f t="shared" si="0"/>
        <v>5049.41</v>
      </c>
      <c r="J28" s="12">
        <v>5378</v>
      </c>
      <c r="K28" s="14">
        <f t="shared" si="1"/>
        <v>6588.41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868.2</v>
      </c>
      <c r="G34" s="19">
        <f t="shared" si="2"/>
        <v>24094</v>
      </c>
      <c r="H34" s="14">
        <f t="shared" si="2"/>
        <v>62777</v>
      </c>
      <c r="I34" s="14">
        <f t="shared" si="2"/>
        <v>45827.210000000006</v>
      </c>
      <c r="J34" s="14">
        <f t="shared" si="2"/>
        <v>33819</v>
      </c>
      <c r="K34" s="14">
        <f t="shared" si="2"/>
        <v>74785.209999999992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7</v>
      </c>
      <c r="G39" s="11">
        <v>3</v>
      </c>
      <c r="H39" s="12">
        <v>9112</v>
      </c>
      <c r="I39" s="13">
        <v>0</v>
      </c>
      <c r="J39" s="12"/>
      <c r="K39" s="14">
        <f t="shared" si="3"/>
        <v>9112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7</v>
      </c>
      <c r="G48" s="25">
        <f t="shared" si="4"/>
        <v>3</v>
      </c>
      <c r="H48" s="14">
        <f t="shared" si="4"/>
        <v>9112</v>
      </c>
      <c r="I48" s="14">
        <f t="shared" si="4"/>
        <v>0</v>
      </c>
      <c r="J48" s="14">
        <f t="shared" si="4"/>
        <v>0</v>
      </c>
      <c r="K48" s="14">
        <f t="shared" si="4"/>
        <v>9112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/>
      <c r="C52" s="385"/>
      <c r="D52" s="359"/>
      <c r="F52" s="11"/>
      <c r="G52" s="11"/>
      <c r="H52" s="12"/>
      <c r="I52" s="13">
        <v>0</v>
      </c>
      <c r="J52" s="12"/>
      <c r="K52" s="14">
        <f t="shared" ref="K52:K61" si="5">(H52+I52)-J52</f>
        <v>0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0</v>
      </c>
      <c r="I63" s="14">
        <f t="shared" si="6"/>
        <v>0</v>
      </c>
      <c r="J63" s="14">
        <f t="shared" si="6"/>
        <v>0</v>
      </c>
      <c r="K63" s="14">
        <f t="shared" si="6"/>
        <v>0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1</v>
      </c>
      <c r="G77" s="11"/>
      <c r="H77" s="12">
        <v>5000</v>
      </c>
      <c r="I77" s="13">
        <v>0</v>
      </c>
      <c r="J77" s="12"/>
      <c r="K77" s="14">
        <f>(H77+I77)-J77</f>
        <v>5000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118.8</v>
      </c>
      <c r="G79" s="11">
        <f>34+13+1+4+16+4+2</f>
        <v>74</v>
      </c>
      <c r="H79" s="12">
        <f>1025+1215+524+284+1495+835+248+1558</f>
        <v>7184</v>
      </c>
      <c r="I79" s="13">
        <v>0</v>
      </c>
      <c r="J79" s="12"/>
      <c r="K79" s="14">
        <f>(H79+I79)-J79</f>
        <v>7184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119.8</v>
      </c>
      <c r="G82" s="44">
        <f t="shared" si="9"/>
        <v>74</v>
      </c>
      <c r="H82" s="45">
        <f t="shared" si="9"/>
        <v>12184</v>
      </c>
      <c r="I82" s="45">
        <f t="shared" si="9"/>
        <v>0</v>
      </c>
      <c r="J82" s="45">
        <f t="shared" si="9"/>
        <v>0</v>
      </c>
      <c r="K82" s="45">
        <f t="shared" si="9"/>
        <v>12184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>
        <v>44.3</v>
      </c>
      <c r="G87" s="11">
        <v>2</v>
      </c>
      <c r="H87" s="12">
        <f>3193+1222</f>
        <v>4415</v>
      </c>
      <c r="I87" s="13">
        <f t="shared" si="10"/>
        <v>3222.95</v>
      </c>
      <c r="J87" s="12"/>
      <c r="K87" s="14">
        <f t="shared" si="11"/>
        <v>7637.95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1</v>
      </c>
      <c r="G90" s="11">
        <v>8</v>
      </c>
      <c r="H90" s="12">
        <v>31</v>
      </c>
      <c r="I90" s="13">
        <f t="shared" si="10"/>
        <v>22.63</v>
      </c>
      <c r="J90" s="12"/>
      <c r="K90" s="14">
        <f t="shared" si="11"/>
        <v>53.629999999999995</v>
      </c>
    </row>
    <row r="91" spans="1:11" ht="18" customHeight="1">
      <c r="A91" s="6" t="s">
        <v>110</v>
      </c>
      <c r="B91" s="63" t="s">
        <v>111</v>
      </c>
      <c r="F91" s="11">
        <v>91</v>
      </c>
      <c r="G91" s="11">
        <f>16+4+3+1+92+5+47</f>
        <v>168</v>
      </c>
      <c r="H91" s="12">
        <f>62+284+213+1819+1516+647+248</f>
        <v>4789</v>
      </c>
      <c r="I91" s="13">
        <f t="shared" si="10"/>
        <v>3495.97</v>
      </c>
      <c r="J91" s="12"/>
      <c r="K91" s="14">
        <f t="shared" si="11"/>
        <v>8284.9699999999993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42</v>
      </c>
      <c r="G93" s="11">
        <v>290</v>
      </c>
      <c r="H93" s="12">
        <f>910+113554</f>
        <v>114464</v>
      </c>
      <c r="I93" s="13">
        <f t="shared" si="10"/>
        <v>83558.720000000001</v>
      </c>
      <c r="J93" s="12"/>
      <c r="K93" s="14">
        <f t="shared" si="11"/>
        <v>198022.72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178.3</v>
      </c>
      <c r="G99" s="19">
        <f t="shared" si="12"/>
        <v>468</v>
      </c>
      <c r="H99" s="19">
        <f t="shared" si="12"/>
        <v>123699</v>
      </c>
      <c r="I99" s="19">
        <f t="shared" si="12"/>
        <v>90300.27</v>
      </c>
      <c r="J99" s="19">
        <f t="shared" si="12"/>
        <v>0</v>
      </c>
      <c r="K99" s="19">
        <f t="shared" si="12"/>
        <v>213999.27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160</v>
      </c>
      <c r="G103" s="11">
        <v>1</v>
      </c>
      <c r="H103" s="12">
        <v>4691</v>
      </c>
      <c r="I103" s="13">
        <f t="shared" ref="I103:I108" si="13">H103*F$116</f>
        <v>3424.43</v>
      </c>
      <c r="J103" s="12"/>
      <c r="K103" s="14">
        <f t="shared" ref="K103:K108" si="14">(H103+I103)-J103</f>
        <v>8115.43</v>
      </c>
    </row>
    <row r="104" spans="1:11" ht="18" customHeight="1">
      <c r="A104" s="6" t="s">
        <v>121</v>
      </c>
      <c r="B104" s="386" t="s">
        <v>122</v>
      </c>
      <c r="C104" s="386"/>
      <c r="F104" s="11">
        <v>3</v>
      </c>
      <c r="G104" s="11">
        <v>10</v>
      </c>
      <c r="H104" s="12">
        <v>92</v>
      </c>
      <c r="I104" s="13">
        <f t="shared" si="13"/>
        <v>67.16</v>
      </c>
      <c r="J104" s="12"/>
      <c r="K104" s="14">
        <f t="shared" si="14"/>
        <v>159.16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163</v>
      </c>
      <c r="G110" s="19">
        <f t="shared" si="15"/>
        <v>11</v>
      </c>
      <c r="H110" s="14">
        <f t="shared" si="15"/>
        <v>4783</v>
      </c>
      <c r="I110" s="14">
        <f t="shared" si="15"/>
        <v>3491.5899999999997</v>
      </c>
      <c r="J110" s="14">
        <f t="shared" si="15"/>
        <v>0</v>
      </c>
      <c r="K110" s="14">
        <f t="shared" si="15"/>
        <v>8274.59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1898950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0.73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37167121</v>
      </c>
    </row>
    <row r="120" spans="1:6" ht="18" customHeight="1">
      <c r="B120" s="2" t="s">
        <v>137</v>
      </c>
      <c r="F120" s="12">
        <v>714784</v>
      </c>
    </row>
    <row r="121" spans="1:6" ht="18" customHeight="1">
      <c r="A121" s="6"/>
      <c r="B121" s="5" t="s">
        <v>138</v>
      </c>
      <c r="F121" s="12">
        <f>F119+F120</f>
        <v>37881905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35576162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2305743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f>-415568+21989-98526</f>
        <v>-492105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1813640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868.2</v>
      </c>
      <c r="G144" s="54">
        <f t="shared" si="18"/>
        <v>24094</v>
      </c>
      <c r="H144" s="54">
        <f t="shared" si="18"/>
        <v>62777</v>
      </c>
      <c r="I144" s="54">
        <f t="shared" si="18"/>
        <v>45827.210000000006</v>
      </c>
      <c r="J144" s="54">
        <f t="shared" si="18"/>
        <v>33819</v>
      </c>
      <c r="K144" s="54">
        <f t="shared" si="18"/>
        <v>74785.209999999992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7</v>
      </c>
      <c r="G145" s="54">
        <f t="shared" si="19"/>
        <v>3</v>
      </c>
      <c r="H145" s="54">
        <f t="shared" si="19"/>
        <v>9112</v>
      </c>
      <c r="I145" s="54">
        <f t="shared" si="19"/>
        <v>0</v>
      </c>
      <c r="J145" s="54">
        <f t="shared" si="19"/>
        <v>0</v>
      </c>
      <c r="K145" s="54">
        <f t="shared" si="19"/>
        <v>9112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0</v>
      </c>
      <c r="I146" s="54">
        <f t="shared" si="20"/>
        <v>0</v>
      </c>
      <c r="J146" s="54">
        <f t="shared" si="20"/>
        <v>0</v>
      </c>
      <c r="K146" s="54">
        <f t="shared" si="20"/>
        <v>0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119.8</v>
      </c>
      <c r="G148" s="54">
        <f t="shared" si="22"/>
        <v>74</v>
      </c>
      <c r="H148" s="54">
        <f t="shared" si="22"/>
        <v>12184</v>
      </c>
      <c r="I148" s="54">
        <f t="shared" si="22"/>
        <v>0</v>
      </c>
      <c r="J148" s="54">
        <f t="shared" si="22"/>
        <v>0</v>
      </c>
      <c r="K148" s="54">
        <f t="shared" si="22"/>
        <v>12184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178.3</v>
      </c>
      <c r="G149" s="54">
        <f t="shared" si="23"/>
        <v>468</v>
      </c>
      <c r="H149" s="54">
        <f t="shared" si="23"/>
        <v>123699</v>
      </c>
      <c r="I149" s="54">
        <f t="shared" si="23"/>
        <v>90300.27</v>
      </c>
      <c r="J149" s="54">
        <f t="shared" si="23"/>
        <v>0</v>
      </c>
      <c r="K149" s="54">
        <f t="shared" si="23"/>
        <v>213999.27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163</v>
      </c>
      <c r="G150" s="19">
        <f t="shared" si="24"/>
        <v>11</v>
      </c>
      <c r="H150" s="19">
        <f t="shared" si="24"/>
        <v>4783</v>
      </c>
      <c r="I150" s="19">
        <f t="shared" si="24"/>
        <v>3491.5899999999997</v>
      </c>
      <c r="J150" s="19">
        <f t="shared" si="24"/>
        <v>0</v>
      </c>
      <c r="K150" s="19">
        <f t="shared" si="24"/>
        <v>8274.59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1898950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1336.3</v>
      </c>
      <c r="G154" s="60">
        <f t="shared" si="26"/>
        <v>24650</v>
      </c>
      <c r="H154" s="60">
        <f t="shared" si="26"/>
        <v>212555</v>
      </c>
      <c r="I154" s="60">
        <f t="shared" si="26"/>
        <v>139619.07</v>
      </c>
      <c r="J154" s="60">
        <f t="shared" si="26"/>
        <v>33819</v>
      </c>
      <c r="K154" s="61">
        <f t="shared" si="26"/>
        <v>2217305.0699999998</v>
      </c>
    </row>
    <row r="156" spans="1:11" ht="18" customHeight="1">
      <c r="B156" s="5" t="s">
        <v>178</v>
      </c>
      <c r="F156" s="62">
        <f>K154/F123</f>
        <v>6.2325583912058863E-2</v>
      </c>
    </row>
    <row r="157" spans="1:11" ht="18" customHeight="1">
      <c r="B157" s="5" t="s">
        <v>179</v>
      </c>
      <c r="F157" s="62">
        <f>K154/F129</f>
        <v>1.2225717727884253</v>
      </c>
      <c r="G157" s="5"/>
    </row>
    <row r="158" spans="1:11" ht="18" customHeight="1">
      <c r="G158" s="5"/>
    </row>
  </sheetData>
  <sheetProtection password="EF72" sheet="1"/>
  <mergeCells count="33">
    <mergeCell ref="B97:D97"/>
    <mergeCell ref="B96:D96"/>
    <mergeCell ref="B104:C104"/>
    <mergeCell ref="B137:D137"/>
    <mergeCell ref="B138:D138"/>
    <mergeCell ref="B136:D136"/>
    <mergeCell ref="B106:D106"/>
    <mergeCell ref="B107:D107"/>
    <mergeCell ref="B108:D10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5:D95"/>
    <mergeCell ref="B51:C51"/>
    <mergeCell ref="B90:C90"/>
    <mergeCell ref="B52:D52"/>
    <mergeCell ref="B54:D54"/>
    <mergeCell ref="B55:D55"/>
    <mergeCell ref="B58:D58"/>
    <mergeCell ref="B61:D61"/>
    <mergeCell ref="B56:D56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300</v>
      </c>
      <c r="D5" s="363"/>
      <c r="E5" s="363"/>
      <c r="F5" s="363"/>
      <c r="G5" s="364"/>
    </row>
    <row r="6" spans="1:11" ht="18" customHeight="1">
      <c r="B6" s="6" t="s">
        <v>4</v>
      </c>
      <c r="C6" s="365"/>
      <c r="D6" s="366"/>
      <c r="E6" s="366"/>
      <c r="F6" s="366"/>
      <c r="G6" s="367"/>
    </row>
    <row r="7" spans="1:11" ht="18" customHeight="1">
      <c r="B7" s="6" t="s">
        <v>5</v>
      </c>
      <c r="C7" s="368">
        <v>3000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299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298</v>
      </c>
      <c r="D10" s="372"/>
      <c r="E10" s="372"/>
      <c r="F10" s="372"/>
      <c r="G10" s="373"/>
    </row>
    <row r="11" spans="1:11" ht="18" customHeight="1">
      <c r="B11" s="6" t="s">
        <v>10</v>
      </c>
      <c r="C11" s="419" t="s">
        <v>297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7</v>
      </c>
      <c r="G18" s="11">
        <v>15</v>
      </c>
      <c r="H18" s="12">
        <v>60</v>
      </c>
      <c r="I18" s="13">
        <f t="shared" ref="I18:I32" si="0">H18*F$116</f>
        <v>33.438000000000002</v>
      </c>
      <c r="J18" s="12"/>
      <c r="K18" s="14">
        <f t="shared" ref="K18:K32" si="1">(H18+I18)-J18</f>
        <v>93.438000000000002</v>
      </c>
    </row>
    <row r="19" spans="1:11" ht="18" customHeight="1">
      <c r="A19" s="6"/>
      <c r="B19" s="2" t="s">
        <v>23</v>
      </c>
      <c r="F19" s="11">
        <v>216</v>
      </c>
      <c r="G19" s="11">
        <v>605</v>
      </c>
      <c r="H19" s="12">
        <v>6226.78</v>
      </c>
      <c r="I19" s="13">
        <f t="shared" si="0"/>
        <v>3470.1844940000001</v>
      </c>
      <c r="J19" s="12"/>
      <c r="K19" s="14">
        <f t="shared" si="1"/>
        <v>9696.9644939999998</v>
      </c>
    </row>
    <row r="20" spans="1:11" ht="18" customHeight="1">
      <c r="A20" s="6"/>
      <c r="B20" s="2" t="s">
        <v>24</v>
      </c>
      <c r="F20" s="11">
        <v>833.5</v>
      </c>
      <c r="G20" s="11">
        <v>15234</v>
      </c>
      <c r="H20" s="12">
        <v>35921.75</v>
      </c>
      <c r="I20" s="13">
        <f t="shared" si="0"/>
        <v>20019.191275000001</v>
      </c>
      <c r="J20" s="12">
        <v>1400</v>
      </c>
      <c r="K20" s="14">
        <f t="shared" si="1"/>
        <v>54540.941275000005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563.79999999999995</v>
      </c>
      <c r="G22" s="11">
        <v>5969</v>
      </c>
      <c r="H22" s="12">
        <v>39820.78</v>
      </c>
      <c r="I22" s="13">
        <f t="shared" si="0"/>
        <v>22192.120694000001</v>
      </c>
      <c r="J22" s="12">
        <v>6965</v>
      </c>
      <c r="K22" s="14">
        <f t="shared" si="1"/>
        <v>55047.900693999996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>
        <v>74</v>
      </c>
      <c r="G24" s="11">
        <v>106</v>
      </c>
      <c r="H24" s="12">
        <v>4637.37</v>
      </c>
      <c r="I24" s="13">
        <f t="shared" si="0"/>
        <v>2584.406301</v>
      </c>
      <c r="J24" s="12"/>
      <c r="K24" s="14">
        <f t="shared" si="1"/>
        <v>7221.7763009999999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0.5</v>
      </c>
      <c r="G26" s="11">
        <v>1</v>
      </c>
      <c r="H26" s="12">
        <v>166</v>
      </c>
      <c r="I26" s="13">
        <f t="shared" si="0"/>
        <v>92.511800000000008</v>
      </c>
      <c r="J26" s="12"/>
      <c r="K26" s="14">
        <f t="shared" si="1"/>
        <v>258.51179999999999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1694.8</v>
      </c>
      <c r="G34" s="19">
        <f t="shared" si="2"/>
        <v>21930</v>
      </c>
      <c r="H34" s="14">
        <f t="shared" si="2"/>
        <v>86832.68</v>
      </c>
      <c r="I34" s="14">
        <f t="shared" si="2"/>
        <v>48391.852564000001</v>
      </c>
      <c r="J34" s="14">
        <f t="shared" si="2"/>
        <v>8365</v>
      </c>
      <c r="K34" s="14">
        <f t="shared" si="2"/>
        <v>126859.53256400001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143348</v>
      </c>
      <c r="G38" s="11"/>
      <c r="H38" s="12">
        <v>4856384</v>
      </c>
      <c r="I38" s="13">
        <f>H38*F$116</f>
        <v>2706462.8032</v>
      </c>
      <c r="J38" s="12"/>
      <c r="K38" s="14">
        <f t="shared" ref="K38:K46" si="3">(H38+I38)-J38</f>
        <v>7562846.8032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>
        <v>4000</v>
      </c>
      <c r="I39" s="13">
        <v>0</v>
      </c>
      <c r="J39" s="12"/>
      <c r="K39" s="14">
        <f t="shared" si="3"/>
        <v>4000</v>
      </c>
    </row>
    <row r="40" spans="1:11" ht="18" customHeight="1">
      <c r="A40" s="6" t="s">
        <v>48</v>
      </c>
      <c r="B40" s="63" t="s">
        <v>49</v>
      </c>
      <c r="F40" s="11">
        <v>41250</v>
      </c>
      <c r="G40" s="11"/>
      <c r="H40" s="12">
        <v>626655</v>
      </c>
      <c r="I40" s="13">
        <f>H40*F$116</f>
        <v>349234.83150000003</v>
      </c>
      <c r="J40" s="12"/>
      <c r="K40" s="14">
        <f t="shared" si="3"/>
        <v>975889.83150000009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4560</v>
      </c>
      <c r="G41" s="11"/>
      <c r="H41" s="12">
        <v>160944</v>
      </c>
      <c r="I41" s="13">
        <f>H41*F$116</f>
        <v>89694.09120000001</v>
      </c>
      <c r="J41" s="12">
        <v>54092</v>
      </c>
      <c r="K41" s="14">
        <f t="shared" si="3"/>
        <v>196546.09120000002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81" t="s">
        <v>296</v>
      </c>
      <c r="C44" s="358"/>
      <c r="D44" s="359"/>
      <c r="F44" s="11">
        <v>240</v>
      </c>
      <c r="G44" s="11"/>
      <c r="H44" s="12">
        <v>11139</v>
      </c>
      <c r="I44" s="13">
        <f>H44*F$116</f>
        <v>6207.7647000000006</v>
      </c>
      <c r="J44" s="12"/>
      <c r="K44" s="14">
        <f t="shared" si="3"/>
        <v>17346.7647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189398</v>
      </c>
      <c r="G48" s="25">
        <f t="shared" si="4"/>
        <v>0</v>
      </c>
      <c r="H48" s="14">
        <f t="shared" si="4"/>
        <v>5659122</v>
      </c>
      <c r="I48" s="14">
        <f t="shared" si="4"/>
        <v>3151599.4906000001</v>
      </c>
      <c r="J48" s="14">
        <f t="shared" si="4"/>
        <v>54092</v>
      </c>
      <c r="K48" s="14">
        <f t="shared" si="4"/>
        <v>8756629.4905999992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27" t="s">
        <v>295</v>
      </c>
      <c r="C52" s="28"/>
      <c r="D52" s="29"/>
      <c r="F52" s="11"/>
      <c r="G52" s="11"/>
      <c r="H52" s="12">
        <v>2007102</v>
      </c>
      <c r="I52" s="13">
        <v>0</v>
      </c>
      <c r="J52" s="12"/>
      <c r="K52" s="14">
        <f t="shared" ref="K52:K61" si="5">(H52+I52)-J52</f>
        <v>2007102</v>
      </c>
    </row>
    <row r="53" spans="1:11" ht="18" customHeight="1">
      <c r="A53" s="6" t="s">
        <v>63</v>
      </c>
      <c r="B53" s="381" t="s">
        <v>294</v>
      </c>
      <c r="C53" s="358"/>
      <c r="D53" s="359"/>
      <c r="F53" s="11">
        <v>2226</v>
      </c>
      <c r="G53" s="11">
        <v>231</v>
      </c>
      <c r="H53" s="12">
        <v>129149</v>
      </c>
      <c r="I53" s="13">
        <f>H53*F$116</f>
        <v>71974.737699999998</v>
      </c>
      <c r="J53" s="12"/>
      <c r="K53" s="14">
        <f t="shared" si="5"/>
        <v>201123.7377</v>
      </c>
    </row>
    <row r="54" spans="1:11" ht="18" customHeight="1">
      <c r="A54" s="6" t="s">
        <v>65</v>
      </c>
      <c r="B54" s="381" t="s">
        <v>293</v>
      </c>
      <c r="C54" s="358"/>
      <c r="D54" s="359"/>
      <c r="F54" s="11">
        <v>2080</v>
      </c>
      <c r="G54" s="11">
        <v>4847</v>
      </c>
      <c r="H54" s="12">
        <f>62000</f>
        <v>62000</v>
      </c>
      <c r="I54" s="13">
        <f>H54*F$116</f>
        <v>34552.6</v>
      </c>
      <c r="J54" s="12"/>
      <c r="K54" s="14">
        <f t="shared" si="5"/>
        <v>96552.6</v>
      </c>
    </row>
    <row r="55" spans="1:11" ht="18" customHeight="1">
      <c r="A55" s="6" t="s">
        <v>67</v>
      </c>
      <c r="B55" s="381" t="s">
        <v>292</v>
      </c>
      <c r="C55" s="358"/>
      <c r="D55" s="359"/>
      <c r="F55" s="11">
        <v>2080</v>
      </c>
      <c r="G55" s="11">
        <v>490</v>
      </c>
      <c r="H55" s="12">
        <f>295000</f>
        <v>295000</v>
      </c>
      <c r="I55" s="13">
        <v>0</v>
      </c>
      <c r="J55" s="12"/>
      <c r="K55" s="14">
        <f t="shared" si="5"/>
        <v>295000</v>
      </c>
    </row>
    <row r="56" spans="1:11" ht="18" customHeight="1">
      <c r="A56" s="6" t="s">
        <v>69</v>
      </c>
      <c r="B56" s="27" t="s">
        <v>291</v>
      </c>
      <c r="C56" s="28"/>
      <c r="D56" s="29"/>
      <c r="F56" s="11"/>
      <c r="G56" s="11"/>
      <c r="H56" s="12">
        <f>755389</f>
        <v>755389</v>
      </c>
      <c r="I56" s="13">
        <v>0</v>
      </c>
      <c r="J56" s="12">
        <f>700469</f>
        <v>700469</v>
      </c>
      <c r="K56" s="14">
        <f t="shared" si="5"/>
        <v>54920</v>
      </c>
    </row>
    <row r="57" spans="1:11" ht="18" customHeight="1">
      <c r="A57" s="6" t="s">
        <v>71</v>
      </c>
      <c r="B57" s="381"/>
      <c r="C57" s="358"/>
      <c r="D57" s="35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27"/>
      <c r="C58" s="28"/>
      <c r="D58" s="2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6386</v>
      </c>
      <c r="G63" s="19">
        <f t="shared" si="6"/>
        <v>5568</v>
      </c>
      <c r="H63" s="14">
        <f t="shared" si="6"/>
        <v>3248640</v>
      </c>
      <c r="I63" s="14">
        <f t="shared" si="6"/>
        <v>106527.3377</v>
      </c>
      <c r="J63" s="14">
        <f t="shared" si="6"/>
        <v>700469</v>
      </c>
      <c r="K63" s="14">
        <f t="shared" si="6"/>
        <v>2654698.3377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87020</v>
      </c>
      <c r="I77" s="13">
        <v>0</v>
      </c>
      <c r="J77" s="12"/>
      <c r="K77" s="14">
        <f>(H77+I77)-J77</f>
        <v>87020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64</v>
      </c>
      <c r="G79" s="11">
        <v>933</v>
      </c>
      <c r="H79" s="12">
        <v>13168</v>
      </c>
      <c r="I79" s="13">
        <v>0</v>
      </c>
      <c r="J79" s="12"/>
      <c r="K79" s="14">
        <f>(H79+I79)-J79</f>
        <v>13168</v>
      </c>
    </row>
    <row r="80" spans="1:11" ht="18" customHeight="1">
      <c r="A80" s="6" t="s">
        <v>93</v>
      </c>
      <c r="B80" s="63" t="s">
        <v>97</v>
      </c>
      <c r="F80" s="11">
        <v>103.5</v>
      </c>
      <c r="G80" s="11">
        <v>280</v>
      </c>
      <c r="H80" s="12">
        <v>3609.13</v>
      </c>
      <c r="I80" s="13">
        <v>0</v>
      </c>
      <c r="J80" s="12"/>
      <c r="K80" s="14">
        <f>(H80+I80)-J80</f>
        <v>3609.13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167.5</v>
      </c>
      <c r="G82" s="44">
        <f t="shared" si="9"/>
        <v>1213</v>
      </c>
      <c r="H82" s="45">
        <f t="shared" si="9"/>
        <v>103797.13</v>
      </c>
      <c r="I82" s="45">
        <f t="shared" si="9"/>
        <v>0</v>
      </c>
      <c r="J82" s="45">
        <f t="shared" si="9"/>
        <v>0</v>
      </c>
      <c r="K82" s="45">
        <f t="shared" si="9"/>
        <v>103797.13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>H86*F$116</f>
        <v>0</v>
      </c>
      <c r="J86" s="12"/>
      <c r="K86" s="14">
        <f t="shared" ref="K86:K97" si="10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>H87*F$116</f>
        <v>0</v>
      </c>
      <c r="J87" s="12"/>
      <c r="K87" s="14">
        <f t="shared" si="10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>
        <v>27500</v>
      </c>
      <c r="I88" s="13">
        <v>0</v>
      </c>
      <c r="J88" s="12"/>
      <c r="K88" s="14">
        <f t="shared" si="10"/>
        <v>27500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>H89*F$116</f>
        <v>0</v>
      </c>
      <c r="J89" s="12"/>
      <c r="K89" s="14">
        <f t="shared" si="10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>H90*F$116</f>
        <v>0</v>
      </c>
      <c r="J90" s="12"/>
      <c r="K90" s="14">
        <f t="shared" si="10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>
        <v>25000</v>
      </c>
      <c r="I91" s="13">
        <v>0</v>
      </c>
      <c r="J91" s="12"/>
      <c r="K91" s="14">
        <f t="shared" si="10"/>
        <v>25000</v>
      </c>
    </row>
    <row r="92" spans="1:11" ht="18" customHeight="1">
      <c r="A92" s="6" t="s">
        <v>112</v>
      </c>
      <c r="B92" s="63" t="s">
        <v>113</v>
      </c>
      <c r="F92" s="46">
        <v>3</v>
      </c>
      <c r="G92" s="46">
        <v>50</v>
      </c>
      <c r="H92" s="47">
        <v>82.28</v>
      </c>
      <c r="I92" s="13">
        <v>0</v>
      </c>
      <c r="J92" s="47"/>
      <c r="K92" s="14">
        <f t="shared" si="10"/>
        <v>82.28</v>
      </c>
    </row>
    <row r="93" spans="1:11" ht="18" customHeight="1">
      <c r="A93" s="6" t="s">
        <v>114</v>
      </c>
      <c r="B93" s="63" t="s">
        <v>115</v>
      </c>
      <c r="F93" s="11"/>
      <c r="G93" s="11"/>
      <c r="H93" s="12">
        <v>100000</v>
      </c>
      <c r="I93" s="13">
        <v>0</v>
      </c>
      <c r="J93" s="12"/>
      <c r="K93" s="14">
        <f t="shared" si="10"/>
        <v>100000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>H94*F$116</f>
        <v>0</v>
      </c>
      <c r="J94" s="12"/>
      <c r="K94" s="14">
        <f t="shared" si="10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>H95*F$116</f>
        <v>0</v>
      </c>
      <c r="J95" s="12"/>
      <c r="K95" s="14">
        <f t="shared" si="10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>H96*F$116</f>
        <v>0</v>
      </c>
      <c r="J96" s="12"/>
      <c r="K96" s="14">
        <f t="shared" si="10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>H97*F$116</f>
        <v>0</v>
      </c>
      <c r="J97" s="12"/>
      <c r="K97" s="14">
        <f t="shared" si="10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1">SUM(F86:F97)</f>
        <v>3</v>
      </c>
      <c r="G99" s="19">
        <f t="shared" si="11"/>
        <v>50</v>
      </c>
      <c r="H99" s="19">
        <f t="shared" si="11"/>
        <v>152582.28</v>
      </c>
      <c r="I99" s="19">
        <f t="shared" si="11"/>
        <v>0</v>
      </c>
      <c r="J99" s="19">
        <f t="shared" si="11"/>
        <v>0</v>
      </c>
      <c r="K99" s="19">
        <f t="shared" si="11"/>
        <v>152582.28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>
        <f>11737</f>
        <v>11737</v>
      </c>
      <c r="I103" s="13">
        <f t="shared" ref="I103:I108" si="12">H103*F$116</f>
        <v>6541.0300999999999</v>
      </c>
      <c r="J103" s="12"/>
      <c r="K103" s="14">
        <f t="shared" ref="K103:K108" si="13">(H103+I103)-J103</f>
        <v>18278.0301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2"/>
        <v>0</v>
      </c>
      <c r="J104" s="12"/>
      <c r="K104" s="14">
        <f t="shared" si="13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2"/>
        <v>0</v>
      </c>
      <c r="J105" s="12"/>
      <c r="K105" s="14">
        <f t="shared" si="13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2"/>
        <v>0</v>
      </c>
      <c r="J106" s="12"/>
      <c r="K106" s="14">
        <f t="shared" si="13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2"/>
        <v>0</v>
      </c>
      <c r="J107" s="12"/>
      <c r="K107" s="14">
        <f t="shared" si="13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2"/>
        <v>0</v>
      </c>
      <c r="J108" s="12"/>
      <c r="K108" s="14">
        <f t="shared" si="13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4">SUM(F103:F108)</f>
        <v>0</v>
      </c>
      <c r="G110" s="19">
        <f t="shared" si="14"/>
        <v>0</v>
      </c>
      <c r="H110" s="14">
        <f t="shared" si="14"/>
        <v>11737</v>
      </c>
      <c r="I110" s="14">
        <f t="shared" si="14"/>
        <v>6541.0300999999999</v>
      </c>
      <c r="J110" s="14">
        <f t="shared" si="14"/>
        <v>0</v>
      </c>
      <c r="K110" s="14">
        <f t="shared" si="14"/>
        <v>18278.0301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f>3116159</f>
        <v>3116159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f>0.5573</f>
        <v>0.55730000000000002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376922661</v>
      </c>
    </row>
    <row r="120" spans="1:6" ht="18" customHeight="1">
      <c r="B120" s="2" t="s">
        <v>137</v>
      </c>
      <c r="F120" s="12">
        <f>9475768+3343969-658336</f>
        <v>12161401</v>
      </c>
    </row>
    <row r="121" spans="1:6" ht="18" customHeight="1">
      <c r="A121" s="6"/>
      <c r="B121" s="5" t="s">
        <v>138</v>
      </c>
      <c r="F121" s="12">
        <f>+F120+F119</f>
        <v>389084062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370628005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18456057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-1831394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16624663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5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5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5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5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5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5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6">SUM(F133:F138)</f>
        <v>0</v>
      </c>
      <c r="G140" s="19">
        <f t="shared" si="16"/>
        <v>0</v>
      </c>
      <c r="H140" s="14">
        <f t="shared" si="16"/>
        <v>0</v>
      </c>
      <c r="I140" s="14">
        <f t="shared" si="16"/>
        <v>0</v>
      </c>
      <c r="J140" s="14">
        <f t="shared" si="16"/>
        <v>0</v>
      </c>
      <c r="K140" s="14">
        <f t="shared" si="16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7">F34</f>
        <v>1694.8</v>
      </c>
      <c r="G144" s="54">
        <f t="shared" si="17"/>
        <v>21930</v>
      </c>
      <c r="H144" s="54">
        <f t="shared" si="17"/>
        <v>86832.68</v>
      </c>
      <c r="I144" s="54">
        <f t="shared" si="17"/>
        <v>48391.852564000001</v>
      </c>
      <c r="J144" s="54">
        <f t="shared" si="17"/>
        <v>8365</v>
      </c>
      <c r="K144" s="54">
        <f t="shared" si="17"/>
        <v>126859.53256400001</v>
      </c>
    </row>
    <row r="145" spans="1:11" ht="18" customHeight="1">
      <c r="A145" s="6" t="s">
        <v>162</v>
      </c>
      <c r="B145" s="5" t="s">
        <v>163</v>
      </c>
      <c r="F145" s="54">
        <f t="shared" ref="F145:K145" si="18">F48</f>
        <v>189398</v>
      </c>
      <c r="G145" s="54">
        <f t="shared" si="18"/>
        <v>0</v>
      </c>
      <c r="H145" s="54">
        <f t="shared" si="18"/>
        <v>5659122</v>
      </c>
      <c r="I145" s="54">
        <f t="shared" si="18"/>
        <v>3151599.4906000001</v>
      </c>
      <c r="J145" s="54">
        <f t="shared" si="18"/>
        <v>54092</v>
      </c>
      <c r="K145" s="54">
        <f t="shared" si="18"/>
        <v>8756629.4905999992</v>
      </c>
    </row>
    <row r="146" spans="1:11" ht="18" customHeight="1">
      <c r="A146" s="6" t="s">
        <v>164</v>
      </c>
      <c r="B146" s="5" t="s">
        <v>165</v>
      </c>
      <c r="F146" s="54">
        <f t="shared" ref="F146:K146" si="19">F63</f>
        <v>6386</v>
      </c>
      <c r="G146" s="54">
        <f t="shared" si="19"/>
        <v>5568</v>
      </c>
      <c r="H146" s="54">
        <f t="shared" si="19"/>
        <v>3248640</v>
      </c>
      <c r="I146" s="54">
        <f t="shared" si="19"/>
        <v>106527.3377</v>
      </c>
      <c r="J146" s="54">
        <f t="shared" si="19"/>
        <v>700469</v>
      </c>
      <c r="K146" s="54">
        <f t="shared" si="19"/>
        <v>2654698.3377</v>
      </c>
    </row>
    <row r="147" spans="1:11" ht="18" customHeight="1">
      <c r="A147" s="6" t="s">
        <v>166</v>
      </c>
      <c r="B147" s="5" t="s">
        <v>167</v>
      </c>
      <c r="F147" s="54">
        <f t="shared" ref="F147:K147" si="20">F74</f>
        <v>0</v>
      </c>
      <c r="G147" s="54">
        <f t="shared" si="20"/>
        <v>0</v>
      </c>
      <c r="H147" s="54">
        <f t="shared" si="20"/>
        <v>0</v>
      </c>
      <c r="I147" s="54">
        <f t="shared" si="20"/>
        <v>0</v>
      </c>
      <c r="J147" s="54">
        <f t="shared" si="20"/>
        <v>0</v>
      </c>
      <c r="K147" s="54">
        <f t="shared" si="20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1">F82</f>
        <v>167.5</v>
      </c>
      <c r="G148" s="54">
        <f t="shared" si="21"/>
        <v>1213</v>
      </c>
      <c r="H148" s="54">
        <f t="shared" si="21"/>
        <v>103797.13</v>
      </c>
      <c r="I148" s="54">
        <f t="shared" si="21"/>
        <v>0</v>
      </c>
      <c r="J148" s="54">
        <f t="shared" si="21"/>
        <v>0</v>
      </c>
      <c r="K148" s="54">
        <f t="shared" si="21"/>
        <v>103797.13</v>
      </c>
    </row>
    <row r="149" spans="1:11" ht="18" customHeight="1">
      <c r="A149" s="6" t="s">
        <v>170</v>
      </c>
      <c r="B149" s="5" t="s">
        <v>171</v>
      </c>
      <c r="F149" s="54">
        <f t="shared" ref="F149:K149" si="22">F99</f>
        <v>3</v>
      </c>
      <c r="G149" s="54">
        <f t="shared" si="22"/>
        <v>50</v>
      </c>
      <c r="H149" s="54">
        <f t="shared" si="22"/>
        <v>152582.28</v>
      </c>
      <c r="I149" s="54">
        <f t="shared" si="22"/>
        <v>0</v>
      </c>
      <c r="J149" s="54">
        <f t="shared" si="22"/>
        <v>0</v>
      </c>
      <c r="K149" s="54">
        <f t="shared" si="22"/>
        <v>152582.28</v>
      </c>
    </row>
    <row r="150" spans="1:11" ht="18" customHeight="1">
      <c r="A150" s="6" t="s">
        <v>172</v>
      </c>
      <c r="B150" s="5" t="s">
        <v>173</v>
      </c>
      <c r="F150" s="19">
        <f t="shared" ref="F150:K150" si="23">F110</f>
        <v>0</v>
      </c>
      <c r="G150" s="19">
        <f t="shared" si="23"/>
        <v>0</v>
      </c>
      <c r="H150" s="19">
        <f t="shared" si="23"/>
        <v>11737</v>
      </c>
      <c r="I150" s="19">
        <f t="shared" si="23"/>
        <v>6541.0300999999999</v>
      </c>
      <c r="J150" s="19">
        <f t="shared" si="23"/>
        <v>0</v>
      </c>
      <c r="K150" s="19">
        <f t="shared" si="23"/>
        <v>18278.0301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3116159</v>
      </c>
    </row>
    <row r="152" spans="1:11" ht="18" customHeight="1">
      <c r="A152" s="6" t="s">
        <v>147</v>
      </c>
      <c r="B152" s="5" t="s">
        <v>177</v>
      </c>
      <c r="F152" s="19">
        <f t="shared" ref="F152:K152" si="24">F140</f>
        <v>0</v>
      </c>
      <c r="G152" s="19">
        <f t="shared" si="24"/>
        <v>0</v>
      </c>
      <c r="H152" s="19">
        <f t="shared" si="24"/>
        <v>0</v>
      </c>
      <c r="I152" s="19">
        <f t="shared" si="24"/>
        <v>0</v>
      </c>
      <c r="J152" s="19">
        <f t="shared" si="24"/>
        <v>0</v>
      </c>
      <c r="K152" s="19">
        <f t="shared" si="24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5">SUM(F144:F152)</f>
        <v>197649.3</v>
      </c>
      <c r="G154" s="60">
        <f t="shared" si="25"/>
        <v>28761</v>
      </c>
      <c r="H154" s="60">
        <f t="shared" si="25"/>
        <v>9262711.0899999999</v>
      </c>
      <c r="I154" s="60">
        <f t="shared" si="25"/>
        <v>3313059.7109640003</v>
      </c>
      <c r="J154" s="60">
        <f t="shared" si="25"/>
        <v>762926</v>
      </c>
      <c r="K154" s="61">
        <f t="shared" si="25"/>
        <v>14929003.800963998</v>
      </c>
    </row>
    <row r="156" spans="1:11" ht="18" customHeight="1">
      <c r="B156" s="5" t="s">
        <v>178</v>
      </c>
      <c r="F156" s="62">
        <f>K154/F123</f>
        <v>4.0280290748574164E-2</v>
      </c>
    </row>
    <row r="157" spans="1:11" ht="18" customHeight="1">
      <c r="B157" s="5" t="s">
        <v>179</v>
      </c>
      <c r="F157" s="62">
        <f>K154/F129</f>
        <v>0.89800339417189978</v>
      </c>
      <c r="G157" s="5"/>
    </row>
    <row r="158" spans="1:11" ht="18" customHeight="1">
      <c r="G158" s="5"/>
    </row>
  </sheetData>
  <sheetProtection password="EF72" sheet="1"/>
  <mergeCells count="32">
    <mergeCell ref="B51:C51"/>
    <mergeCell ref="B53:D53"/>
    <mergeCell ref="B138:D138"/>
    <mergeCell ref="B136:D136"/>
    <mergeCell ref="B106:D106"/>
    <mergeCell ref="B107:D107"/>
    <mergeCell ref="B108:D108"/>
    <mergeCell ref="B104:C104"/>
    <mergeCell ref="B137:D137"/>
    <mergeCell ref="B90:C90"/>
    <mergeCell ref="B54:D54"/>
    <mergeCell ref="B55:D55"/>
    <mergeCell ref="B61:D61"/>
    <mergeCell ref="B97:D97"/>
    <mergeCell ref="B57:D57"/>
    <mergeCell ref="B96:D96"/>
    <mergeCell ref="C9:G9"/>
    <mergeCell ref="C10:G10"/>
    <mergeCell ref="B95:D95"/>
    <mergeCell ref="D2:H2"/>
    <mergeCell ref="B44:D44"/>
    <mergeCell ref="B32:D32"/>
    <mergeCell ref="C11:G11"/>
    <mergeCell ref="B39:C39"/>
    <mergeCell ref="B13:H13"/>
    <mergeCell ref="C5:G5"/>
    <mergeCell ref="C6:G6"/>
    <mergeCell ref="C7:G7"/>
    <mergeCell ref="B29:D29"/>
    <mergeCell ref="B28:D28"/>
    <mergeCell ref="B45:D45"/>
    <mergeCell ref="B46:D46"/>
  </mergeCells>
  <hyperlinks>
    <hyperlink ref="C11" r:id="rId1"/>
  </hyperlinks>
  <printOptions headings="1" gridLines="1"/>
  <pageMargins left="0.17" right="0.16" top="0.35" bottom="0.32" header="0.17" footer="0.17"/>
  <pageSetup scale="62" fitToHeight="3" orientation="landscape" r:id="rId2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443</v>
      </c>
      <c r="D5" s="363"/>
      <c r="E5" s="363"/>
      <c r="F5" s="363"/>
      <c r="G5" s="364"/>
    </row>
    <row r="6" spans="1:11" ht="18" customHeight="1">
      <c r="B6" s="6" t="s">
        <v>4</v>
      </c>
      <c r="C6" s="365">
        <v>210052</v>
      </c>
      <c r="D6" s="366"/>
      <c r="E6" s="366"/>
      <c r="F6" s="366"/>
      <c r="G6" s="367"/>
    </row>
    <row r="7" spans="1:11" ht="18" customHeight="1">
      <c r="B7" s="6" t="s">
        <v>5</v>
      </c>
      <c r="C7" s="368">
        <v>2411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440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439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438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4245.5</v>
      </c>
      <c r="G18" s="11">
        <v>88243</v>
      </c>
      <c r="H18" s="12">
        <v>368231</v>
      </c>
      <c r="I18" s="13">
        <v>155427</v>
      </c>
      <c r="J18" s="12">
        <v>119777</v>
      </c>
      <c r="K18" s="14">
        <f t="shared" ref="K18:K32" si="0">(H18+I18)-J18</f>
        <v>403881</v>
      </c>
    </row>
    <row r="19" spans="1:11" ht="18" customHeight="1">
      <c r="A19" s="6"/>
      <c r="B19" s="2" t="s">
        <v>23</v>
      </c>
      <c r="F19" s="11">
        <v>0</v>
      </c>
      <c r="G19" s="11">
        <v>0</v>
      </c>
      <c r="H19" s="12">
        <v>0</v>
      </c>
      <c r="I19" s="13">
        <v>0</v>
      </c>
      <c r="J19" s="12">
        <v>0</v>
      </c>
      <c r="K19" s="14">
        <f t="shared" si="0"/>
        <v>0</v>
      </c>
    </row>
    <row r="20" spans="1:11" ht="18" customHeight="1">
      <c r="A20" s="6"/>
      <c r="B20" s="2" t="s">
        <v>24</v>
      </c>
      <c r="F20" s="11">
        <v>0</v>
      </c>
      <c r="G20" s="11">
        <v>0</v>
      </c>
      <c r="H20" s="12">
        <v>0</v>
      </c>
      <c r="I20" s="13">
        <v>0</v>
      </c>
      <c r="J20" s="12">
        <v>0</v>
      </c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1974.5</v>
      </c>
      <c r="G21" s="11">
        <v>9274</v>
      </c>
      <c r="H21" s="12">
        <v>69158</v>
      </c>
      <c r="I21" s="13">
        <v>38024</v>
      </c>
      <c r="J21" s="12">
        <v>36266</v>
      </c>
      <c r="K21" s="14">
        <f t="shared" si="0"/>
        <v>70916</v>
      </c>
    </row>
    <row r="22" spans="1:11" ht="18" customHeight="1">
      <c r="A22" s="6"/>
      <c r="B22" s="2" t="s">
        <v>27</v>
      </c>
      <c r="F22" s="11">
        <v>0</v>
      </c>
      <c r="G22" s="11">
        <v>0</v>
      </c>
      <c r="H22" s="12">
        <v>0</v>
      </c>
      <c r="I22" s="13">
        <v>0</v>
      </c>
      <c r="J22" s="12">
        <v>0</v>
      </c>
      <c r="K22" s="14">
        <f t="shared" si="0"/>
        <v>0</v>
      </c>
    </row>
    <row r="23" spans="1:11" ht="18" customHeight="1">
      <c r="A23" s="6"/>
      <c r="B23" s="2" t="s">
        <v>28</v>
      </c>
      <c r="F23" s="11">
        <v>0</v>
      </c>
      <c r="G23" s="11">
        <v>0</v>
      </c>
      <c r="H23" s="12">
        <v>0</v>
      </c>
      <c r="I23" s="13">
        <v>0</v>
      </c>
      <c r="J23" s="12">
        <v>0</v>
      </c>
      <c r="K23" s="14">
        <f t="shared" si="0"/>
        <v>0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v>0</v>
      </c>
      <c r="J24" s="12">
        <v>0</v>
      </c>
      <c r="K24" s="14">
        <f t="shared" si="0"/>
        <v>0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2">
        <v>0</v>
      </c>
      <c r="I25" s="13">
        <v>0</v>
      </c>
      <c r="J25" s="12">
        <v>0</v>
      </c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2208</v>
      </c>
      <c r="G26" s="11">
        <v>0</v>
      </c>
      <c r="H26" s="12">
        <v>336307</v>
      </c>
      <c r="I26" s="13">
        <v>184969</v>
      </c>
      <c r="J26" s="12">
        <v>0</v>
      </c>
      <c r="K26" s="14">
        <f t="shared" si="0"/>
        <v>521276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2">
        <v>0</v>
      </c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 t="s">
        <v>444</v>
      </c>
      <c r="C28" s="379"/>
      <c r="D28" s="380"/>
      <c r="F28" s="11">
        <v>9381</v>
      </c>
      <c r="G28" s="11">
        <v>14500</v>
      </c>
      <c r="H28" s="12">
        <v>237914</v>
      </c>
      <c r="I28" s="13">
        <v>130853</v>
      </c>
      <c r="J28" s="12">
        <v>0</v>
      </c>
      <c r="K28" s="14">
        <f t="shared" si="0"/>
        <v>368767</v>
      </c>
    </row>
    <row r="29" spans="1:11" ht="18" customHeight="1">
      <c r="A29" s="6" t="s">
        <v>37</v>
      </c>
      <c r="B29" s="378"/>
      <c r="C29" s="379"/>
      <c r="D29" s="380"/>
      <c r="F29" s="11">
        <v>0</v>
      </c>
      <c r="G29" s="11">
        <v>0</v>
      </c>
      <c r="H29" s="12">
        <v>0</v>
      </c>
      <c r="I29" s="13">
        <v>0</v>
      </c>
      <c r="J29" s="12">
        <v>0</v>
      </c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>
        <v>0</v>
      </c>
      <c r="G30" s="11">
        <v>0</v>
      </c>
      <c r="H30" s="12">
        <v>0</v>
      </c>
      <c r="I30" s="13">
        <v>0</v>
      </c>
      <c r="J30" s="12">
        <v>0</v>
      </c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>
        <v>0</v>
      </c>
      <c r="G31" s="11">
        <v>0</v>
      </c>
      <c r="H31" s="12">
        <v>0</v>
      </c>
      <c r="I31" s="13">
        <v>0</v>
      </c>
      <c r="J31" s="12">
        <v>0</v>
      </c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>
        <v>0</v>
      </c>
      <c r="G32" s="11">
        <v>0</v>
      </c>
      <c r="H32" s="12">
        <v>0</v>
      </c>
      <c r="I32" s="13">
        <v>0</v>
      </c>
      <c r="J32" s="12">
        <v>0</v>
      </c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17809</v>
      </c>
      <c r="G34" s="19">
        <f t="shared" si="1"/>
        <v>112017</v>
      </c>
      <c r="H34" s="14">
        <f t="shared" si="1"/>
        <v>1011610</v>
      </c>
      <c r="I34" s="14">
        <f t="shared" si="1"/>
        <v>509273</v>
      </c>
      <c r="J34" s="14">
        <f t="shared" si="1"/>
        <v>156043</v>
      </c>
      <c r="K34" s="14">
        <f t="shared" si="1"/>
        <v>1364840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0</v>
      </c>
      <c r="G38" s="11">
        <v>0</v>
      </c>
      <c r="H38" s="12">
        <v>4813773</v>
      </c>
      <c r="I38" s="13">
        <v>2647575</v>
      </c>
      <c r="J38" s="12">
        <v>0</v>
      </c>
      <c r="K38" s="14">
        <f t="shared" ref="K38:K46" si="2">(H38+I38)-J38</f>
        <v>7461348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0</v>
      </c>
      <c r="I39" s="13">
        <v>0</v>
      </c>
      <c r="J39" s="12">
        <v>0</v>
      </c>
      <c r="K39" s="14">
        <f t="shared" si="2"/>
        <v>0</v>
      </c>
    </row>
    <row r="40" spans="1:11" ht="18" customHeight="1">
      <c r="A40" s="6" t="s">
        <v>48</v>
      </c>
      <c r="B40" s="63" t="s">
        <v>49</v>
      </c>
      <c r="F40" s="11">
        <v>1620</v>
      </c>
      <c r="G40" s="11">
        <v>369</v>
      </c>
      <c r="H40" s="12">
        <v>196800</v>
      </c>
      <c r="I40" s="13">
        <v>108241</v>
      </c>
      <c r="J40" s="12">
        <v>0</v>
      </c>
      <c r="K40" s="14">
        <f t="shared" si="2"/>
        <v>305041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0</v>
      </c>
      <c r="G41" s="11">
        <v>0</v>
      </c>
      <c r="H41" s="12">
        <v>0</v>
      </c>
      <c r="I41" s="13">
        <v>0</v>
      </c>
      <c r="J41" s="12">
        <v>0</v>
      </c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40</v>
      </c>
      <c r="G42" s="11">
        <v>10</v>
      </c>
      <c r="H42" s="12">
        <v>1562</v>
      </c>
      <c r="I42" s="13">
        <v>859</v>
      </c>
      <c r="J42" s="12">
        <v>0</v>
      </c>
      <c r="K42" s="14">
        <f t="shared" si="2"/>
        <v>2421</v>
      </c>
    </row>
    <row r="43" spans="1:11" ht="18" customHeight="1">
      <c r="A43" s="6" t="s">
        <v>54</v>
      </c>
      <c r="B43" s="63" t="s">
        <v>34</v>
      </c>
      <c r="F43" s="11">
        <v>0</v>
      </c>
      <c r="G43" s="11">
        <v>0</v>
      </c>
      <c r="H43" s="12">
        <v>0</v>
      </c>
      <c r="I43" s="13">
        <v>0</v>
      </c>
      <c r="J43" s="12">
        <v>0</v>
      </c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>
        <v>0</v>
      </c>
      <c r="G44" s="11">
        <v>0</v>
      </c>
      <c r="H44" s="12">
        <v>0</v>
      </c>
      <c r="I44" s="13">
        <v>0</v>
      </c>
      <c r="J44" s="12">
        <v>0</v>
      </c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>
        <v>0</v>
      </c>
      <c r="G45" s="11">
        <v>0</v>
      </c>
      <c r="H45" s="12">
        <v>0</v>
      </c>
      <c r="I45" s="13">
        <v>0</v>
      </c>
      <c r="J45" s="12">
        <v>0</v>
      </c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>
        <v>0</v>
      </c>
      <c r="G46" s="11">
        <v>0</v>
      </c>
      <c r="H46" s="12">
        <v>0</v>
      </c>
      <c r="I46" s="13">
        <v>0</v>
      </c>
      <c r="J46" s="12">
        <v>0</v>
      </c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1660</v>
      </c>
      <c r="G48" s="25">
        <f t="shared" si="3"/>
        <v>379</v>
      </c>
      <c r="H48" s="14">
        <f t="shared" si="3"/>
        <v>5012135</v>
      </c>
      <c r="I48" s="14">
        <f t="shared" si="3"/>
        <v>2756675</v>
      </c>
      <c r="J48" s="14">
        <f t="shared" si="3"/>
        <v>0</v>
      </c>
      <c r="K48" s="14">
        <f t="shared" si="3"/>
        <v>7768810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445</v>
      </c>
      <c r="C52" s="385"/>
      <c r="D52" s="359"/>
      <c r="F52" s="11">
        <v>0</v>
      </c>
      <c r="G52" s="11">
        <v>149</v>
      </c>
      <c r="H52" s="12">
        <v>920886</v>
      </c>
      <c r="I52" s="13">
        <v>0</v>
      </c>
      <c r="J52" s="12">
        <v>511782</v>
      </c>
      <c r="K52" s="14">
        <f t="shared" ref="K52:K61" si="4">(H52+I52)-J52</f>
        <v>409104</v>
      </c>
    </row>
    <row r="53" spans="1:11" ht="18" customHeight="1">
      <c r="A53" s="6" t="s">
        <v>63</v>
      </c>
      <c r="B53" s="27" t="s">
        <v>434</v>
      </c>
      <c r="C53" s="28"/>
      <c r="D53" s="29"/>
      <c r="F53" s="11">
        <v>28193</v>
      </c>
      <c r="G53" s="11">
        <v>5846</v>
      </c>
      <c r="H53" s="12">
        <v>2964681.2512250002</v>
      </c>
      <c r="I53" s="13">
        <v>0</v>
      </c>
      <c r="J53" s="12">
        <v>2030130.3999999997</v>
      </c>
      <c r="K53" s="14">
        <f t="shared" si="4"/>
        <v>934550.85122500057</v>
      </c>
    </row>
    <row r="54" spans="1:11" ht="18" customHeight="1">
      <c r="A54" s="6" t="s">
        <v>65</v>
      </c>
      <c r="B54" s="381" t="s">
        <v>446</v>
      </c>
      <c r="C54" s="358"/>
      <c r="D54" s="359"/>
      <c r="F54" s="11">
        <v>0</v>
      </c>
      <c r="G54" s="11">
        <v>0</v>
      </c>
      <c r="H54" s="12">
        <v>40000</v>
      </c>
      <c r="I54" s="13">
        <v>0</v>
      </c>
      <c r="J54" s="12">
        <v>0</v>
      </c>
      <c r="K54" s="14">
        <f t="shared" si="4"/>
        <v>40000</v>
      </c>
    </row>
    <row r="55" spans="1:11" ht="18" customHeight="1">
      <c r="A55" s="6" t="s">
        <v>67</v>
      </c>
      <c r="B55" s="381" t="s">
        <v>447</v>
      </c>
      <c r="C55" s="358"/>
      <c r="D55" s="359"/>
      <c r="F55" s="11">
        <v>0</v>
      </c>
      <c r="G55" s="11">
        <v>0</v>
      </c>
      <c r="H55" s="12">
        <v>141261</v>
      </c>
      <c r="I55" s="13">
        <v>0</v>
      </c>
      <c r="J55" s="12">
        <v>0</v>
      </c>
      <c r="K55" s="14">
        <f t="shared" si="4"/>
        <v>141261</v>
      </c>
    </row>
    <row r="56" spans="1:11" ht="18" customHeight="1">
      <c r="A56" s="6" t="s">
        <v>69</v>
      </c>
      <c r="B56" s="381" t="s">
        <v>448</v>
      </c>
      <c r="C56" s="358"/>
      <c r="D56" s="359"/>
      <c r="F56" s="11">
        <v>0</v>
      </c>
      <c r="G56" s="11">
        <v>0</v>
      </c>
      <c r="H56" s="12">
        <v>112058</v>
      </c>
      <c r="I56" s="13">
        <v>0</v>
      </c>
      <c r="J56" s="12">
        <v>0</v>
      </c>
      <c r="K56" s="14">
        <f t="shared" si="4"/>
        <v>112058</v>
      </c>
    </row>
    <row r="57" spans="1:11" ht="18" customHeight="1">
      <c r="A57" s="6" t="s">
        <v>71</v>
      </c>
      <c r="B57" s="27" t="s">
        <v>449</v>
      </c>
      <c r="C57" s="28"/>
      <c r="D57" s="29"/>
      <c r="F57" s="11">
        <v>0</v>
      </c>
      <c r="G57" s="11">
        <v>0</v>
      </c>
      <c r="H57" s="12">
        <v>25000</v>
      </c>
      <c r="I57" s="13">
        <v>0</v>
      </c>
      <c r="J57" s="12">
        <v>0</v>
      </c>
      <c r="K57" s="14">
        <f t="shared" si="4"/>
        <v>25000</v>
      </c>
    </row>
    <row r="58" spans="1:11" ht="18" customHeight="1">
      <c r="A58" s="6" t="s">
        <v>73</v>
      </c>
      <c r="B58" s="381" t="s">
        <v>450</v>
      </c>
      <c r="C58" s="358"/>
      <c r="D58" s="359"/>
      <c r="F58" s="11">
        <v>0</v>
      </c>
      <c r="G58" s="11">
        <v>0</v>
      </c>
      <c r="H58" s="12">
        <v>75600</v>
      </c>
      <c r="I58" s="13">
        <v>0</v>
      </c>
      <c r="J58" s="12">
        <v>0</v>
      </c>
      <c r="K58" s="14">
        <f t="shared" si="4"/>
        <v>75600</v>
      </c>
    </row>
    <row r="59" spans="1:11" ht="18" customHeight="1">
      <c r="A59" s="6" t="s">
        <v>75</v>
      </c>
      <c r="B59" s="27" t="s">
        <v>451</v>
      </c>
      <c r="C59" s="28"/>
      <c r="D59" s="29"/>
      <c r="F59" s="11">
        <v>0</v>
      </c>
      <c r="G59" s="11">
        <v>0</v>
      </c>
      <c r="H59" s="12">
        <v>14730300</v>
      </c>
      <c r="I59" s="13">
        <v>2765120.870000001</v>
      </c>
      <c r="J59" s="12">
        <v>14986868</v>
      </c>
      <c r="K59" s="14">
        <f t="shared" si="4"/>
        <v>2508552.870000001</v>
      </c>
    </row>
    <row r="60" spans="1:11" ht="18" customHeight="1">
      <c r="A60" s="6" t="s">
        <v>76</v>
      </c>
      <c r="B60" s="27" t="s">
        <v>452</v>
      </c>
      <c r="C60" s="28"/>
      <c r="D60" s="29"/>
      <c r="F60" s="11">
        <v>0</v>
      </c>
      <c r="G60" s="11">
        <v>164</v>
      </c>
      <c r="H60" s="12">
        <v>119868</v>
      </c>
      <c r="I60" s="13">
        <v>0</v>
      </c>
      <c r="J60" s="12">
        <v>0</v>
      </c>
      <c r="K60" s="14">
        <f t="shared" si="4"/>
        <v>119868</v>
      </c>
    </row>
    <row r="61" spans="1:11" ht="18" customHeight="1">
      <c r="A61" s="6" t="s">
        <v>77</v>
      </c>
      <c r="B61" s="381" t="s">
        <v>453</v>
      </c>
      <c r="C61" s="358"/>
      <c r="D61" s="359"/>
      <c r="F61" s="11">
        <v>0</v>
      </c>
      <c r="G61" s="11">
        <v>10700</v>
      </c>
      <c r="H61" s="12">
        <v>326737.2699999999</v>
      </c>
      <c r="I61" s="13">
        <v>0</v>
      </c>
      <c r="J61" s="12">
        <v>300107.20999999996</v>
      </c>
      <c r="K61" s="14">
        <f t="shared" si="4"/>
        <v>26630.059999999939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28193</v>
      </c>
      <c r="G63" s="19">
        <f t="shared" si="5"/>
        <v>16859</v>
      </c>
      <c r="H63" s="14">
        <f t="shared" si="5"/>
        <v>19456391.521225002</v>
      </c>
      <c r="I63" s="14">
        <f t="shared" si="5"/>
        <v>2765120.870000001</v>
      </c>
      <c r="J63" s="14">
        <f t="shared" si="5"/>
        <v>17828887.609999999</v>
      </c>
      <c r="K63" s="14">
        <f t="shared" si="5"/>
        <v>4392624.7812250014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37</v>
      </c>
      <c r="G67" s="34">
        <v>2</v>
      </c>
      <c r="H67" s="34">
        <v>1226</v>
      </c>
      <c r="I67" s="13">
        <v>0</v>
      </c>
      <c r="J67" s="12">
        <v>0</v>
      </c>
      <c r="K67" s="14">
        <f t="shared" ref="K67:K72" si="6">(H67+I67)-J67</f>
        <v>1226</v>
      </c>
    </row>
    <row r="68" spans="1:11" ht="18" customHeight="1">
      <c r="A68" s="6" t="s">
        <v>82</v>
      </c>
      <c r="B68" s="63" t="s">
        <v>83</v>
      </c>
      <c r="F68" s="34">
        <v>0</v>
      </c>
      <c r="G68" s="34">
        <v>0</v>
      </c>
      <c r="H68" s="34">
        <v>0</v>
      </c>
      <c r="I68" s="13">
        <v>0</v>
      </c>
      <c r="J68" s="12">
        <v>0</v>
      </c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>
        <v>0</v>
      </c>
      <c r="G69" s="11">
        <v>0</v>
      </c>
      <c r="H69" s="12">
        <v>0</v>
      </c>
      <c r="I69" s="13">
        <v>0</v>
      </c>
      <c r="J69" s="12">
        <v>0</v>
      </c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>
        <v>0</v>
      </c>
      <c r="G70" s="35">
        <v>0</v>
      </c>
      <c r="H70" s="36">
        <v>0</v>
      </c>
      <c r="I70" s="13">
        <v>0</v>
      </c>
      <c r="J70" s="36">
        <v>0</v>
      </c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>
        <v>0</v>
      </c>
      <c r="G71" s="35">
        <v>0</v>
      </c>
      <c r="H71" s="36">
        <v>0</v>
      </c>
      <c r="I71" s="13">
        <v>0</v>
      </c>
      <c r="J71" s="36">
        <v>0</v>
      </c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>
        <v>0</v>
      </c>
      <c r="G72" s="11">
        <v>0</v>
      </c>
      <c r="H72" s="12">
        <v>0</v>
      </c>
      <c r="I72" s="13">
        <v>0</v>
      </c>
      <c r="J72" s="12">
        <v>0</v>
      </c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37</v>
      </c>
      <c r="G74" s="43">
        <f t="shared" si="7"/>
        <v>2</v>
      </c>
      <c r="H74" s="43">
        <f t="shared" si="7"/>
        <v>1226</v>
      </c>
      <c r="I74" s="43">
        <f t="shared" si="7"/>
        <v>0</v>
      </c>
      <c r="J74" s="43">
        <f t="shared" si="7"/>
        <v>0</v>
      </c>
      <c r="K74" s="43">
        <f t="shared" si="7"/>
        <v>1226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105856</v>
      </c>
      <c r="I77" s="13">
        <v>0</v>
      </c>
      <c r="J77" s="12">
        <v>0</v>
      </c>
      <c r="K77" s="14">
        <f>(H77+I77)-J77</f>
        <v>105856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0</v>
      </c>
      <c r="I78" s="13">
        <v>0</v>
      </c>
      <c r="J78" s="12">
        <v>0</v>
      </c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40</v>
      </c>
      <c r="G79" s="11">
        <v>130</v>
      </c>
      <c r="H79" s="12">
        <v>1099</v>
      </c>
      <c r="I79" s="13">
        <v>0</v>
      </c>
      <c r="J79" s="12">
        <v>0</v>
      </c>
      <c r="K79" s="14">
        <f>(H79+I79)-J79</f>
        <v>1099</v>
      </c>
    </row>
    <row r="80" spans="1:11" ht="18" customHeight="1">
      <c r="A80" s="6" t="s">
        <v>93</v>
      </c>
      <c r="B80" s="63" t="s">
        <v>97</v>
      </c>
      <c r="F80" s="11">
        <v>56</v>
      </c>
      <c r="G80" s="11">
        <v>30</v>
      </c>
      <c r="H80" s="12">
        <v>4564</v>
      </c>
      <c r="I80" s="13">
        <v>0</v>
      </c>
      <c r="J80" s="12">
        <v>0</v>
      </c>
      <c r="K80" s="14">
        <f>(H80+I80)-J80</f>
        <v>4564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96</v>
      </c>
      <c r="G82" s="44">
        <f t="shared" si="8"/>
        <v>160</v>
      </c>
      <c r="H82" s="45">
        <f t="shared" si="8"/>
        <v>111519</v>
      </c>
      <c r="I82" s="45">
        <f t="shared" si="8"/>
        <v>0</v>
      </c>
      <c r="J82" s="45">
        <f t="shared" si="8"/>
        <v>0</v>
      </c>
      <c r="K82" s="45">
        <f t="shared" si="8"/>
        <v>111519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0</v>
      </c>
      <c r="G86" s="11">
        <v>0</v>
      </c>
      <c r="H86" s="12">
        <v>0</v>
      </c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0</v>
      </c>
      <c r="I87" s="13">
        <v>0</v>
      </c>
      <c r="J87" s="12">
        <v>0</v>
      </c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>
        <v>340</v>
      </c>
      <c r="G88" s="11">
        <v>0</v>
      </c>
      <c r="H88" s="12">
        <v>12284</v>
      </c>
      <c r="I88" s="13">
        <v>6756</v>
      </c>
      <c r="J88" s="12">
        <v>0</v>
      </c>
      <c r="K88" s="14">
        <f t="shared" si="9"/>
        <v>19040</v>
      </c>
    </row>
    <row r="89" spans="1:11" ht="18" customHeight="1">
      <c r="A89" s="6" t="s">
        <v>106</v>
      </c>
      <c r="B89" s="63" t="s">
        <v>107</v>
      </c>
      <c r="F89" s="11">
        <v>0</v>
      </c>
      <c r="G89" s="11">
        <v>0</v>
      </c>
      <c r="H89" s="12">
        <v>57874</v>
      </c>
      <c r="I89" s="13">
        <v>31831</v>
      </c>
      <c r="J89" s="12">
        <v>0</v>
      </c>
      <c r="K89" s="14">
        <f t="shared" si="9"/>
        <v>89705</v>
      </c>
    </row>
    <row r="90" spans="1:11" ht="18" customHeight="1">
      <c r="A90" s="6" t="s">
        <v>108</v>
      </c>
      <c r="B90" s="386" t="s">
        <v>109</v>
      </c>
      <c r="C90" s="356"/>
      <c r="F90" s="11">
        <v>0</v>
      </c>
      <c r="G90" s="11">
        <v>0</v>
      </c>
      <c r="H90" s="12">
        <v>0</v>
      </c>
      <c r="I90" s="13">
        <v>0</v>
      </c>
      <c r="J90" s="12">
        <v>0</v>
      </c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0</v>
      </c>
      <c r="G91" s="11">
        <v>0</v>
      </c>
      <c r="H91" s="12">
        <v>0</v>
      </c>
      <c r="I91" s="13">
        <v>0</v>
      </c>
      <c r="J91" s="12">
        <v>0</v>
      </c>
      <c r="K91" s="14">
        <f t="shared" si="9"/>
        <v>0</v>
      </c>
    </row>
    <row r="92" spans="1:11" ht="18" customHeight="1">
      <c r="A92" s="6" t="s">
        <v>112</v>
      </c>
      <c r="B92" s="63" t="s">
        <v>113</v>
      </c>
      <c r="F92" s="46">
        <v>0</v>
      </c>
      <c r="G92" s="46">
        <v>0</v>
      </c>
      <c r="H92" s="47">
        <v>24105</v>
      </c>
      <c r="I92" s="13">
        <v>13258</v>
      </c>
      <c r="J92" s="47">
        <v>0</v>
      </c>
      <c r="K92" s="14">
        <f t="shared" si="9"/>
        <v>37363</v>
      </c>
    </row>
    <row r="93" spans="1:11" ht="18" customHeight="1">
      <c r="A93" s="6" t="s">
        <v>114</v>
      </c>
      <c r="B93" s="63" t="s">
        <v>115</v>
      </c>
      <c r="F93" s="11">
        <v>40</v>
      </c>
      <c r="G93" s="11">
        <v>7</v>
      </c>
      <c r="H93" s="12">
        <v>1474</v>
      </c>
      <c r="I93" s="13">
        <v>811</v>
      </c>
      <c r="J93" s="12">
        <v>0</v>
      </c>
      <c r="K93" s="14">
        <f t="shared" si="9"/>
        <v>2285</v>
      </c>
    </row>
    <row r="94" spans="1:11" ht="18" customHeight="1">
      <c r="A94" s="6" t="s">
        <v>116</v>
      </c>
      <c r="B94" s="63" t="s">
        <v>85</v>
      </c>
      <c r="F94" s="11">
        <v>0</v>
      </c>
      <c r="G94" s="11">
        <v>0</v>
      </c>
      <c r="H94" s="12">
        <v>0</v>
      </c>
      <c r="I94" s="13">
        <v>0</v>
      </c>
      <c r="J94" s="12">
        <v>0</v>
      </c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>
        <v>0</v>
      </c>
      <c r="G95" s="11">
        <v>0</v>
      </c>
      <c r="H95" s="12">
        <v>0</v>
      </c>
      <c r="I95" s="13">
        <v>0</v>
      </c>
      <c r="J95" s="12">
        <v>0</v>
      </c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>
        <v>0</v>
      </c>
      <c r="G96" s="11">
        <v>0</v>
      </c>
      <c r="H96" s="12">
        <v>0</v>
      </c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>
        <v>0</v>
      </c>
      <c r="G97" s="11">
        <v>0</v>
      </c>
      <c r="H97" s="12">
        <v>0</v>
      </c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380</v>
      </c>
      <c r="G99" s="19">
        <f t="shared" si="10"/>
        <v>7</v>
      </c>
      <c r="H99" s="19">
        <f t="shared" si="10"/>
        <v>95737</v>
      </c>
      <c r="I99" s="19">
        <f t="shared" si="10"/>
        <v>52656</v>
      </c>
      <c r="J99" s="19">
        <f t="shared" si="10"/>
        <v>0</v>
      </c>
      <c r="K99" s="19">
        <f t="shared" si="10"/>
        <v>148393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2507</v>
      </c>
      <c r="G103" s="11">
        <v>0</v>
      </c>
      <c r="H103" s="12">
        <v>95252</v>
      </c>
      <c r="I103" s="13">
        <v>52388</v>
      </c>
      <c r="J103" s="12">
        <v>0</v>
      </c>
      <c r="K103" s="14">
        <f t="shared" ref="K103:K108" si="11">(H103+I103)-J103</f>
        <v>147640</v>
      </c>
    </row>
    <row r="104" spans="1:11" ht="18" customHeight="1">
      <c r="A104" s="6" t="s">
        <v>121</v>
      </c>
      <c r="B104" s="386" t="s">
        <v>122</v>
      </c>
      <c r="C104" s="386"/>
      <c r="F104" s="11">
        <v>0</v>
      </c>
      <c r="G104" s="11">
        <v>0</v>
      </c>
      <c r="H104" s="12">
        <v>0</v>
      </c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>
        <v>0</v>
      </c>
      <c r="G105" s="11">
        <v>0</v>
      </c>
      <c r="H105" s="12">
        <v>0</v>
      </c>
      <c r="I105" s="13">
        <v>0</v>
      </c>
      <c r="J105" s="12">
        <v>0</v>
      </c>
      <c r="K105" s="14">
        <f t="shared" si="11"/>
        <v>0</v>
      </c>
    </row>
    <row r="106" spans="1:11" ht="18" customHeight="1">
      <c r="A106" s="6" t="s">
        <v>125</v>
      </c>
      <c r="B106" s="381" t="s">
        <v>454</v>
      </c>
      <c r="C106" s="358"/>
      <c r="D106" s="359"/>
      <c r="F106" s="11">
        <v>0</v>
      </c>
      <c r="G106" s="11">
        <v>0</v>
      </c>
      <c r="H106" s="12">
        <v>600</v>
      </c>
      <c r="I106" s="13">
        <v>330</v>
      </c>
      <c r="J106" s="12">
        <v>0</v>
      </c>
      <c r="K106" s="14">
        <f t="shared" si="11"/>
        <v>930</v>
      </c>
    </row>
    <row r="107" spans="1:11" ht="18" customHeight="1">
      <c r="A107" s="6" t="s">
        <v>126</v>
      </c>
      <c r="B107" s="381"/>
      <c r="C107" s="358"/>
      <c r="D107" s="359"/>
      <c r="F107" s="11">
        <v>0</v>
      </c>
      <c r="G107" s="11">
        <v>0</v>
      </c>
      <c r="H107" s="12">
        <v>0</v>
      </c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>
        <v>0</v>
      </c>
      <c r="G108" s="11">
        <v>0</v>
      </c>
      <c r="H108" s="12">
        <v>0</v>
      </c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2507</v>
      </c>
      <c r="G110" s="19">
        <f t="shared" si="12"/>
        <v>0</v>
      </c>
      <c r="H110" s="14">
        <f t="shared" si="12"/>
        <v>95852</v>
      </c>
      <c r="I110" s="14">
        <f t="shared" si="12"/>
        <v>52718</v>
      </c>
      <c r="J110" s="14">
        <f t="shared" si="12"/>
        <v>0</v>
      </c>
      <c r="K110" s="14">
        <f t="shared" si="12"/>
        <v>148570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4268699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0.54608313738693903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294087324.49000001</v>
      </c>
    </row>
    <row r="120" spans="1:6" ht="18" customHeight="1">
      <c r="B120" s="2" t="s">
        <v>137</v>
      </c>
      <c r="F120" s="12">
        <v>3600336</v>
      </c>
    </row>
    <row r="121" spans="1:6" ht="18" customHeight="1">
      <c r="A121" s="6"/>
      <c r="B121" s="5" t="s">
        <v>138</v>
      </c>
      <c r="F121" s="12">
        <f>+F120+F119</f>
        <v>297687660.49000001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289772684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7914976.4900000095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1381738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9296714.4900000095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17809</v>
      </c>
      <c r="G144" s="54">
        <f t="shared" si="15"/>
        <v>112017</v>
      </c>
      <c r="H144" s="54">
        <f t="shared" si="15"/>
        <v>1011610</v>
      </c>
      <c r="I144" s="54">
        <f t="shared" si="15"/>
        <v>509273</v>
      </c>
      <c r="J144" s="54">
        <f t="shared" si="15"/>
        <v>156043</v>
      </c>
      <c r="K144" s="54">
        <f t="shared" si="15"/>
        <v>1364840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1660</v>
      </c>
      <c r="G145" s="54">
        <f t="shared" si="16"/>
        <v>379</v>
      </c>
      <c r="H145" s="54">
        <f t="shared" si="16"/>
        <v>5012135</v>
      </c>
      <c r="I145" s="54">
        <f t="shared" si="16"/>
        <v>2756675</v>
      </c>
      <c r="J145" s="54">
        <f t="shared" si="16"/>
        <v>0</v>
      </c>
      <c r="K145" s="54">
        <f t="shared" si="16"/>
        <v>7768810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28193</v>
      </c>
      <c r="G146" s="54">
        <f t="shared" si="17"/>
        <v>16859</v>
      </c>
      <c r="H146" s="54">
        <f t="shared" si="17"/>
        <v>19456391.521225002</v>
      </c>
      <c r="I146" s="54">
        <f t="shared" si="17"/>
        <v>2765120.870000001</v>
      </c>
      <c r="J146" s="54">
        <f t="shared" si="17"/>
        <v>17828887.609999999</v>
      </c>
      <c r="K146" s="54">
        <f t="shared" si="17"/>
        <v>4392624.7812250014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37</v>
      </c>
      <c r="G147" s="54">
        <f t="shared" si="18"/>
        <v>2</v>
      </c>
      <c r="H147" s="54">
        <f t="shared" si="18"/>
        <v>1226</v>
      </c>
      <c r="I147" s="54">
        <f t="shared" si="18"/>
        <v>0</v>
      </c>
      <c r="J147" s="54">
        <f t="shared" si="18"/>
        <v>0</v>
      </c>
      <c r="K147" s="54">
        <f t="shared" si="18"/>
        <v>1226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96</v>
      </c>
      <c r="G148" s="54">
        <f t="shared" si="19"/>
        <v>160</v>
      </c>
      <c r="H148" s="54">
        <f t="shared" si="19"/>
        <v>111519</v>
      </c>
      <c r="I148" s="54">
        <f t="shared" si="19"/>
        <v>0</v>
      </c>
      <c r="J148" s="54">
        <f t="shared" si="19"/>
        <v>0</v>
      </c>
      <c r="K148" s="54">
        <f t="shared" si="19"/>
        <v>111519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380</v>
      </c>
      <c r="G149" s="54">
        <f t="shared" si="20"/>
        <v>7</v>
      </c>
      <c r="H149" s="54">
        <f t="shared" si="20"/>
        <v>95737</v>
      </c>
      <c r="I149" s="54">
        <f t="shared" si="20"/>
        <v>52656</v>
      </c>
      <c r="J149" s="54">
        <f t="shared" si="20"/>
        <v>0</v>
      </c>
      <c r="K149" s="54">
        <f t="shared" si="20"/>
        <v>148393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2507</v>
      </c>
      <c r="G150" s="19">
        <f t="shared" si="21"/>
        <v>0</v>
      </c>
      <c r="H150" s="19">
        <f t="shared" si="21"/>
        <v>95852</v>
      </c>
      <c r="I150" s="19">
        <f t="shared" si="21"/>
        <v>52718</v>
      </c>
      <c r="J150" s="19">
        <f t="shared" si="21"/>
        <v>0</v>
      </c>
      <c r="K150" s="19">
        <f t="shared" si="21"/>
        <v>148570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4268699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50682</v>
      </c>
      <c r="G154" s="60">
        <f t="shared" si="23"/>
        <v>129424</v>
      </c>
      <c r="H154" s="60">
        <f t="shared" si="23"/>
        <v>25784470.521225002</v>
      </c>
      <c r="I154" s="60">
        <f t="shared" si="23"/>
        <v>6136442.870000001</v>
      </c>
      <c r="J154" s="60">
        <f t="shared" si="23"/>
        <v>17984930.609999999</v>
      </c>
      <c r="K154" s="61">
        <f t="shared" si="23"/>
        <v>18204681.781225003</v>
      </c>
    </row>
    <row r="156" spans="1:11" ht="18" customHeight="1">
      <c r="B156" s="5" t="s">
        <v>178</v>
      </c>
      <c r="F156" s="219">
        <f>K154/F123</f>
        <v>6.2824009254181468E-2</v>
      </c>
    </row>
    <row r="157" spans="1:11" ht="18" customHeight="1">
      <c r="B157" s="5" t="s">
        <v>179</v>
      </c>
      <c r="F157" s="219">
        <f>K154/F129</f>
        <v>1.9581844533148598</v>
      </c>
      <c r="G157" s="5"/>
    </row>
    <row r="158" spans="1:11" ht="18" customHeight="1">
      <c r="G158" s="5"/>
    </row>
  </sheetData>
  <sheetProtection password="EF72" sheet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136:D136"/>
    <mergeCell ref="B138:D138"/>
    <mergeCell ref="B96:D96"/>
    <mergeCell ref="B97:D97"/>
    <mergeCell ref="B104:C104"/>
    <mergeCell ref="B106:D106"/>
    <mergeCell ref="B107:D107"/>
    <mergeCell ref="B108:D108"/>
    <mergeCell ref="B137:D137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455</v>
      </c>
      <c r="D5" s="363"/>
      <c r="E5" s="363"/>
      <c r="F5" s="363"/>
      <c r="G5" s="364"/>
    </row>
    <row r="6" spans="1:11" ht="18" customHeight="1">
      <c r="B6" s="6" t="s">
        <v>4</v>
      </c>
      <c r="C6" s="365">
        <v>210034</v>
      </c>
      <c r="D6" s="366"/>
      <c r="E6" s="366"/>
      <c r="F6" s="366"/>
      <c r="G6" s="367"/>
    </row>
    <row r="7" spans="1:11" ht="18" customHeight="1">
      <c r="B7" s="6" t="s">
        <v>5</v>
      </c>
      <c r="C7" s="368">
        <v>1495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440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439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438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1752</v>
      </c>
      <c r="G18" s="11">
        <v>495375</v>
      </c>
      <c r="H18" s="12">
        <v>327494</v>
      </c>
      <c r="I18" s="13">
        <v>204835</v>
      </c>
      <c r="J18" s="12">
        <v>0</v>
      </c>
      <c r="K18" s="14">
        <f t="shared" ref="K18:K32" si="0">(H18+I18)-J18</f>
        <v>532329</v>
      </c>
    </row>
    <row r="19" spans="1:11" ht="18" customHeight="1">
      <c r="A19" s="6"/>
      <c r="B19" s="2" t="s">
        <v>23</v>
      </c>
      <c r="F19" s="11">
        <v>0</v>
      </c>
      <c r="G19" s="11">
        <v>0</v>
      </c>
      <c r="H19" s="12">
        <v>0</v>
      </c>
      <c r="I19" s="13">
        <v>0</v>
      </c>
      <c r="J19" s="12">
        <v>0</v>
      </c>
      <c r="K19" s="14">
        <f t="shared" si="0"/>
        <v>0</v>
      </c>
    </row>
    <row r="20" spans="1:11" ht="18" customHeight="1">
      <c r="A20" s="6"/>
      <c r="B20" s="2" t="s">
        <v>24</v>
      </c>
      <c r="F20" s="11">
        <v>0</v>
      </c>
      <c r="G20" s="11">
        <v>0</v>
      </c>
      <c r="H20" s="12">
        <v>0</v>
      </c>
      <c r="I20" s="13">
        <v>0</v>
      </c>
      <c r="J20" s="12">
        <v>0</v>
      </c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6747</v>
      </c>
      <c r="G21" s="11">
        <v>2546</v>
      </c>
      <c r="H21" s="12">
        <v>423267</v>
      </c>
      <c r="I21" s="13">
        <v>266093</v>
      </c>
      <c r="J21" s="12">
        <v>0</v>
      </c>
      <c r="K21" s="14">
        <f t="shared" si="0"/>
        <v>689360</v>
      </c>
    </row>
    <row r="22" spans="1:11" ht="18" customHeight="1">
      <c r="A22" s="6"/>
      <c r="B22" s="2" t="s">
        <v>27</v>
      </c>
      <c r="F22" s="11">
        <v>0</v>
      </c>
      <c r="G22" s="11">
        <v>0</v>
      </c>
      <c r="H22" s="12">
        <v>0</v>
      </c>
      <c r="I22" s="13">
        <v>0</v>
      </c>
      <c r="J22" s="12">
        <v>0</v>
      </c>
      <c r="K22" s="14">
        <f t="shared" si="0"/>
        <v>0</v>
      </c>
    </row>
    <row r="23" spans="1:11" ht="18" customHeight="1">
      <c r="A23" s="6"/>
      <c r="B23" s="2" t="s">
        <v>28</v>
      </c>
      <c r="F23" s="11">
        <v>0</v>
      </c>
      <c r="G23" s="11">
        <v>0</v>
      </c>
      <c r="H23" s="12">
        <v>0</v>
      </c>
      <c r="I23" s="13">
        <v>0</v>
      </c>
      <c r="J23" s="12">
        <v>0</v>
      </c>
      <c r="K23" s="14">
        <f t="shared" si="0"/>
        <v>0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v>0</v>
      </c>
      <c r="J24" s="12">
        <v>0</v>
      </c>
      <c r="K24" s="14">
        <f t="shared" si="0"/>
        <v>0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2">
        <v>0</v>
      </c>
      <c r="I25" s="13">
        <v>0</v>
      </c>
      <c r="J25" s="12">
        <v>0</v>
      </c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0</v>
      </c>
      <c r="G26" s="11">
        <v>10</v>
      </c>
      <c r="H26" s="12">
        <v>290832</v>
      </c>
      <c r="I26" s="13">
        <v>183224</v>
      </c>
      <c r="J26" s="12">
        <v>2902</v>
      </c>
      <c r="K26" s="14">
        <f t="shared" si="0"/>
        <v>471154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2">
        <v>0</v>
      </c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 t="s">
        <v>456</v>
      </c>
      <c r="C28" s="379"/>
      <c r="D28" s="380"/>
      <c r="F28" s="11">
        <v>0</v>
      </c>
      <c r="G28" s="11">
        <v>0</v>
      </c>
      <c r="H28" s="12">
        <v>16937</v>
      </c>
      <c r="I28" s="13">
        <v>10670</v>
      </c>
      <c r="J28" s="12">
        <v>0</v>
      </c>
      <c r="K28" s="14">
        <f t="shared" si="0"/>
        <v>27607</v>
      </c>
    </row>
    <row r="29" spans="1:11" ht="18" customHeight="1">
      <c r="A29" s="6" t="s">
        <v>37</v>
      </c>
      <c r="B29" s="378"/>
      <c r="C29" s="379"/>
      <c r="D29" s="380"/>
      <c r="F29" s="11">
        <v>0</v>
      </c>
      <c r="G29" s="11">
        <v>0</v>
      </c>
      <c r="H29" s="12">
        <v>0</v>
      </c>
      <c r="I29" s="13">
        <v>0</v>
      </c>
      <c r="J29" s="12">
        <v>0</v>
      </c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>
        <v>0</v>
      </c>
      <c r="G30" s="11">
        <v>0</v>
      </c>
      <c r="H30" s="12">
        <v>0</v>
      </c>
      <c r="I30" s="13">
        <v>0</v>
      </c>
      <c r="J30" s="12">
        <v>0</v>
      </c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>
        <v>0</v>
      </c>
      <c r="G31" s="11">
        <v>0</v>
      </c>
      <c r="H31" s="12">
        <v>0</v>
      </c>
      <c r="I31" s="13">
        <v>0</v>
      </c>
      <c r="J31" s="12">
        <v>0</v>
      </c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>
        <v>0</v>
      </c>
      <c r="G32" s="11">
        <v>0</v>
      </c>
      <c r="H32" s="12">
        <v>0</v>
      </c>
      <c r="I32" s="13">
        <v>0</v>
      </c>
      <c r="J32" s="12">
        <v>0</v>
      </c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8499</v>
      </c>
      <c r="G34" s="19">
        <f t="shared" si="1"/>
        <v>497931</v>
      </c>
      <c r="H34" s="14">
        <f t="shared" si="1"/>
        <v>1058530</v>
      </c>
      <c r="I34" s="14">
        <f t="shared" si="1"/>
        <v>664822</v>
      </c>
      <c r="J34" s="14">
        <f t="shared" si="1"/>
        <v>2902</v>
      </c>
      <c r="K34" s="14">
        <f t="shared" si="1"/>
        <v>1720450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0</v>
      </c>
      <c r="G38" s="11">
        <v>0</v>
      </c>
      <c r="H38" s="12">
        <v>4015403</v>
      </c>
      <c r="I38" s="13">
        <v>2529704</v>
      </c>
      <c r="J38" s="12">
        <v>0</v>
      </c>
      <c r="K38" s="14">
        <f t="shared" ref="K38:K46" si="2">(H38+I38)-J38</f>
        <v>6545107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0</v>
      </c>
      <c r="I39" s="13">
        <v>0</v>
      </c>
      <c r="J39" s="12">
        <v>0</v>
      </c>
      <c r="K39" s="14">
        <f t="shared" si="2"/>
        <v>0</v>
      </c>
    </row>
    <row r="40" spans="1:11" ht="18" customHeight="1">
      <c r="A40" s="6" t="s">
        <v>48</v>
      </c>
      <c r="B40" s="63" t="s">
        <v>49</v>
      </c>
      <c r="F40" s="11">
        <v>3180</v>
      </c>
      <c r="G40" s="11">
        <v>263</v>
      </c>
      <c r="H40" s="12">
        <v>166673</v>
      </c>
      <c r="I40" s="13">
        <v>105003</v>
      </c>
      <c r="J40" s="12">
        <v>0</v>
      </c>
      <c r="K40" s="14">
        <f t="shared" si="2"/>
        <v>271676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0</v>
      </c>
      <c r="G41" s="11">
        <v>0</v>
      </c>
      <c r="H41" s="12">
        <v>0</v>
      </c>
      <c r="I41" s="13">
        <v>0</v>
      </c>
      <c r="J41" s="12">
        <v>0</v>
      </c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0</v>
      </c>
      <c r="G42" s="11">
        <v>0</v>
      </c>
      <c r="H42" s="12">
        <v>82746</v>
      </c>
      <c r="I42" s="13">
        <v>52130</v>
      </c>
      <c r="J42" s="12">
        <v>0</v>
      </c>
      <c r="K42" s="14">
        <f t="shared" si="2"/>
        <v>134876</v>
      </c>
    </row>
    <row r="43" spans="1:11" ht="18" customHeight="1">
      <c r="A43" s="6" t="s">
        <v>54</v>
      </c>
      <c r="B43" s="63" t="s">
        <v>34</v>
      </c>
      <c r="F43" s="11">
        <v>0</v>
      </c>
      <c r="G43" s="11">
        <v>0</v>
      </c>
      <c r="H43" s="12">
        <v>0</v>
      </c>
      <c r="I43" s="13">
        <v>0</v>
      </c>
      <c r="J43" s="12">
        <v>0</v>
      </c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>
        <v>0</v>
      </c>
      <c r="G44" s="11">
        <v>0</v>
      </c>
      <c r="H44" s="12">
        <v>0</v>
      </c>
      <c r="I44" s="13">
        <v>0</v>
      </c>
      <c r="J44" s="12">
        <v>0</v>
      </c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>
        <v>0</v>
      </c>
      <c r="G45" s="11">
        <v>0</v>
      </c>
      <c r="H45" s="12">
        <v>0</v>
      </c>
      <c r="I45" s="13">
        <v>0</v>
      </c>
      <c r="J45" s="12">
        <v>0</v>
      </c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>
        <v>0</v>
      </c>
      <c r="G46" s="11">
        <v>0</v>
      </c>
      <c r="H46" s="12">
        <v>0</v>
      </c>
      <c r="I46" s="13">
        <v>0</v>
      </c>
      <c r="J46" s="12">
        <v>0</v>
      </c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3180</v>
      </c>
      <c r="G48" s="25">
        <f t="shared" si="3"/>
        <v>263</v>
      </c>
      <c r="H48" s="14">
        <f t="shared" si="3"/>
        <v>4264822</v>
      </c>
      <c r="I48" s="14">
        <f t="shared" si="3"/>
        <v>2686837</v>
      </c>
      <c r="J48" s="14">
        <f t="shared" si="3"/>
        <v>0</v>
      </c>
      <c r="K48" s="14">
        <f t="shared" si="3"/>
        <v>6951659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457</v>
      </c>
      <c r="C52" s="385"/>
      <c r="D52" s="359"/>
      <c r="F52" s="11">
        <v>0</v>
      </c>
      <c r="G52" s="11">
        <v>5459</v>
      </c>
      <c r="H52" s="12">
        <v>503233.19322900003</v>
      </c>
      <c r="I52" s="13">
        <v>0</v>
      </c>
      <c r="J52" s="12">
        <v>342091</v>
      </c>
      <c r="K52" s="14">
        <f t="shared" ref="K52:K61" si="4">(H52+I52)-J52</f>
        <v>161142.19322900003</v>
      </c>
    </row>
    <row r="53" spans="1:11" ht="18" customHeight="1">
      <c r="A53" s="6" t="s">
        <v>63</v>
      </c>
      <c r="B53" s="27" t="s">
        <v>458</v>
      </c>
      <c r="C53" s="28"/>
      <c r="D53" s="29"/>
      <c r="F53" s="11">
        <v>0</v>
      </c>
      <c r="G53" s="11">
        <v>32595</v>
      </c>
      <c r="H53" s="12">
        <v>7669677.6077000005</v>
      </c>
      <c r="I53" s="13">
        <v>0</v>
      </c>
      <c r="J53" s="12">
        <v>5433571</v>
      </c>
      <c r="K53" s="14">
        <f t="shared" si="4"/>
        <v>2236106.6077000005</v>
      </c>
    </row>
    <row r="54" spans="1:11" ht="18" customHeight="1">
      <c r="A54" s="6" t="s">
        <v>65</v>
      </c>
      <c r="B54" s="381" t="s">
        <v>459</v>
      </c>
      <c r="C54" s="358"/>
      <c r="D54" s="359"/>
      <c r="F54" s="11">
        <v>0</v>
      </c>
      <c r="G54" s="11">
        <v>0</v>
      </c>
      <c r="H54" s="12">
        <v>120600</v>
      </c>
      <c r="I54" s="13">
        <v>0</v>
      </c>
      <c r="J54" s="12">
        <v>0</v>
      </c>
      <c r="K54" s="14">
        <f t="shared" si="4"/>
        <v>120600</v>
      </c>
    </row>
    <row r="55" spans="1:11" ht="18" customHeight="1">
      <c r="A55" s="6" t="s">
        <v>67</v>
      </c>
      <c r="B55" s="381" t="s">
        <v>460</v>
      </c>
      <c r="C55" s="358"/>
      <c r="D55" s="359"/>
      <c r="F55" s="11">
        <v>0</v>
      </c>
      <c r="G55" s="11">
        <v>15187</v>
      </c>
      <c r="H55" s="12">
        <v>911355.15100000007</v>
      </c>
      <c r="I55" s="13">
        <v>0</v>
      </c>
      <c r="J55" s="12">
        <v>891282</v>
      </c>
      <c r="K55" s="14">
        <f t="shared" si="4"/>
        <v>20073.151000000071</v>
      </c>
    </row>
    <row r="56" spans="1:11" ht="18" customHeight="1">
      <c r="A56" s="6" t="s">
        <v>69</v>
      </c>
      <c r="B56" s="381" t="s">
        <v>461</v>
      </c>
      <c r="C56" s="358"/>
      <c r="D56" s="359"/>
      <c r="F56" s="11">
        <v>0</v>
      </c>
      <c r="G56" s="11">
        <v>0</v>
      </c>
      <c r="H56" s="12">
        <v>198359</v>
      </c>
      <c r="I56" s="13">
        <v>0</v>
      </c>
      <c r="J56" s="12">
        <v>0</v>
      </c>
      <c r="K56" s="14">
        <f t="shared" si="4"/>
        <v>198359</v>
      </c>
    </row>
    <row r="57" spans="1:11" ht="18" customHeight="1">
      <c r="A57" s="6" t="s">
        <v>71</v>
      </c>
      <c r="B57" s="27"/>
      <c r="C57" s="28"/>
      <c r="D57" s="29"/>
      <c r="F57" s="11">
        <v>0</v>
      </c>
      <c r="G57" s="11">
        <v>0</v>
      </c>
      <c r="H57" s="12">
        <v>0</v>
      </c>
      <c r="I57" s="13">
        <v>0</v>
      </c>
      <c r="J57" s="12">
        <v>0</v>
      </c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>
        <v>0</v>
      </c>
      <c r="G58" s="11">
        <v>0</v>
      </c>
      <c r="H58" s="12">
        <v>0</v>
      </c>
      <c r="I58" s="13">
        <v>0</v>
      </c>
      <c r="J58" s="12">
        <v>0</v>
      </c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>
        <v>0</v>
      </c>
      <c r="G59" s="11">
        <v>0</v>
      </c>
      <c r="H59" s="12">
        <v>0</v>
      </c>
      <c r="I59" s="13">
        <v>0</v>
      </c>
      <c r="J59" s="12">
        <v>0</v>
      </c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>
        <v>0</v>
      </c>
      <c r="G60" s="11">
        <v>0</v>
      </c>
      <c r="H60" s="12">
        <v>0</v>
      </c>
      <c r="I60" s="13">
        <v>0</v>
      </c>
      <c r="J60" s="12">
        <v>0</v>
      </c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>
        <v>0</v>
      </c>
      <c r="G61" s="11">
        <v>0</v>
      </c>
      <c r="H61" s="12">
        <v>0</v>
      </c>
      <c r="I61" s="13">
        <v>0</v>
      </c>
      <c r="J61" s="12">
        <v>0</v>
      </c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0</v>
      </c>
      <c r="G63" s="19">
        <f t="shared" si="5"/>
        <v>53241</v>
      </c>
      <c r="H63" s="14">
        <f t="shared" si="5"/>
        <v>9403224.9519290011</v>
      </c>
      <c r="I63" s="14">
        <f t="shared" si="5"/>
        <v>0</v>
      </c>
      <c r="J63" s="14">
        <f t="shared" si="5"/>
        <v>6666944</v>
      </c>
      <c r="K63" s="14">
        <f t="shared" si="5"/>
        <v>2736280.9519290007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0</v>
      </c>
      <c r="G67" s="34">
        <v>0</v>
      </c>
      <c r="H67" s="12">
        <v>0</v>
      </c>
      <c r="I67" s="12">
        <v>0</v>
      </c>
      <c r="J67" s="12">
        <f>+[7]HSCRC!L84</f>
        <v>0</v>
      </c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>
        <v>0</v>
      </c>
      <c r="G68" s="34">
        <v>0</v>
      </c>
      <c r="H68" s="12">
        <v>0</v>
      </c>
      <c r="I68" s="12">
        <v>0</v>
      </c>
      <c r="J68" s="12">
        <f>+[7]HSCRC!L85</f>
        <v>0</v>
      </c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>
        <v>0</v>
      </c>
      <c r="G69" s="11">
        <v>0</v>
      </c>
      <c r="H69" s="12">
        <v>0</v>
      </c>
      <c r="I69" s="13">
        <v>0</v>
      </c>
      <c r="J69" s="12">
        <f>+[7]HSCRC!L86</f>
        <v>0</v>
      </c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>
        <v>0</v>
      </c>
      <c r="G70" s="35">
        <v>0</v>
      </c>
      <c r="H70" s="36">
        <v>0</v>
      </c>
      <c r="I70" s="13">
        <v>0</v>
      </c>
      <c r="J70" s="36">
        <f>+[7]HSCRC!L87</f>
        <v>0</v>
      </c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>
        <v>0</v>
      </c>
      <c r="G71" s="35">
        <v>0</v>
      </c>
      <c r="H71" s="36">
        <v>0</v>
      </c>
      <c r="I71" s="13">
        <v>0</v>
      </c>
      <c r="J71" s="36">
        <f>+[7]HSCRC!L88</f>
        <v>0</v>
      </c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>
        <v>0</v>
      </c>
      <c r="G72" s="11">
        <v>0</v>
      </c>
      <c r="H72" s="12">
        <v>0</v>
      </c>
      <c r="I72" s="13">
        <v>0</v>
      </c>
      <c r="J72" s="12">
        <f>+[7]HSCRC!L89</f>
        <v>0</v>
      </c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0</v>
      </c>
      <c r="G74" s="43">
        <f t="shared" si="7"/>
        <v>0</v>
      </c>
      <c r="H74" s="43">
        <f t="shared" si="7"/>
        <v>0</v>
      </c>
      <c r="I74" s="43">
        <f t="shared" si="7"/>
        <v>0</v>
      </c>
      <c r="J74" s="43">
        <f t="shared" si="7"/>
        <v>0</v>
      </c>
      <c r="K74" s="43">
        <f t="shared" si="7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8</v>
      </c>
      <c r="G77" s="11">
        <v>500</v>
      </c>
      <c r="H77" s="12">
        <v>80868</v>
      </c>
      <c r="I77" s="13">
        <v>0</v>
      </c>
      <c r="J77" s="12">
        <v>0</v>
      </c>
      <c r="K77" s="14">
        <f>(H77+I77)-J77</f>
        <v>80868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0</v>
      </c>
      <c r="I78" s="13">
        <v>0</v>
      </c>
      <c r="J78" s="12">
        <v>0</v>
      </c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51</v>
      </c>
      <c r="G79" s="11">
        <v>1100</v>
      </c>
      <c r="H79" s="12">
        <v>3860</v>
      </c>
      <c r="I79" s="13">
        <v>0</v>
      </c>
      <c r="J79" s="12">
        <v>0</v>
      </c>
      <c r="K79" s="14">
        <f>(H79+I79)-J79</f>
        <v>3860</v>
      </c>
    </row>
    <row r="80" spans="1:11" ht="18" customHeight="1">
      <c r="A80" s="6" t="s">
        <v>93</v>
      </c>
      <c r="B80" s="63" t="s">
        <v>97</v>
      </c>
      <c r="F80" s="11">
        <v>0</v>
      </c>
      <c r="G80" s="11">
        <v>0</v>
      </c>
      <c r="H80" s="12">
        <v>0</v>
      </c>
      <c r="I80" s="13">
        <v>0</v>
      </c>
      <c r="J80" s="12">
        <v>0</v>
      </c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59</v>
      </c>
      <c r="G82" s="44">
        <f t="shared" si="8"/>
        <v>1600</v>
      </c>
      <c r="H82" s="45">
        <f t="shared" si="8"/>
        <v>84728</v>
      </c>
      <c r="I82" s="45">
        <f t="shared" si="8"/>
        <v>0</v>
      </c>
      <c r="J82" s="45">
        <f t="shared" si="8"/>
        <v>0</v>
      </c>
      <c r="K82" s="45">
        <f t="shared" si="8"/>
        <v>84728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0</v>
      </c>
      <c r="G86" s="11">
        <v>0</v>
      </c>
      <c r="H86" s="12">
        <v>0</v>
      </c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0</v>
      </c>
      <c r="I87" s="13">
        <v>0</v>
      </c>
      <c r="J87" s="12">
        <v>0</v>
      </c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>
        <v>36</v>
      </c>
      <c r="G88" s="11">
        <v>90</v>
      </c>
      <c r="H88" s="12">
        <v>256</v>
      </c>
      <c r="I88" s="13">
        <v>160</v>
      </c>
      <c r="J88" s="12">
        <v>0</v>
      </c>
      <c r="K88" s="14">
        <f t="shared" si="9"/>
        <v>416</v>
      </c>
    </row>
    <row r="89" spans="1:11" ht="18" customHeight="1">
      <c r="A89" s="6" t="s">
        <v>106</v>
      </c>
      <c r="B89" s="63" t="s">
        <v>107</v>
      </c>
      <c r="F89" s="11">
        <v>0</v>
      </c>
      <c r="G89" s="11">
        <v>0</v>
      </c>
      <c r="H89" s="12">
        <v>0</v>
      </c>
      <c r="I89" s="13">
        <v>0</v>
      </c>
      <c r="J89" s="12">
        <v>0</v>
      </c>
      <c r="K89" s="14">
        <f t="shared" si="9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0</v>
      </c>
      <c r="G90" s="11">
        <v>0</v>
      </c>
      <c r="H90" s="12">
        <v>0</v>
      </c>
      <c r="I90" s="13">
        <v>0</v>
      </c>
      <c r="J90" s="12">
        <v>0</v>
      </c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0</v>
      </c>
      <c r="G91" s="11">
        <v>0</v>
      </c>
      <c r="H91" s="12">
        <v>0</v>
      </c>
      <c r="I91" s="13">
        <v>0</v>
      </c>
      <c r="J91" s="12">
        <v>0</v>
      </c>
      <c r="K91" s="14">
        <f t="shared" si="9"/>
        <v>0</v>
      </c>
    </row>
    <row r="92" spans="1:11" ht="18" customHeight="1">
      <c r="A92" s="6" t="s">
        <v>112</v>
      </c>
      <c r="B92" s="63" t="s">
        <v>113</v>
      </c>
      <c r="F92" s="46">
        <v>2.5</v>
      </c>
      <c r="G92" s="46">
        <v>12</v>
      </c>
      <c r="H92" s="47">
        <v>16481</v>
      </c>
      <c r="I92" s="13">
        <v>10383</v>
      </c>
      <c r="J92" s="47">
        <v>0</v>
      </c>
      <c r="K92" s="14">
        <f t="shared" si="9"/>
        <v>26864</v>
      </c>
    </row>
    <row r="93" spans="1:11" ht="18" customHeight="1">
      <c r="A93" s="6" t="s">
        <v>114</v>
      </c>
      <c r="B93" s="63" t="s">
        <v>115</v>
      </c>
      <c r="F93" s="11">
        <v>0</v>
      </c>
      <c r="G93" s="11">
        <v>0</v>
      </c>
      <c r="H93" s="12">
        <v>0</v>
      </c>
      <c r="I93" s="13">
        <v>0</v>
      </c>
      <c r="J93" s="12">
        <v>0</v>
      </c>
      <c r="K93" s="14">
        <f t="shared" si="9"/>
        <v>0</v>
      </c>
    </row>
    <row r="94" spans="1:11" ht="18" customHeight="1">
      <c r="A94" s="6" t="s">
        <v>116</v>
      </c>
      <c r="B94" s="63" t="s">
        <v>85</v>
      </c>
      <c r="F94" s="11">
        <v>0</v>
      </c>
      <c r="G94" s="11">
        <v>0</v>
      </c>
      <c r="H94" s="12">
        <v>0</v>
      </c>
      <c r="I94" s="13">
        <v>0</v>
      </c>
      <c r="J94" s="12">
        <v>0</v>
      </c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>
        <v>0</v>
      </c>
      <c r="G95" s="11">
        <v>0</v>
      </c>
      <c r="H95" s="12">
        <v>0</v>
      </c>
      <c r="I95" s="13">
        <v>0</v>
      </c>
      <c r="J95" s="12">
        <v>0</v>
      </c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>
        <v>0</v>
      </c>
      <c r="G96" s="11">
        <v>0</v>
      </c>
      <c r="H96" s="12">
        <v>0</v>
      </c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>
        <v>0</v>
      </c>
      <c r="G97" s="11">
        <v>0</v>
      </c>
      <c r="H97" s="12">
        <v>0</v>
      </c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38.5</v>
      </c>
      <c r="G99" s="19">
        <f t="shared" si="10"/>
        <v>102</v>
      </c>
      <c r="H99" s="19">
        <f t="shared" si="10"/>
        <v>16737</v>
      </c>
      <c r="I99" s="19">
        <f t="shared" si="10"/>
        <v>10543</v>
      </c>
      <c r="J99" s="19">
        <f t="shared" si="10"/>
        <v>0</v>
      </c>
      <c r="K99" s="19">
        <f t="shared" si="10"/>
        <v>27280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353</v>
      </c>
      <c r="G103" s="11">
        <v>0</v>
      </c>
      <c r="H103" s="12">
        <v>11850</v>
      </c>
      <c r="I103" s="13">
        <v>7464</v>
      </c>
      <c r="J103" s="12">
        <v>0</v>
      </c>
      <c r="K103" s="14">
        <f t="shared" ref="K103:K108" si="11">(H103+I103)-J103</f>
        <v>19314</v>
      </c>
    </row>
    <row r="104" spans="1:11" ht="18" customHeight="1">
      <c r="A104" s="6" t="s">
        <v>121</v>
      </c>
      <c r="B104" s="386" t="s">
        <v>122</v>
      </c>
      <c r="C104" s="386"/>
      <c r="F104" s="11">
        <v>0</v>
      </c>
      <c r="G104" s="11">
        <v>0</v>
      </c>
      <c r="H104" s="12">
        <v>0</v>
      </c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>
        <v>0</v>
      </c>
      <c r="G105" s="11">
        <v>0</v>
      </c>
      <c r="H105" s="12">
        <v>0</v>
      </c>
      <c r="I105" s="13">
        <v>0</v>
      </c>
      <c r="J105" s="12">
        <v>0</v>
      </c>
      <c r="K105" s="14">
        <f t="shared" si="11"/>
        <v>0</v>
      </c>
    </row>
    <row r="106" spans="1:11" ht="18" customHeight="1">
      <c r="A106" s="6" t="s">
        <v>125</v>
      </c>
      <c r="B106" s="381" t="s">
        <v>462</v>
      </c>
      <c r="C106" s="358"/>
      <c r="D106" s="359"/>
      <c r="F106" s="11">
        <v>0</v>
      </c>
      <c r="G106" s="11">
        <v>0</v>
      </c>
      <c r="H106" s="12">
        <v>600</v>
      </c>
      <c r="I106" s="13">
        <v>378</v>
      </c>
      <c r="J106" s="12">
        <v>0</v>
      </c>
      <c r="K106" s="14">
        <f t="shared" si="11"/>
        <v>978</v>
      </c>
    </row>
    <row r="107" spans="1:11" ht="18" customHeight="1">
      <c r="A107" s="6" t="s">
        <v>126</v>
      </c>
      <c r="B107" s="381"/>
      <c r="C107" s="358"/>
      <c r="D107" s="359"/>
      <c r="F107" s="11">
        <v>0</v>
      </c>
      <c r="G107" s="11">
        <v>0</v>
      </c>
      <c r="H107" s="12">
        <v>0</v>
      </c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>
        <v>0</v>
      </c>
      <c r="G108" s="11">
        <v>0</v>
      </c>
      <c r="H108" s="12">
        <v>0</v>
      </c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353</v>
      </c>
      <c r="G110" s="19">
        <f t="shared" si="12"/>
        <v>0</v>
      </c>
      <c r="H110" s="14">
        <f t="shared" si="12"/>
        <v>12450</v>
      </c>
      <c r="I110" s="14">
        <f t="shared" si="12"/>
        <v>7842</v>
      </c>
      <c r="J110" s="14">
        <f t="shared" si="12"/>
        <v>0</v>
      </c>
      <c r="K110" s="14">
        <f t="shared" si="12"/>
        <v>20292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4734700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0.62483775674788111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184502799</v>
      </c>
    </row>
    <row r="120" spans="1:6" ht="18" customHeight="1">
      <c r="B120" s="2" t="s">
        <v>137</v>
      </c>
      <c r="F120" s="12">
        <v>9788409</v>
      </c>
    </row>
    <row r="121" spans="1:6" ht="18" customHeight="1">
      <c r="A121" s="6"/>
      <c r="B121" s="5" t="s">
        <v>138</v>
      </c>
      <c r="F121" s="12">
        <f>+F120+F119</f>
        <v>194291208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188476023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5815185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174456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5989641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8499</v>
      </c>
      <c r="G144" s="54">
        <f t="shared" si="15"/>
        <v>497931</v>
      </c>
      <c r="H144" s="54">
        <f t="shared" si="15"/>
        <v>1058530</v>
      </c>
      <c r="I144" s="54">
        <f t="shared" si="15"/>
        <v>664822</v>
      </c>
      <c r="J144" s="54">
        <f t="shared" si="15"/>
        <v>2902</v>
      </c>
      <c r="K144" s="54">
        <f t="shared" si="15"/>
        <v>1720450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3180</v>
      </c>
      <c r="G145" s="54">
        <f t="shared" si="16"/>
        <v>263</v>
      </c>
      <c r="H145" s="54">
        <f t="shared" si="16"/>
        <v>4264822</v>
      </c>
      <c r="I145" s="54">
        <f t="shared" si="16"/>
        <v>2686837</v>
      </c>
      <c r="J145" s="54">
        <f t="shared" si="16"/>
        <v>0</v>
      </c>
      <c r="K145" s="54">
        <f t="shared" si="16"/>
        <v>6951659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0</v>
      </c>
      <c r="G146" s="54">
        <f t="shared" si="17"/>
        <v>53241</v>
      </c>
      <c r="H146" s="54">
        <f t="shared" si="17"/>
        <v>9403224.9519290011</v>
      </c>
      <c r="I146" s="54">
        <f t="shared" si="17"/>
        <v>0</v>
      </c>
      <c r="J146" s="54">
        <f t="shared" si="17"/>
        <v>6666944</v>
      </c>
      <c r="K146" s="54">
        <f t="shared" si="17"/>
        <v>2736280.9519290007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0</v>
      </c>
      <c r="G147" s="54">
        <f t="shared" si="18"/>
        <v>0</v>
      </c>
      <c r="H147" s="54">
        <f t="shared" si="18"/>
        <v>0</v>
      </c>
      <c r="I147" s="54">
        <f t="shared" si="18"/>
        <v>0</v>
      </c>
      <c r="J147" s="54">
        <f t="shared" si="18"/>
        <v>0</v>
      </c>
      <c r="K147" s="54">
        <f t="shared" si="18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59</v>
      </c>
      <c r="G148" s="54">
        <f t="shared" si="19"/>
        <v>1600</v>
      </c>
      <c r="H148" s="54">
        <f t="shared" si="19"/>
        <v>84728</v>
      </c>
      <c r="I148" s="54">
        <f t="shared" si="19"/>
        <v>0</v>
      </c>
      <c r="J148" s="54">
        <f t="shared" si="19"/>
        <v>0</v>
      </c>
      <c r="K148" s="54">
        <f t="shared" si="19"/>
        <v>84728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38.5</v>
      </c>
      <c r="G149" s="54">
        <f t="shared" si="20"/>
        <v>102</v>
      </c>
      <c r="H149" s="54">
        <f t="shared" si="20"/>
        <v>16737</v>
      </c>
      <c r="I149" s="54">
        <f t="shared" si="20"/>
        <v>10543</v>
      </c>
      <c r="J149" s="54">
        <f t="shared" si="20"/>
        <v>0</v>
      </c>
      <c r="K149" s="54">
        <f t="shared" si="20"/>
        <v>27280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353</v>
      </c>
      <c r="G150" s="19">
        <f t="shared" si="21"/>
        <v>0</v>
      </c>
      <c r="H150" s="19">
        <f t="shared" si="21"/>
        <v>12450</v>
      </c>
      <c r="I150" s="19">
        <f t="shared" si="21"/>
        <v>7842</v>
      </c>
      <c r="J150" s="19">
        <f t="shared" si="21"/>
        <v>0</v>
      </c>
      <c r="K150" s="19">
        <f t="shared" si="21"/>
        <v>20292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4734700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12129.5</v>
      </c>
      <c r="G154" s="60">
        <f t="shared" si="23"/>
        <v>553137</v>
      </c>
      <c r="H154" s="60">
        <f t="shared" si="23"/>
        <v>14840491.951929001</v>
      </c>
      <c r="I154" s="60">
        <f t="shared" si="23"/>
        <v>3370044</v>
      </c>
      <c r="J154" s="60">
        <f t="shared" si="23"/>
        <v>6669846</v>
      </c>
      <c r="K154" s="61">
        <f t="shared" si="23"/>
        <v>16275389.951929001</v>
      </c>
    </row>
    <row r="156" spans="1:11" ht="18" customHeight="1">
      <c r="B156" s="5" t="s">
        <v>178</v>
      </c>
      <c r="F156" s="219">
        <f>K154/F123</f>
        <v>8.6352575212864088E-2</v>
      </c>
    </row>
    <row r="157" spans="1:11" ht="18" customHeight="1">
      <c r="B157" s="5" t="s">
        <v>179</v>
      </c>
      <c r="F157" s="219">
        <f>K154/F129</f>
        <v>2.7172563350506316</v>
      </c>
      <c r="G157" s="5"/>
    </row>
    <row r="158" spans="1:11" ht="18" customHeight="1">
      <c r="G158" s="5"/>
    </row>
  </sheetData>
  <sheetProtection password="EF72" sheet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136:D136"/>
    <mergeCell ref="B138:D138"/>
    <mergeCell ref="B96:D96"/>
    <mergeCell ref="B97:D97"/>
    <mergeCell ref="B104:C104"/>
    <mergeCell ref="B106:D106"/>
    <mergeCell ref="B107:D107"/>
    <mergeCell ref="B108:D108"/>
    <mergeCell ref="B137:D137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306</v>
      </c>
      <c r="D5" s="363"/>
      <c r="E5" s="363"/>
      <c r="F5" s="363"/>
      <c r="G5" s="364"/>
    </row>
    <row r="6" spans="1:11" ht="18" customHeight="1">
      <c r="B6" s="6" t="s">
        <v>4</v>
      </c>
      <c r="C6" s="365">
        <v>210006</v>
      </c>
      <c r="D6" s="366"/>
      <c r="E6" s="366"/>
      <c r="F6" s="366"/>
      <c r="G6" s="367"/>
    </row>
    <row r="7" spans="1:11" ht="18" customHeight="1">
      <c r="B7" s="6" t="s">
        <v>5</v>
      </c>
      <c r="C7" s="368">
        <v>773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305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304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303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88.17</v>
      </c>
      <c r="G18" s="11">
        <v>1236.3</v>
      </c>
      <c r="H18" s="11">
        <v>26708.417999999998</v>
      </c>
      <c r="I18" s="13">
        <f t="shared" ref="I18:I32" si="0">H18*F$116</f>
        <v>17053.438133516913</v>
      </c>
      <c r="J18" s="11">
        <v>292.5</v>
      </c>
      <c r="K18" s="14">
        <f t="shared" ref="K18:K32" si="1">(H18+I18)-J18</f>
        <v>43469.356133516907</v>
      </c>
    </row>
    <row r="19" spans="1:11" ht="18" customHeight="1">
      <c r="A19" s="6"/>
      <c r="B19" s="2" t="s">
        <v>23</v>
      </c>
      <c r="F19" s="11">
        <v>5.85</v>
      </c>
      <c r="G19" s="11">
        <v>18.3</v>
      </c>
      <c r="H19" s="11">
        <v>140.4</v>
      </c>
      <c r="I19" s="13">
        <f t="shared" si="0"/>
        <v>89.645995279307641</v>
      </c>
      <c r="J19" s="11">
        <v>0</v>
      </c>
      <c r="K19" s="14">
        <f t="shared" si="1"/>
        <v>230.04599527930765</v>
      </c>
    </row>
    <row r="20" spans="1:11" ht="18" customHeight="1">
      <c r="A20" s="6"/>
      <c r="B20" s="2" t="s">
        <v>24</v>
      </c>
      <c r="F20" s="11">
        <v>15.15</v>
      </c>
      <c r="G20" s="11">
        <v>172.5</v>
      </c>
      <c r="H20" s="11">
        <v>1160.808</v>
      </c>
      <c r="I20" s="13">
        <f t="shared" si="0"/>
        <v>741.18082968790975</v>
      </c>
      <c r="J20" s="11">
        <v>0</v>
      </c>
      <c r="K20" s="14">
        <f t="shared" si="1"/>
        <v>1901.9888296879099</v>
      </c>
    </row>
    <row r="21" spans="1:11" ht="18" customHeight="1">
      <c r="A21" s="6" t="s">
        <v>25</v>
      </c>
      <c r="B21" s="2" t="s">
        <v>26</v>
      </c>
      <c r="F21" s="11">
        <v>0</v>
      </c>
      <c r="G21" s="11">
        <v>0</v>
      </c>
      <c r="H21" s="11">
        <v>0</v>
      </c>
      <c r="I21" s="13">
        <f t="shared" si="0"/>
        <v>0</v>
      </c>
      <c r="J21" s="11">
        <v>0</v>
      </c>
      <c r="K21" s="14">
        <f t="shared" si="1"/>
        <v>0</v>
      </c>
    </row>
    <row r="22" spans="1:11" ht="18" customHeight="1">
      <c r="A22" s="6"/>
      <c r="B22" s="2" t="s">
        <v>27</v>
      </c>
      <c r="F22" s="11">
        <v>266.20499999999998</v>
      </c>
      <c r="G22" s="11">
        <v>2017.5</v>
      </c>
      <c r="H22" s="11">
        <v>10992.141000000001</v>
      </c>
      <c r="I22" s="13">
        <f t="shared" si="0"/>
        <v>7018.5286338709684</v>
      </c>
      <c r="J22" s="11">
        <v>825.42600000000004</v>
      </c>
      <c r="K22" s="14">
        <f t="shared" si="1"/>
        <v>17185.24363387097</v>
      </c>
    </row>
    <row r="23" spans="1:11" ht="18" customHeight="1">
      <c r="A23" s="6"/>
      <c r="B23" s="2" t="s">
        <v>28</v>
      </c>
      <c r="F23" s="11">
        <v>139.05000000000001</v>
      </c>
      <c r="G23" s="11">
        <v>1307.7</v>
      </c>
      <c r="H23" s="11">
        <v>28526.897999999997</v>
      </c>
      <c r="I23" s="13">
        <f t="shared" si="0"/>
        <v>18214.545323655911</v>
      </c>
      <c r="J23" s="11">
        <v>29045.675999999999</v>
      </c>
      <c r="K23" s="14">
        <f t="shared" si="1"/>
        <v>17695.767323655913</v>
      </c>
    </row>
    <row r="24" spans="1:11" ht="18" customHeight="1">
      <c r="A24" s="6"/>
      <c r="B24" s="2" t="s">
        <v>29</v>
      </c>
      <c r="F24" s="11">
        <v>353.34</v>
      </c>
      <c r="G24" s="11">
        <v>940.8</v>
      </c>
      <c r="H24" s="11">
        <v>107707.962</v>
      </c>
      <c r="I24" s="13">
        <f t="shared" si="0"/>
        <v>68771.990405953315</v>
      </c>
      <c r="J24" s="11">
        <v>2370.8219999999997</v>
      </c>
      <c r="K24" s="14">
        <f t="shared" si="1"/>
        <v>174109.13040595333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1">
        <v>1491.9390000000001</v>
      </c>
      <c r="I25" s="13">
        <f t="shared" si="0"/>
        <v>952.60937714398119</v>
      </c>
      <c r="J25" s="11">
        <v>0</v>
      </c>
      <c r="K25" s="14">
        <f t="shared" si="1"/>
        <v>2444.5483771439813</v>
      </c>
    </row>
    <row r="26" spans="1:11" ht="18" customHeight="1">
      <c r="A26" s="6" t="s">
        <v>31</v>
      </c>
      <c r="B26" s="2" t="s">
        <v>32</v>
      </c>
      <c r="F26" s="11">
        <v>0</v>
      </c>
      <c r="G26" s="11">
        <v>0</v>
      </c>
      <c r="H26" s="11">
        <v>606.92099999999994</v>
      </c>
      <c r="I26" s="13">
        <f t="shared" si="0"/>
        <v>387.52163177288219</v>
      </c>
      <c r="J26" s="11">
        <v>0</v>
      </c>
      <c r="K26" s="14">
        <f t="shared" si="1"/>
        <v>994.44263177288212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1">
        <v>0</v>
      </c>
      <c r="I27" s="13">
        <f t="shared" si="0"/>
        <v>0</v>
      </c>
      <c r="J27" s="11">
        <v>0</v>
      </c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867.76499999999987</v>
      </c>
      <c r="G34" s="19">
        <f t="shared" si="2"/>
        <v>5693.1</v>
      </c>
      <c r="H34" s="14">
        <f t="shared" si="2"/>
        <v>177335.48699999999</v>
      </c>
      <c r="I34" s="14">
        <f t="shared" si="2"/>
        <v>113229.46033088118</v>
      </c>
      <c r="J34" s="14">
        <f t="shared" si="2"/>
        <v>32534.423999999999</v>
      </c>
      <c r="K34" s="14">
        <f t="shared" si="2"/>
        <v>258030.5233308812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1"/>
      <c r="I38" s="13">
        <v>0</v>
      </c>
      <c r="J38" s="11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1"/>
      <c r="I39" s="13">
        <v>0</v>
      </c>
      <c r="J39" s="11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1"/>
      <c r="I40" s="13">
        <v>0</v>
      </c>
      <c r="J40" s="11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1"/>
      <c r="I41" s="13">
        <v>0</v>
      </c>
      <c r="J41" s="11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1"/>
      <c r="I42" s="13">
        <v>0</v>
      </c>
      <c r="J42" s="11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1"/>
      <c r="I43" s="13">
        <v>0</v>
      </c>
      <c r="J43" s="11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0</v>
      </c>
      <c r="G48" s="25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302</v>
      </c>
      <c r="C52" s="385"/>
      <c r="D52" s="359"/>
      <c r="F52" s="11"/>
      <c r="G52" s="11"/>
      <c r="H52" s="12">
        <v>317409</v>
      </c>
      <c r="I52" s="13">
        <f>H52*$F$116</f>
        <v>202666.99227642277</v>
      </c>
      <c r="J52" s="12"/>
      <c r="K52" s="14">
        <f t="shared" ref="K52:K61" si="5">(H52+I52)-J52</f>
        <v>520075.9922764228</v>
      </c>
    </row>
    <row r="53" spans="1:11" ht="18" customHeight="1">
      <c r="A53" s="6" t="s">
        <v>63</v>
      </c>
      <c r="B53" s="27" t="s">
        <v>301</v>
      </c>
      <c r="C53" s="28"/>
      <c r="D53" s="29"/>
      <c r="F53" s="11"/>
      <c r="G53" s="11"/>
      <c r="H53" s="12">
        <v>115841.08</v>
      </c>
      <c r="I53" s="13">
        <f>H53*$F$116</f>
        <v>73965.020732406687</v>
      </c>
      <c r="J53" s="12"/>
      <c r="K53" s="14">
        <f t="shared" si="5"/>
        <v>189806.10073240669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433250.08</v>
      </c>
      <c r="I63" s="14">
        <f t="shared" si="6"/>
        <v>276632.01300882944</v>
      </c>
      <c r="J63" s="14">
        <f t="shared" si="6"/>
        <v>0</v>
      </c>
      <c r="K63" s="14">
        <f t="shared" si="6"/>
        <v>709882.09300882951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11"/>
      <c r="G67" s="11"/>
      <c r="H67" s="11"/>
      <c r="I67" s="13">
        <v>0</v>
      </c>
      <c r="J67" s="11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11"/>
      <c r="G68" s="11"/>
      <c r="H68" s="11"/>
      <c r="I68" s="13">
        <v>0</v>
      </c>
      <c r="J68" s="11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1"/>
      <c r="I69" s="13">
        <v>0</v>
      </c>
      <c r="J69" s="11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1"/>
      <c r="I77" s="13">
        <v>0</v>
      </c>
      <c r="J77" s="11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1"/>
      <c r="I78" s="13">
        <v>0</v>
      </c>
      <c r="J78" s="11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1"/>
      <c r="I79" s="13">
        <v>0</v>
      </c>
      <c r="J79" s="11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1"/>
      <c r="I80" s="13">
        <v>0</v>
      </c>
      <c r="J80" s="11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0</v>
      </c>
      <c r="I82" s="45">
        <f t="shared" si="9"/>
        <v>0</v>
      </c>
      <c r="J82" s="45">
        <f t="shared" si="9"/>
        <v>0</v>
      </c>
      <c r="K82" s="45">
        <f t="shared" si="9"/>
        <v>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1"/>
      <c r="I86" s="13">
        <f t="shared" ref="I86:I97" si="10">H86*F$116</f>
        <v>0</v>
      </c>
      <c r="J86" s="11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1"/>
      <c r="I87" s="13">
        <f t="shared" si="10"/>
        <v>0</v>
      </c>
      <c r="J87" s="11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1"/>
      <c r="I88" s="13">
        <f t="shared" si="10"/>
        <v>0</v>
      </c>
      <c r="J88" s="11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1"/>
      <c r="I89" s="13">
        <f t="shared" si="10"/>
        <v>0</v>
      </c>
      <c r="J89" s="11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1"/>
      <c r="I90" s="13">
        <f t="shared" si="10"/>
        <v>0</v>
      </c>
      <c r="J90" s="11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1"/>
      <c r="I91" s="13">
        <f t="shared" si="10"/>
        <v>0</v>
      </c>
      <c r="J91" s="11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11"/>
      <c r="G92" s="11"/>
      <c r="H92" s="11"/>
      <c r="I92" s="13">
        <f t="shared" si="10"/>
        <v>0</v>
      </c>
      <c r="J92" s="11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1"/>
      <c r="I93" s="13">
        <f t="shared" si="10"/>
        <v>0</v>
      </c>
      <c r="J93" s="11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1"/>
      <c r="I94" s="13">
        <f t="shared" si="10"/>
        <v>0</v>
      </c>
      <c r="J94" s="11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0</v>
      </c>
      <c r="G99" s="19">
        <f t="shared" si="12"/>
        <v>0</v>
      </c>
      <c r="H99" s="19">
        <f t="shared" si="12"/>
        <v>0</v>
      </c>
      <c r="I99" s="19">
        <f t="shared" si="12"/>
        <v>0</v>
      </c>
      <c r="J99" s="19">
        <f t="shared" si="12"/>
        <v>0</v>
      </c>
      <c r="K99" s="19">
        <f t="shared" si="12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152.55000000000001</v>
      </c>
      <c r="G103" s="11">
        <v>0</v>
      </c>
      <c r="H103" s="11">
        <v>3956.4419999999996</v>
      </c>
      <c r="I103" s="13">
        <f t="shared" ref="I103:I108" si="13">H103*F$116</f>
        <v>2526.2049918436924</v>
      </c>
      <c r="J103" s="11"/>
      <c r="K103" s="14">
        <f t="shared" ref="K103:K108" si="14">(H103+I103)-J103</f>
        <v>6482.6469918436924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1"/>
      <c r="I104" s="13">
        <f t="shared" si="13"/>
        <v>0</v>
      </c>
      <c r="J104" s="11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1"/>
      <c r="I105" s="13">
        <f t="shared" si="13"/>
        <v>0</v>
      </c>
      <c r="J105" s="11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152.55000000000001</v>
      </c>
      <c r="G110" s="19">
        <f t="shared" si="15"/>
        <v>0</v>
      </c>
      <c r="H110" s="14">
        <f t="shared" si="15"/>
        <v>3956.4419999999996</v>
      </c>
      <c r="I110" s="14">
        <f t="shared" si="15"/>
        <v>2526.2049918436924</v>
      </c>
      <c r="J110" s="14">
        <f t="shared" si="15"/>
        <v>0</v>
      </c>
      <c r="K110" s="14">
        <f t="shared" si="15"/>
        <v>6482.6469918436924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1451597.14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0.63850423988110849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1">
        <v>90413000</v>
      </c>
    </row>
    <row r="120" spans="1:6" ht="18" customHeight="1">
      <c r="B120" s="2" t="s">
        <v>137</v>
      </c>
      <c r="F120" s="11">
        <v>681000</v>
      </c>
    </row>
    <row r="121" spans="1:6" ht="18" customHeight="1">
      <c r="A121" s="6"/>
      <c r="B121" s="5" t="s">
        <v>138</v>
      </c>
      <c r="F121" s="11">
        <v>91094000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1">
        <v>87176000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1">
        <v>3918000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1">
        <v>-18761000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1">
        <v>-14843000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1"/>
      <c r="I133" s="13">
        <v>0</v>
      </c>
      <c r="J133" s="11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1"/>
      <c r="I134" s="13">
        <v>0</v>
      </c>
      <c r="J134" s="11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1"/>
      <c r="I135" s="13">
        <v>0</v>
      </c>
      <c r="J135" s="11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867.76499999999987</v>
      </c>
      <c r="G144" s="54">
        <f t="shared" si="18"/>
        <v>5693.1</v>
      </c>
      <c r="H144" s="54">
        <f t="shared" si="18"/>
        <v>177335.48699999999</v>
      </c>
      <c r="I144" s="54">
        <f t="shared" si="18"/>
        <v>113229.46033088118</v>
      </c>
      <c r="J144" s="54">
        <f t="shared" si="18"/>
        <v>32534.423999999999</v>
      </c>
      <c r="K144" s="54">
        <f t="shared" si="18"/>
        <v>258030.5233308812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0</v>
      </c>
      <c r="G145" s="54">
        <f t="shared" si="19"/>
        <v>0</v>
      </c>
      <c r="H145" s="54">
        <f t="shared" si="19"/>
        <v>0</v>
      </c>
      <c r="I145" s="54">
        <f t="shared" si="19"/>
        <v>0</v>
      </c>
      <c r="J145" s="54">
        <f t="shared" si="19"/>
        <v>0</v>
      </c>
      <c r="K145" s="54">
        <f t="shared" si="19"/>
        <v>0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433250.08</v>
      </c>
      <c r="I146" s="54">
        <f t="shared" si="20"/>
        <v>276632.01300882944</v>
      </c>
      <c r="J146" s="54">
        <f t="shared" si="20"/>
        <v>0</v>
      </c>
      <c r="K146" s="54">
        <f t="shared" si="20"/>
        <v>709882.09300882951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0</v>
      </c>
      <c r="I148" s="54">
        <f t="shared" si="22"/>
        <v>0</v>
      </c>
      <c r="J148" s="54">
        <f t="shared" si="22"/>
        <v>0</v>
      </c>
      <c r="K148" s="54">
        <f t="shared" si="22"/>
        <v>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0</v>
      </c>
      <c r="G149" s="54">
        <f t="shared" si="23"/>
        <v>0</v>
      </c>
      <c r="H149" s="54">
        <f t="shared" si="23"/>
        <v>0</v>
      </c>
      <c r="I149" s="54">
        <f t="shared" si="23"/>
        <v>0</v>
      </c>
      <c r="J149" s="54">
        <f t="shared" si="23"/>
        <v>0</v>
      </c>
      <c r="K149" s="54">
        <f t="shared" si="23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152.55000000000001</v>
      </c>
      <c r="G150" s="19">
        <f t="shared" si="24"/>
        <v>0</v>
      </c>
      <c r="H150" s="19">
        <f t="shared" si="24"/>
        <v>3956.4419999999996</v>
      </c>
      <c r="I150" s="19">
        <f t="shared" si="24"/>
        <v>2526.2049918436924</v>
      </c>
      <c r="J150" s="19">
        <f t="shared" si="24"/>
        <v>0</v>
      </c>
      <c r="K150" s="19">
        <f t="shared" si="24"/>
        <v>6482.6469918436924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1451597.14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1020.3149999999998</v>
      </c>
      <c r="G154" s="60">
        <f t="shared" si="26"/>
        <v>5693.1</v>
      </c>
      <c r="H154" s="60">
        <f t="shared" si="26"/>
        <v>614542.00900000008</v>
      </c>
      <c r="I154" s="60">
        <f t="shared" si="26"/>
        <v>392387.67833155429</v>
      </c>
      <c r="J154" s="60">
        <f t="shared" si="26"/>
        <v>32534.423999999999</v>
      </c>
      <c r="K154" s="61">
        <f t="shared" si="26"/>
        <v>2425992.4033315545</v>
      </c>
    </row>
    <row r="156" spans="1:11" ht="18" customHeight="1">
      <c r="B156" s="5" t="s">
        <v>178</v>
      </c>
      <c r="F156" s="233">
        <f>K154/F123</f>
        <v>2.7828673067490532E-2</v>
      </c>
    </row>
    <row r="157" spans="1:11" ht="18" customHeight="1">
      <c r="B157" s="5" t="s">
        <v>179</v>
      </c>
      <c r="F157" s="233">
        <f>K154/F129</f>
        <v>-0.16344353589783431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B104:C104"/>
    <mergeCell ref="B137:D137"/>
    <mergeCell ref="B138:D138"/>
    <mergeCell ref="B136:D136"/>
    <mergeCell ref="B106:D106"/>
    <mergeCell ref="B107:D107"/>
    <mergeCell ref="B108:D108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1" zoomScaleNormal="100" zoomScaleSheetLayoutView="61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322</v>
      </c>
      <c r="D5" s="363"/>
      <c r="E5" s="363"/>
      <c r="F5" s="363"/>
      <c r="G5" s="364"/>
    </row>
    <row r="6" spans="1:11" ht="18" customHeight="1">
      <c r="B6" s="6" t="s">
        <v>4</v>
      </c>
      <c r="C6" s="365">
        <v>4</v>
      </c>
      <c r="D6" s="366"/>
      <c r="E6" s="366"/>
      <c r="F6" s="366"/>
      <c r="G6" s="367"/>
    </row>
    <row r="7" spans="1:11" ht="18" customHeight="1">
      <c r="B7" s="6" t="s">
        <v>5</v>
      </c>
      <c r="C7" s="368">
        <v>3068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321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320</v>
      </c>
      <c r="D10" s="372"/>
      <c r="E10" s="372"/>
      <c r="F10" s="372"/>
      <c r="G10" s="373"/>
    </row>
    <row r="11" spans="1:11" ht="18" customHeight="1">
      <c r="B11" s="6" t="s">
        <v>10</v>
      </c>
      <c r="C11" s="419" t="s">
        <v>319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13083</v>
      </c>
      <c r="G18" s="11">
        <v>51415</v>
      </c>
      <c r="H18" s="12">
        <v>1453568</v>
      </c>
      <c r="I18" s="13">
        <f t="shared" ref="I18:I32" si="0">H18*F$116</f>
        <v>765884.97920000006</v>
      </c>
      <c r="J18" s="12">
        <v>116591</v>
      </c>
      <c r="K18" s="14">
        <f t="shared" ref="K18:K32" si="1">(H18+I18)-J18</f>
        <v>2102861.9791999999</v>
      </c>
    </row>
    <row r="19" spans="1:11" ht="18" customHeight="1">
      <c r="A19" s="6"/>
      <c r="B19" s="2" t="s">
        <v>23</v>
      </c>
      <c r="F19" s="11">
        <v>3218</v>
      </c>
      <c r="G19" s="11">
        <v>6243</v>
      </c>
      <c r="H19" s="12">
        <v>81505</v>
      </c>
      <c r="I19" s="13">
        <f t="shared" si="0"/>
        <v>42944.984500000006</v>
      </c>
      <c r="J19" s="12">
        <v>1085</v>
      </c>
      <c r="K19" s="14">
        <f t="shared" si="1"/>
        <v>123364.98450000001</v>
      </c>
    </row>
    <row r="20" spans="1:11" ht="18" customHeight="1">
      <c r="A20" s="6"/>
      <c r="B20" s="2" t="s">
        <v>24</v>
      </c>
      <c r="F20" s="11">
        <v>10412</v>
      </c>
      <c r="G20" s="11">
        <v>96157</v>
      </c>
      <c r="H20" s="12">
        <v>713252</v>
      </c>
      <c r="I20" s="13">
        <f t="shared" si="0"/>
        <v>375812.47880000004</v>
      </c>
      <c r="J20" s="12">
        <v>68450</v>
      </c>
      <c r="K20" s="14">
        <f t="shared" si="1"/>
        <v>1020614.4788000002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26713</v>
      </c>
      <c r="G22" s="11">
        <v>1900</v>
      </c>
      <c r="H22" s="12">
        <v>8334</v>
      </c>
      <c r="I22" s="13">
        <f t="shared" si="0"/>
        <v>4391.1846000000005</v>
      </c>
      <c r="J22" s="12">
        <v>201</v>
      </c>
      <c r="K22" s="14">
        <f t="shared" si="1"/>
        <v>12524.184600000001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16175</v>
      </c>
      <c r="G26" s="11">
        <v>37769</v>
      </c>
      <c r="H26" s="12">
        <v>1403505</v>
      </c>
      <c r="I26" s="13">
        <f t="shared" si="0"/>
        <v>739506.78450000007</v>
      </c>
      <c r="J26" s="12">
        <v>76857</v>
      </c>
      <c r="K26" s="14">
        <f t="shared" si="1"/>
        <v>2066154.7845000001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318</v>
      </c>
      <c r="C28" s="379"/>
      <c r="D28" s="380"/>
      <c r="F28" s="11">
        <v>440</v>
      </c>
      <c r="G28" s="11">
        <v>1383</v>
      </c>
      <c r="H28" s="12">
        <v>114778</v>
      </c>
      <c r="I28" s="13">
        <f t="shared" si="0"/>
        <v>60476.528200000001</v>
      </c>
      <c r="J28" s="12"/>
      <c r="K28" s="14">
        <f t="shared" si="1"/>
        <v>175254.5282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70041</v>
      </c>
      <c r="G34" s="19">
        <f t="shared" si="2"/>
        <v>194867</v>
      </c>
      <c r="H34" s="14">
        <f t="shared" si="2"/>
        <v>3774942</v>
      </c>
      <c r="I34" s="14">
        <f t="shared" si="2"/>
        <v>1989016.9398000003</v>
      </c>
      <c r="J34" s="14">
        <f t="shared" si="2"/>
        <v>263184</v>
      </c>
      <c r="K34" s="14">
        <f t="shared" si="2"/>
        <v>5500774.9397999989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2773</v>
      </c>
      <c r="G38" s="11">
        <v>462</v>
      </c>
      <c r="H38" s="12">
        <v>2149784</v>
      </c>
      <c r="I38" s="13">
        <f t="shared" ref="I38:I46" si="3">H38*F$116</f>
        <v>1132721.1896000002</v>
      </c>
      <c r="J38" s="12">
        <v>1376916</v>
      </c>
      <c r="K38" s="14">
        <f t="shared" ref="K38:K46" si="4">(H38+I38)-J38</f>
        <v>1905589.1896000002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f t="shared" si="3"/>
        <v>0</v>
      </c>
      <c r="J39" s="12"/>
      <c r="K39" s="14">
        <f t="shared" si="4"/>
        <v>0</v>
      </c>
    </row>
    <row r="40" spans="1:11" ht="18" customHeight="1">
      <c r="A40" s="6" t="s">
        <v>48</v>
      </c>
      <c r="B40" s="63" t="s">
        <v>49</v>
      </c>
      <c r="F40" s="11">
        <v>6611</v>
      </c>
      <c r="G40" s="11">
        <v>783</v>
      </c>
      <c r="H40" s="12">
        <v>240317</v>
      </c>
      <c r="I40" s="13">
        <f t="shared" si="3"/>
        <v>126623.0273</v>
      </c>
      <c r="J40" s="12"/>
      <c r="K40" s="14">
        <f t="shared" si="4"/>
        <v>366940.02730000002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f t="shared" si="3"/>
        <v>0</v>
      </c>
      <c r="J41" s="12"/>
      <c r="K41" s="14">
        <f t="shared" si="4"/>
        <v>0</v>
      </c>
    </row>
    <row r="42" spans="1:11" ht="18" customHeight="1">
      <c r="A42" s="6" t="s">
        <v>52</v>
      </c>
      <c r="B42" s="63" t="s">
        <v>53</v>
      </c>
      <c r="F42" s="11">
        <v>3480</v>
      </c>
      <c r="G42" s="11">
        <v>306</v>
      </c>
      <c r="H42" s="12">
        <v>108546</v>
      </c>
      <c r="I42" s="13">
        <f t="shared" si="3"/>
        <v>57192.887400000007</v>
      </c>
      <c r="J42" s="12">
        <v>18110</v>
      </c>
      <c r="K42" s="14">
        <f t="shared" si="4"/>
        <v>147628.88740000001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/>
      <c r="J43" s="12"/>
      <c r="K43" s="14">
        <f t="shared" si="4"/>
        <v>0</v>
      </c>
    </row>
    <row r="44" spans="1:11" ht="18" customHeight="1">
      <c r="A44" s="6" t="s">
        <v>55</v>
      </c>
      <c r="B44" s="378" t="s">
        <v>317</v>
      </c>
      <c r="C44" s="379"/>
      <c r="D44" s="380"/>
      <c r="F44" s="11">
        <v>1576</v>
      </c>
      <c r="G44" s="11">
        <v>131</v>
      </c>
      <c r="H44" s="12">
        <v>54909</v>
      </c>
      <c r="I44" s="13">
        <f>H44*F$116</f>
        <v>28931.552100000001</v>
      </c>
      <c r="J44" s="12"/>
      <c r="K44" s="14">
        <f t="shared" si="4"/>
        <v>83840.552100000001</v>
      </c>
    </row>
    <row r="45" spans="1:11" ht="18" customHeight="1">
      <c r="A45" s="6" t="s">
        <v>57</v>
      </c>
      <c r="B45" s="378" t="s">
        <v>316</v>
      </c>
      <c r="C45" s="379"/>
      <c r="D45" s="380"/>
      <c r="F45" s="11"/>
      <c r="G45" s="11"/>
      <c r="H45" s="12"/>
      <c r="I45" s="13">
        <f t="shared" si="3"/>
        <v>0</v>
      </c>
      <c r="J45" s="12"/>
      <c r="K45" s="14">
        <f t="shared" si="4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f t="shared" si="3"/>
        <v>0</v>
      </c>
      <c r="J46" s="12"/>
      <c r="K46" s="14">
        <f t="shared" si="4"/>
        <v>0</v>
      </c>
    </row>
    <row r="48" spans="1:11" ht="18" customHeight="1">
      <c r="E48" s="5" t="s">
        <v>41</v>
      </c>
      <c r="F48" s="25">
        <f t="shared" ref="F48:K48" si="5">SUM(F38:F46)</f>
        <v>14440</v>
      </c>
      <c r="G48" s="25">
        <f t="shared" si="5"/>
        <v>1682</v>
      </c>
      <c r="H48" s="14">
        <f t="shared" si="5"/>
        <v>2553556</v>
      </c>
      <c r="I48" s="14">
        <f t="shared" si="5"/>
        <v>1345468.6564000002</v>
      </c>
      <c r="J48" s="14">
        <f t="shared" si="5"/>
        <v>1395026</v>
      </c>
      <c r="K48" s="14">
        <f t="shared" si="5"/>
        <v>2503998.6564000002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315</v>
      </c>
      <c r="C52" s="385"/>
      <c r="D52" s="359"/>
      <c r="F52" s="11">
        <v>15391</v>
      </c>
      <c r="G52" s="11">
        <v>7735</v>
      </c>
      <c r="H52" s="12">
        <v>854395</v>
      </c>
      <c r="I52" s="13">
        <f t="shared" ref="I52:I61" si="6">H52*F$116</f>
        <v>450180.72550000006</v>
      </c>
      <c r="J52" s="12">
        <v>400251</v>
      </c>
      <c r="K52" s="14">
        <f t="shared" ref="K52:K61" si="7">(H52+I52)-J52</f>
        <v>904324.72550000018</v>
      </c>
    </row>
    <row r="53" spans="1:11" ht="18" customHeight="1">
      <c r="A53" s="6" t="s">
        <v>63</v>
      </c>
      <c r="B53" s="27" t="s">
        <v>314</v>
      </c>
      <c r="C53" s="28"/>
      <c r="D53" s="29"/>
      <c r="F53" s="11">
        <v>852</v>
      </c>
      <c r="G53" s="11">
        <v>341</v>
      </c>
      <c r="H53" s="12">
        <v>68473</v>
      </c>
      <c r="I53" s="13">
        <f t="shared" si="6"/>
        <v>36078.423699999999</v>
      </c>
      <c r="J53" s="12"/>
      <c r="K53" s="14">
        <f t="shared" si="7"/>
        <v>104551.4237</v>
      </c>
    </row>
    <row r="54" spans="1:11" ht="18" customHeight="1">
      <c r="A54" s="6" t="s">
        <v>65</v>
      </c>
      <c r="B54" s="381" t="s">
        <v>313</v>
      </c>
      <c r="C54" s="358"/>
      <c r="D54" s="359"/>
      <c r="F54" s="11"/>
      <c r="G54" s="11"/>
      <c r="H54" s="12">
        <v>1476859</v>
      </c>
      <c r="I54" s="13">
        <f t="shared" si="6"/>
        <v>778157.00710000005</v>
      </c>
      <c r="J54" s="12"/>
      <c r="K54" s="14">
        <f t="shared" si="7"/>
        <v>2255016.0071</v>
      </c>
    </row>
    <row r="55" spans="1:11" ht="18" customHeight="1">
      <c r="A55" s="6" t="s">
        <v>67</v>
      </c>
      <c r="B55" s="381" t="s">
        <v>312</v>
      </c>
      <c r="C55" s="358"/>
      <c r="D55" s="359"/>
      <c r="F55" s="11"/>
      <c r="G55" s="11"/>
      <c r="H55" s="12">
        <v>872926</v>
      </c>
      <c r="I55" s="13">
        <f t="shared" si="6"/>
        <v>459944.70940000005</v>
      </c>
      <c r="J55" s="12"/>
      <c r="K55" s="14">
        <f t="shared" si="7"/>
        <v>1332870.7094000001</v>
      </c>
    </row>
    <row r="56" spans="1:11" ht="18" customHeight="1">
      <c r="A56" s="6" t="s">
        <v>69</v>
      </c>
      <c r="B56" s="381" t="s">
        <v>311</v>
      </c>
      <c r="C56" s="358"/>
      <c r="D56" s="359"/>
      <c r="F56" s="11"/>
      <c r="G56" s="11">
        <v>4500</v>
      </c>
      <c r="H56" s="12">
        <v>662361</v>
      </c>
      <c r="I56" s="13">
        <f t="shared" si="6"/>
        <v>348998.01090000005</v>
      </c>
      <c r="J56" s="12">
        <v>344016</v>
      </c>
      <c r="K56" s="14">
        <f t="shared" si="7"/>
        <v>667343.01090000011</v>
      </c>
    </row>
    <row r="57" spans="1:11" ht="18" customHeight="1">
      <c r="A57" s="6" t="s">
        <v>71</v>
      </c>
      <c r="B57" s="27" t="s">
        <v>187</v>
      </c>
      <c r="C57" s="28"/>
      <c r="D57" s="29"/>
      <c r="F57" s="11"/>
      <c r="G57" s="11"/>
      <c r="H57" s="12">
        <v>72119</v>
      </c>
      <c r="I57" s="13">
        <f t="shared" si="6"/>
        <v>37999.501100000001</v>
      </c>
      <c r="J57" s="12"/>
      <c r="K57" s="14">
        <f t="shared" si="7"/>
        <v>110118.50109999999</v>
      </c>
    </row>
    <row r="58" spans="1:11" ht="18" customHeight="1">
      <c r="A58" s="6" t="s">
        <v>73</v>
      </c>
      <c r="B58" s="381" t="s">
        <v>310</v>
      </c>
      <c r="C58" s="358"/>
      <c r="D58" s="359"/>
      <c r="F58" s="11"/>
      <c r="G58" s="11"/>
      <c r="H58" s="12">
        <v>2184977</v>
      </c>
      <c r="I58" s="13">
        <f t="shared" si="6"/>
        <v>1151264.3813</v>
      </c>
      <c r="J58" s="12">
        <v>1076172</v>
      </c>
      <c r="K58" s="14">
        <f t="shared" si="7"/>
        <v>2260069.3813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f t="shared" si="6"/>
        <v>0</v>
      </c>
      <c r="J59" s="12"/>
      <c r="K59" s="14">
        <f t="shared" si="7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f t="shared" si="6"/>
        <v>0</v>
      </c>
      <c r="J60" s="12"/>
      <c r="K60" s="14">
        <f t="shared" si="7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f t="shared" si="6"/>
        <v>0</v>
      </c>
      <c r="J61" s="12"/>
      <c r="K61" s="14">
        <f t="shared" si="7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8">SUM(F52:F61)</f>
        <v>16243</v>
      </c>
      <c r="G63" s="19">
        <f t="shared" si="8"/>
        <v>12576</v>
      </c>
      <c r="H63" s="14">
        <f t="shared" si="8"/>
        <v>6192110</v>
      </c>
      <c r="I63" s="14">
        <f t="shared" si="8"/>
        <v>3262622.7590000005</v>
      </c>
      <c r="J63" s="14">
        <f t="shared" si="8"/>
        <v>1820439</v>
      </c>
      <c r="K63" s="14">
        <f t="shared" si="8"/>
        <v>7634293.7590000015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5431</v>
      </c>
      <c r="G67" s="34">
        <v>141</v>
      </c>
      <c r="H67" s="34">
        <v>305774</v>
      </c>
      <c r="I67" s="13">
        <f t="shared" ref="I67:I72" si="9">H67*F$116</f>
        <v>161112.32060000001</v>
      </c>
      <c r="J67" s="34"/>
      <c r="K67" s="14">
        <f t="shared" ref="K67:K72" si="10">(H67+I67)-J67</f>
        <v>466886.32059999998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f t="shared" si="9"/>
        <v>0</v>
      </c>
      <c r="J68" s="34"/>
      <c r="K68" s="14">
        <f t="shared" si="10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f t="shared" si="9"/>
        <v>0</v>
      </c>
      <c r="J69" s="12"/>
      <c r="K69" s="14">
        <f t="shared" si="10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f t="shared" si="9"/>
        <v>0</v>
      </c>
      <c r="J70" s="36"/>
      <c r="K70" s="14">
        <f t="shared" si="10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f t="shared" si="9"/>
        <v>0</v>
      </c>
      <c r="J71" s="36"/>
      <c r="K71" s="14">
        <f t="shared" si="10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f t="shared" si="9"/>
        <v>0</v>
      </c>
      <c r="J72" s="12"/>
      <c r="K72" s="14">
        <f t="shared" si="10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11">SUM(F67:F72)</f>
        <v>5431</v>
      </c>
      <c r="G74" s="43">
        <f t="shared" si="11"/>
        <v>141</v>
      </c>
      <c r="H74" s="43">
        <f t="shared" si="11"/>
        <v>305774</v>
      </c>
      <c r="I74" s="43">
        <f t="shared" si="11"/>
        <v>161112.32060000001</v>
      </c>
      <c r="J74" s="43">
        <f t="shared" si="11"/>
        <v>0</v>
      </c>
      <c r="K74" s="43">
        <f t="shared" si="11"/>
        <v>466886.32059999998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>
        <v>205</v>
      </c>
      <c r="H77" s="12">
        <v>37040</v>
      </c>
      <c r="I77" s="13">
        <v>0</v>
      </c>
      <c r="J77" s="12"/>
      <c r="K77" s="14">
        <f>(H77+I77)-J77</f>
        <v>37040</v>
      </c>
    </row>
    <row r="78" spans="1:11" ht="18" customHeight="1">
      <c r="A78" s="6" t="s">
        <v>93</v>
      </c>
      <c r="B78" s="63" t="s">
        <v>94</v>
      </c>
      <c r="F78" s="11"/>
      <c r="G78" s="11"/>
      <c r="H78" s="12">
        <v>25000</v>
      </c>
      <c r="I78" s="13">
        <v>0</v>
      </c>
      <c r="J78" s="12"/>
      <c r="K78" s="14">
        <f>(H78+I78)-J78</f>
        <v>25000</v>
      </c>
    </row>
    <row r="79" spans="1:11" ht="18" customHeight="1">
      <c r="A79" s="6" t="s">
        <v>95</v>
      </c>
      <c r="B79" s="63" t="s">
        <v>96</v>
      </c>
      <c r="F79" s="11"/>
      <c r="G79" s="11">
        <v>12116</v>
      </c>
      <c r="H79" s="12">
        <v>121182</v>
      </c>
      <c r="I79" s="13">
        <v>0</v>
      </c>
      <c r="J79" s="12"/>
      <c r="K79" s="14">
        <f>(H79+I79)-J79</f>
        <v>121182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f>H80*F$116</f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2">SUM(F77:F80)</f>
        <v>0</v>
      </c>
      <c r="G82" s="44">
        <f t="shared" si="12"/>
        <v>12321</v>
      </c>
      <c r="H82" s="45">
        <f t="shared" si="12"/>
        <v>183222</v>
      </c>
      <c r="I82" s="45">
        <f t="shared" si="12"/>
        <v>0</v>
      </c>
      <c r="J82" s="45">
        <f t="shared" si="12"/>
        <v>0</v>
      </c>
      <c r="K82" s="45">
        <f t="shared" si="12"/>
        <v>183222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3">H86*F$116</f>
        <v>0</v>
      </c>
      <c r="J86" s="12"/>
      <c r="K86" s="14">
        <f t="shared" ref="K86:K97" si="14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3"/>
        <v>0</v>
      </c>
      <c r="J87" s="12"/>
      <c r="K87" s="14">
        <f t="shared" si="14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3"/>
        <v>0</v>
      </c>
      <c r="J88" s="12"/>
      <c r="K88" s="14">
        <f t="shared" si="14"/>
        <v>0</v>
      </c>
    </row>
    <row r="89" spans="1:11" ht="18" customHeight="1">
      <c r="A89" s="6" t="s">
        <v>106</v>
      </c>
      <c r="B89" s="63" t="s">
        <v>107</v>
      </c>
      <c r="F89" s="11">
        <v>210</v>
      </c>
      <c r="G89" s="11">
        <v>210</v>
      </c>
      <c r="H89" s="12">
        <v>6125</v>
      </c>
      <c r="I89" s="13">
        <f t="shared" si="13"/>
        <v>3227.2625000000003</v>
      </c>
      <c r="J89" s="12"/>
      <c r="K89" s="14">
        <f t="shared" si="14"/>
        <v>9352.2625000000007</v>
      </c>
    </row>
    <row r="90" spans="1:11" ht="18" customHeight="1">
      <c r="A90" s="6" t="s">
        <v>108</v>
      </c>
      <c r="B90" s="386" t="s">
        <v>109</v>
      </c>
      <c r="C90" s="356"/>
      <c r="F90" s="11">
        <v>660</v>
      </c>
      <c r="G90" s="11"/>
      <c r="H90" s="12">
        <v>47809</v>
      </c>
      <c r="I90" s="13">
        <f t="shared" si="13"/>
        <v>25190.562100000003</v>
      </c>
      <c r="J90" s="12"/>
      <c r="K90" s="14">
        <f t="shared" si="14"/>
        <v>72999.56210000001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3"/>
        <v>0</v>
      </c>
      <c r="J91" s="12"/>
      <c r="K91" s="14">
        <f t="shared" si="14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3"/>
        <v>0</v>
      </c>
      <c r="J92" s="47"/>
      <c r="K92" s="14">
        <f t="shared" si="14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3"/>
        <v>0</v>
      </c>
      <c r="J93" s="12"/>
      <c r="K93" s="14">
        <f t="shared" si="14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3"/>
        <v>0</v>
      </c>
      <c r="J94" s="12"/>
      <c r="K94" s="14">
        <f t="shared" si="14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3"/>
        <v>0</v>
      </c>
      <c r="J95" s="12"/>
      <c r="K95" s="14">
        <f t="shared" si="14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3"/>
        <v>0</v>
      </c>
      <c r="J96" s="12"/>
      <c r="K96" s="14">
        <f t="shared" si="14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3"/>
        <v>0</v>
      </c>
      <c r="J97" s="12"/>
      <c r="K97" s="14">
        <f t="shared" si="14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5">SUM(F86:F97)</f>
        <v>870</v>
      </c>
      <c r="G99" s="19">
        <f t="shared" si="15"/>
        <v>210</v>
      </c>
      <c r="H99" s="19">
        <f t="shared" si="15"/>
        <v>53934</v>
      </c>
      <c r="I99" s="19">
        <f t="shared" si="15"/>
        <v>28417.824600000004</v>
      </c>
      <c r="J99" s="19">
        <f t="shared" si="15"/>
        <v>0</v>
      </c>
      <c r="K99" s="19">
        <f t="shared" si="15"/>
        <v>82351.824600000007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4038</v>
      </c>
      <c r="G103" s="11"/>
      <c r="H103" s="12">
        <v>267196</v>
      </c>
      <c r="I103" s="13">
        <f t="shared" ref="I103:I108" si="16">H103*F$116</f>
        <v>140785.5724</v>
      </c>
      <c r="J103" s="12"/>
      <c r="K103" s="14">
        <f t="shared" ref="K103:K108" si="17">(H103+I103)-J103</f>
        <v>407981.5724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6"/>
        <v>0</v>
      </c>
      <c r="J104" s="12"/>
      <c r="K104" s="14">
        <f t="shared" si="17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6"/>
        <v>0</v>
      </c>
      <c r="J105" s="12"/>
      <c r="K105" s="14">
        <f t="shared" si="17"/>
        <v>0</v>
      </c>
    </row>
    <row r="106" spans="1:11" ht="18" customHeight="1">
      <c r="A106" s="6" t="s">
        <v>125</v>
      </c>
      <c r="B106" s="381" t="s">
        <v>309</v>
      </c>
      <c r="C106" s="358"/>
      <c r="D106" s="359"/>
      <c r="F106" s="11">
        <v>71</v>
      </c>
      <c r="G106" s="11">
        <v>57</v>
      </c>
      <c r="H106" s="12">
        <v>6022</v>
      </c>
      <c r="I106" s="13">
        <f t="shared" si="16"/>
        <v>3172.9918000000002</v>
      </c>
      <c r="J106" s="12"/>
      <c r="K106" s="14">
        <f t="shared" si="17"/>
        <v>9194.9917999999998</v>
      </c>
    </row>
    <row r="107" spans="1:11" ht="18" customHeight="1">
      <c r="A107" s="6" t="s">
        <v>126</v>
      </c>
      <c r="B107" s="381" t="s">
        <v>308</v>
      </c>
      <c r="C107" s="358"/>
      <c r="D107" s="359"/>
      <c r="F107" s="11"/>
      <c r="G107" s="11"/>
      <c r="H107" s="12">
        <v>62178</v>
      </c>
      <c r="I107" s="13">
        <f t="shared" si="16"/>
        <v>32761.588200000002</v>
      </c>
      <c r="J107" s="12"/>
      <c r="K107" s="14">
        <f t="shared" si="17"/>
        <v>94939.588199999998</v>
      </c>
    </row>
    <row r="108" spans="1:11" ht="18" customHeight="1">
      <c r="A108" s="6" t="s">
        <v>127</v>
      </c>
      <c r="B108" s="381" t="s">
        <v>307</v>
      </c>
      <c r="C108" s="358"/>
      <c r="D108" s="359"/>
      <c r="F108" s="11"/>
      <c r="G108" s="11"/>
      <c r="H108" s="12">
        <v>546456</v>
      </c>
      <c r="I108" s="13">
        <f t="shared" si="16"/>
        <v>287927.66640000005</v>
      </c>
      <c r="J108" s="12"/>
      <c r="K108" s="14">
        <f t="shared" si="17"/>
        <v>834383.66639999999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8">SUM(F103:F108)</f>
        <v>4109</v>
      </c>
      <c r="G110" s="19">
        <f t="shared" si="18"/>
        <v>57</v>
      </c>
      <c r="H110" s="14">
        <f t="shared" si="18"/>
        <v>881852</v>
      </c>
      <c r="I110" s="14">
        <f t="shared" si="18"/>
        <v>464647.81880000001</v>
      </c>
      <c r="J110" s="14">
        <f t="shared" si="18"/>
        <v>0</v>
      </c>
      <c r="K110" s="14">
        <f t="shared" si="18"/>
        <v>1346499.8188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12358867.84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0.52690000000000003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372813682.93000001</v>
      </c>
    </row>
    <row r="120" spans="1:6" ht="18" customHeight="1">
      <c r="B120" s="2" t="s">
        <v>137</v>
      </c>
      <c r="F120" s="12">
        <v>13019186.98</v>
      </c>
    </row>
    <row r="121" spans="1:6" ht="18" customHeight="1">
      <c r="A121" s="6"/>
      <c r="B121" s="5" t="s">
        <v>138</v>
      </c>
      <c r="F121" s="12">
        <v>385832869.91000003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367349736.67000002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18483133.239999998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-18839365.859999999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155784.38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9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9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9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9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9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9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20">SUM(F133:F138)</f>
        <v>0</v>
      </c>
      <c r="G140" s="19">
        <f t="shared" si="20"/>
        <v>0</v>
      </c>
      <c r="H140" s="14">
        <f t="shared" si="20"/>
        <v>0</v>
      </c>
      <c r="I140" s="14">
        <f t="shared" si="20"/>
        <v>0</v>
      </c>
      <c r="J140" s="14">
        <f t="shared" si="20"/>
        <v>0</v>
      </c>
      <c r="K140" s="14">
        <f t="shared" si="20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21">F34</f>
        <v>70041</v>
      </c>
      <c r="G144" s="54">
        <f t="shared" si="21"/>
        <v>194867</v>
      </c>
      <c r="H144" s="54">
        <f t="shared" si="21"/>
        <v>3774942</v>
      </c>
      <c r="I144" s="54">
        <f t="shared" si="21"/>
        <v>1989016.9398000003</v>
      </c>
      <c r="J144" s="54">
        <f t="shared" si="21"/>
        <v>263184</v>
      </c>
      <c r="K144" s="54">
        <f t="shared" si="21"/>
        <v>5500774.9397999989</v>
      </c>
    </row>
    <row r="145" spans="1:11" ht="18" customHeight="1">
      <c r="A145" s="6" t="s">
        <v>162</v>
      </c>
      <c r="B145" s="5" t="s">
        <v>163</v>
      </c>
      <c r="F145" s="54">
        <f t="shared" ref="F145:K145" si="22">F48</f>
        <v>14440</v>
      </c>
      <c r="G145" s="54">
        <f t="shared" si="22"/>
        <v>1682</v>
      </c>
      <c r="H145" s="54">
        <f t="shared" si="22"/>
        <v>2553556</v>
      </c>
      <c r="I145" s="54">
        <f t="shared" si="22"/>
        <v>1345468.6564000002</v>
      </c>
      <c r="J145" s="54">
        <f t="shared" si="22"/>
        <v>1395026</v>
      </c>
      <c r="K145" s="54">
        <f t="shared" si="22"/>
        <v>2503998.6564000002</v>
      </c>
    </row>
    <row r="146" spans="1:11" ht="18" customHeight="1">
      <c r="A146" s="6" t="s">
        <v>164</v>
      </c>
      <c r="B146" s="5" t="s">
        <v>165</v>
      </c>
      <c r="F146" s="54">
        <f t="shared" ref="F146:K146" si="23">F63</f>
        <v>16243</v>
      </c>
      <c r="G146" s="54">
        <f t="shared" si="23"/>
        <v>12576</v>
      </c>
      <c r="H146" s="54">
        <f t="shared" si="23"/>
        <v>6192110</v>
      </c>
      <c r="I146" s="54">
        <f t="shared" si="23"/>
        <v>3262622.7590000005</v>
      </c>
      <c r="J146" s="54">
        <f t="shared" si="23"/>
        <v>1820439</v>
      </c>
      <c r="K146" s="54">
        <f t="shared" si="23"/>
        <v>7634293.7590000015</v>
      </c>
    </row>
    <row r="147" spans="1:11" ht="18" customHeight="1">
      <c r="A147" s="6" t="s">
        <v>166</v>
      </c>
      <c r="B147" s="5" t="s">
        <v>167</v>
      </c>
      <c r="F147" s="54">
        <f t="shared" ref="F147:K147" si="24">F74</f>
        <v>5431</v>
      </c>
      <c r="G147" s="54">
        <f t="shared" si="24"/>
        <v>141</v>
      </c>
      <c r="H147" s="54">
        <f t="shared" si="24"/>
        <v>305774</v>
      </c>
      <c r="I147" s="54">
        <f t="shared" si="24"/>
        <v>161112.32060000001</v>
      </c>
      <c r="J147" s="54">
        <f t="shared" si="24"/>
        <v>0</v>
      </c>
      <c r="K147" s="54">
        <f t="shared" si="24"/>
        <v>466886.32059999998</v>
      </c>
    </row>
    <row r="148" spans="1:11" ht="18" customHeight="1">
      <c r="A148" s="6" t="s">
        <v>168</v>
      </c>
      <c r="B148" s="5" t="s">
        <v>169</v>
      </c>
      <c r="F148" s="54">
        <f t="shared" ref="F148:K148" si="25">F82</f>
        <v>0</v>
      </c>
      <c r="G148" s="54">
        <f t="shared" si="25"/>
        <v>12321</v>
      </c>
      <c r="H148" s="54">
        <f t="shared" si="25"/>
        <v>183222</v>
      </c>
      <c r="I148" s="54">
        <f t="shared" si="25"/>
        <v>0</v>
      </c>
      <c r="J148" s="54">
        <f t="shared" si="25"/>
        <v>0</v>
      </c>
      <c r="K148" s="54">
        <f t="shared" si="25"/>
        <v>183222</v>
      </c>
    </row>
    <row r="149" spans="1:11" ht="18" customHeight="1">
      <c r="A149" s="6" t="s">
        <v>170</v>
      </c>
      <c r="B149" s="5" t="s">
        <v>171</v>
      </c>
      <c r="F149" s="54">
        <f t="shared" ref="F149:K149" si="26">F99</f>
        <v>870</v>
      </c>
      <c r="G149" s="54">
        <f t="shared" si="26"/>
        <v>210</v>
      </c>
      <c r="H149" s="54">
        <f t="shared" si="26"/>
        <v>53934</v>
      </c>
      <c r="I149" s="54">
        <f t="shared" si="26"/>
        <v>28417.824600000004</v>
      </c>
      <c r="J149" s="54">
        <f t="shared" si="26"/>
        <v>0</v>
      </c>
      <c r="K149" s="54">
        <f t="shared" si="26"/>
        <v>82351.824600000007</v>
      </c>
    </row>
    <row r="150" spans="1:11" ht="18" customHeight="1">
      <c r="A150" s="6" t="s">
        <v>172</v>
      </c>
      <c r="B150" s="5" t="s">
        <v>173</v>
      </c>
      <c r="F150" s="19">
        <f t="shared" ref="F150:K150" si="27">F110</f>
        <v>4109</v>
      </c>
      <c r="G150" s="19">
        <f t="shared" si="27"/>
        <v>57</v>
      </c>
      <c r="H150" s="19">
        <f t="shared" si="27"/>
        <v>881852</v>
      </c>
      <c r="I150" s="19">
        <f t="shared" si="27"/>
        <v>464647.81880000001</v>
      </c>
      <c r="J150" s="19">
        <f t="shared" si="27"/>
        <v>0</v>
      </c>
      <c r="K150" s="19">
        <f t="shared" si="27"/>
        <v>1346499.8188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12358867.84</v>
      </c>
    </row>
    <row r="152" spans="1:11" ht="18" customHeight="1">
      <c r="A152" s="6" t="s">
        <v>147</v>
      </c>
      <c r="B152" s="5" t="s">
        <v>177</v>
      </c>
      <c r="F152" s="19">
        <f t="shared" ref="F152:K152" si="28">F140</f>
        <v>0</v>
      </c>
      <c r="G152" s="19">
        <f t="shared" si="28"/>
        <v>0</v>
      </c>
      <c r="H152" s="19">
        <f t="shared" si="28"/>
        <v>0</v>
      </c>
      <c r="I152" s="19">
        <f t="shared" si="28"/>
        <v>0</v>
      </c>
      <c r="J152" s="19">
        <f t="shared" si="28"/>
        <v>0</v>
      </c>
      <c r="K152" s="19">
        <f t="shared" si="28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9">SUM(F144:F152)</f>
        <v>111134</v>
      </c>
      <c r="G154" s="60">
        <f t="shared" si="29"/>
        <v>221854</v>
      </c>
      <c r="H154" s="60">
        <f t="shared" si="29"/>
        <v>13945390</v>
      </c>
      <c r="I154" s="60">
        <f t="shared" si="29"/>
        <v>7251286.3192000017</v>
      </c>
      <c r="J154" s="60">
        <f t="shared" si="29"/>
        <v>3478649</v>
      </c>
      <c r="K154" s="61">
        <f t="shared" si="29"/>
        <v>30076895.159199998</v>
      </c>
    </row>
    <row r="156" spans="1:11" ht="18" customHeight="1">
      <c r="B156" s="5" t="s">
        <v>178</v>
      </c>
      <c r="F156" s="233">
        <f>K154/F123</f>
        <v>8.1875368774849203E-2</v>
      </c>
    </row>
    <row r="157" spans="1:11" ht="18" customHeight="1">
      <c r="B157" s="5" t="s">
        <v>179</v>
      </c>
      <c r="F157" s="233">
        <f>K154/F129</f>
        <v>193.06746388309276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B104:C104"/>
    <mergeCell ref="B137:D137"/>
    <mergeCell ref="B138:D138"/>
    <mergeCell ref="B136:D136"/>
    <mergeCell ref="B106:D106"/>
    <mergeCell ref="B107:D107"/>
    <mergeCell ref="B108:D108"/>
  </mergeCells>
  <hyperlinks>
    <hyperlink ref="C11" r:id="rId1"/>
  </hyperlinks>
  <printOptions headings="1" gridLines="1"/>
  <pageMargins left="0.17" right="0.16" top="0.35" bottom="0.32" header="0.17" footer="0.17"/>
  <pageSetup scale="60" fitToHeight="3" orientation="landscape" r:id="rId2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8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338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337</v>
      </c>
      <c r="D6" s="366"/>
      <c r="E6" s="366"/>
      <c r="F6" s="366"/>
      <c r="G6" s="367"/>
    </row>
    <row r="7" spans="1:11" ht="18" customHeight="1">
      <c r="B7" s="6" t="s">
        <v>5</v>
      </c>
      <c r="C7" s="368"/>
      <c r="D7" s="369"/>
      <c r="E7" s="369"/>
      <c r="F7" s="369"/>
      <c r="G7" s="370"/>
    </row>
    <row r="9" spans="1:11" ht="18" customHeight="1">
      <c r="B9" s="6" t="s">
        <v>6</v>
      </c>
      <c r="C9" s="387" t="s">
        <v>336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335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334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10091.5</v>
      </c>
      <c r="G18" s="11">
        <v>251153</v>
      </c>
      <c r="H18" s="12">
        <v>997805.94784000004</v>
      </c>
      <c r="I18" s="13">
        <f t="shared" ref="I18:I32" si="0">H18*F$116</f>
        <v>518826.11062942242</v>
      </c>
      <c r="J18" s="12">
        <v>366039</v>
      </c>
      <c r="K18" s="14">
        <f t="shared" ref="K18:K32" si="1">(H18+I18)-J18</f>
        <v>1150593.0584694224</v>
      </c>
    </row>
    <row r="19" spans="1:11" ht="18" customHeight="1">
      <c r="A19" s="6"/>
      <c r="B19" s="2" t="s">
        <v>23</v>
      </c>
      <c r="F19" s="11">
        <v>237</v>
      </c>
      <c r="G19" s="11">
        <v>1185</v>
      </c>
      <c r="H19" s="12">
        <v>11252.502655</v>
      </c>
      <c r="I19" s="13">
        <f t="shared" si="0"/>
        <v>5850.9294316985251</v>
      </c>
      <c r="J19" s="12">
        <v>0</v>
      </c>
      <c r="K19" s="14">
        <f t="shared" si="1"/>
        <v>17103.432086698525</v>
      </c>
    </row>
    <row r="20" spans="1:11" ht="18" customHeight="1">
      <c r="A20" s="6"/>
      <c r="B20" s="2" t="s">
        <v>24</v>
      </c>
      <c r="F20" s="11">
        <v>155</v>
      </c>
      <c r="G20" s="11">
        <v>368</v>
      </c>
      <c r="H20" s="12">
        <v>9055</v>
      </c>
      <c r="I20" s="13">
        <f t="shared" si="0"/>
        <v>4708.3006890461511</v>
      </c>
      <c r="J20" s="12">
        <v>3406</v>
      </c>
      <c r="K20" s="14">
        <f t="shared" si="1"/>
        <v>10357.300689046151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3319</v>
      </c>
      <c r="G22" s="11">
        <v>8074</v>
      </c>
      <c r="H22" s="12">
        <v>193984.52611000001</v>
      </c>
      <c r="I22" s="13">
        <f t="shared" si="0"/>
        <v>100865.54146305953</v>
      </c>
      <c r="J22" s="12">
        <v>72453</v>
      </c>
      <c r="K22" s="14">
        <f t="shared" si="1"/>
        <v>222397.06757305952</v>
      </c>
    </row>
    <row r="23" spans="1:11" ht="18" customHeight="1">
      <c r="A23" s="6"/>
      <c r="B23" s="2" t="s">
        <v>28</v>
      </c>
      <c r="F23" s="11">
        <v>36</v>
      </c>
      <c r="G23" s="11">
        <v>70</v>
      </c>
      <c r="H23" s="12">
        <v>840.97800000000007</v>
      </c>
      <c r="I23" s="13">
        <f t="shared" si="0"/>
        <v>437.28076166456702</v>
      </c>
      <c r="J23" s="12">
        <v>0</v>
      </c>
      <c r="K23" s="14">
        <f t="shared" si="1"/>
        <v>1278.2587616645671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2608</v>
      </c>
      <c r="G26" s="11">
        <v>2937</v>
      </c>
      <c r="H26" s="12">
        <v>281927.02</v>
      </c>
      <c r="I26" s="13">
        <f t="shared" si="0"/>
        <v>146592.73136683911</v>
      </c>
      <c r="J26" s="12">
        <v>17139</v>
      </c>
      <c r="K26" s="14">
        <f t="shared" si="1"/>
        <v>411380.75136683916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16446.5</v>
      </c>
      <c r="G34" s="19">
        <f t="shared" si="2"/>
        <v>263787</v>
      </c>
      <c r="H34" s="14">
        <f t="shared" si="2"/>
        <v>1494865.9746049999</v>
      </c>
      <c r="I34" s="14">
        <f t="shared" si="2"/>
        <v>777280.8943417304</v>
      </c>
      <c r="J34" s="14">
        <f t="shared" si="2"/>
        <v>459037</v>
      </c>
      <c r="K34" s="14">
        <f t="shared" si="2"/>
        <v>1813109.8689467302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119.08</v>
      </c>
      <c r="G39" s="11">
        <v>0</v>
      </c>
      <c r="H39" s="12">
        <v>402499.53768960002</v>
      </c>
      <c r="I39" s="13">
        <v>0</v>
      </c>
      <c r="J39" s="12">
        <v>0</v>
      </c>
      <c r="K39" s="14">
        <f t="shared" si="3"/>
        <v>402499.53768960002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1670</v>
      </c>
      <c r="G41" s="11">
        <v>28</v>
      </c>
      <c r="H41" s="12">
        <v>58825.710284999994</v>
      </c>
      <c r="I41" s="13">
        <v>0</v>
      </c>
      <c r="J41" s="12">
        <v>0</v>
      </c>
      <c r="K41" s="14">
        <f t="shared" si="3"/>
        <v>58825.710284999994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1789.08</v>
      </c>
      <c r="G48" s="25">
        <f t="shared" si="4"/>
        <v>28</v>
      </c>
      <c r="H48" s="14">
        <f t="shared" si="4"/>
        <v>461325.2479746</v>
      </c>
      <c r="I48" s="14">
        <f t="shared" si="4"/>
        <v>0</v>
      </c>
      <c r="J48" s="14">
        <f t="shared" si="4"/>
        <v>0</v>
      </c>
      <c r="K48" s="14">
        <f t="shared" si="4"/>
        <v>461325.2479746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333</v>
      </c>
      <c r="C52" s="385"/>
      <c r="D52" s="359"/>
      <c r="F52" s="11"/>
      <c r="G52" s="11"/>
      <c r="H52" s="12">
        <v>2532842</v>
      </c>
      <c r="I52" s="13">
        <v>0</v>
      </c>
      <c r="J52" s="12">
        <v>0</v>
      </c>
      <c r="K52" s="14">
        <f t="shared" ref="K52:K61" si="5">(H52+I52)-J52</f>
        <v>2532842</v>
      </c>
    </row>
    <row r="53" spans="1:11" ht="18" customHeight="1">
      <c r="A53" s="6" t="s">
        <v>63</v>
      </c>
      <c r="B53" s="27" t="s">
        <v>332</v>
      </c>
      <c r="C53" s="28"/>
      <c r="D53" s="29"/>
      <c r="F53" s="11"/>
      <c r="G53" s="11"/>
      <c r="H53" s="12">
        <v>1162800</v>
      </c>
      <c r="I53" s="13">
        <v>0</v>
      </c>
      <c r="J53" s="12">
        <v>0</v>
      </c>
      <c r="K53" s="14">
        <f t="shared" si="5"/>
        <v>1162800</v>
      </c>
    </row>
    <row r="54" spans="1:11" ht="18" customHeight="1">
      <c r="A54" s="6" t="s">
        <v>65</v>
      </c>
      <c r="B54" s="381" t="s">
        <v>331</v>
      </c>
      <c r="C54" s="358"/>
      <c r="D54" s="359"/>
      <c r="F54" s="11"/>
      <c r="G54" s="11"/>
      <c r="H54" s="12">
        <v>216667</v>
      </c>
      <c r="I54" s="13">
        <v>0</v>
      </c>
      <c r="J54" s="12">
        <v>0</v>
      </c>
      <c r="K54" s="14">
        <f t="shared" si="5"/>
        <v>216667</v>
      </c>
    </row>
    <row r="55" spans="1:11" ht="18" customHeight="1">
      <c r="A55" s="6" t="s">
        <v>67</v>
      </c>
      <c r="B55" s="381" t="s">
        <v>330</v>
      </c>
      <c r="C55" s="358"/>
      <c r="D55" s="359"/>
      <c r="F55" s="11"/>
      <c r="G55" s="11"/>
      <c r="H55" s="12">
        <v>214750</v>
      </c>
      <c r="I55" s="13">
        <v>0</v>
      </c>
      <c r="J55" s="12">
        <v>0</v>
      </c>
      <c r="K55" s="14">
        <f t="shared" si="5"/>
        <v>214750</v>
      </c>
    </row>
    <row r="56" spans="1:11" ht="18" customHeight="1">
      <c r="A56" s="6" t="s">
        <v>69</v>
      </c>
      <c r="B56" s="381" t="s">
        <v>329</v>
      </c>
      <c r="C56" s="358"/>
      <c r="D56" s="359"/>
      <c r="F56" s="11"/>
      <c r="G56" s="11"/>
      <c r="H56" s="12">
        <v>461446</v>
      </c>
      <c r="I56" s="13">
        <v>0</v>
      </c>
      <c r="J56" s="12">
        <v>0</v>
      </c>
      <c r="K56" s="14">
        <f t="shared" si="5"/>
        <v>461446</v>
      </c>
    </row>
    <row r="57" spans="1:11" ht="18" customHeight="1">
      <c r="A57" s="6" t="s">
        <v>71</v>
      </c>
      <c r="B57" s="27" t="s">
        <v>328</v>
      </c>
      <c r="C57" s="28"/>
      <c r="D57" s="29"/>
      <c r="F57" s="11"/>
      <c r="G57" s="11"/>
      <c r="H57" s="12">
        <v>791618</v>
      </c>
      <c r="I57" s="13">
        <v>0</v>
      </c>
      <c r="J57" s="12">
        <v>0</v>
      </c>
      <c r="K57" s="14">
        <f t="shared" si="5"/>
        <v>791618</v>
      </c>
    </row>
    <row r="58" spans="1:11" ht="18" customHeight="1">
      <c r="A58" s="6" t="s">
        <v>73</v>
      </c>
      <c r="B58" s="381" t="s">
        <v>327</v>
      </c>
      <c r="C58" s="358"/>
      <c r="D58" s="359"/>
      <c r="F58" s="11"/>
      <c r="G58" s="11"/>
      <c r="H58" s="12">
        <v>1110890</v>
      </c>
      <c r="I58" s="13">
        <v>0</v>
      </c>
      <c r="J58" s="12">
        <v>0</v>
      </c>
      <c r="K58" s="14">
        <f t="shared" si="5"/>
        <v>1110890</v>
      </c>
    </row>
    <row r="59" spans="1:11" ht="18" customHeight="1">
      <c r="A59" s="6" t="s">
        <v>75</v>
      </c>
      <c r="B59" s="381" t="s">
        <v>326</v>
      </c>
      <c r="C59" s="358"/>
      <c r="D59" s="359"/>
      <c r="F59" s="11">
        <v>416</v>
      </c>
      <c r="G59" s="11">
        <v>16235</v>
      </c>
      <c r="H59" s="12">
        <v>24293</v>
      </c>
      <c r="I59" s="13">
        <v>0</v>
      </c>
      <c r="J59" s="12">
        <v>0</v>
      </c>
      <c r="K59" s="14">
        <f t="shared" si="5"/>
        <v>24293</v>
      </c>
    </row>
    <row r="60" spans="1:11" ht="18" customHeight="1">
      <c r="A60" s="6" t="s">
        <v>76</v>
      </c>
      <c r="B60" s="27" t="s">
        <v>325</v>
      </c>
      <c r="C60" s="28"/>
      <c r="D60" s="29"/>
      <c r="F60" s="11">
        <v>0</v>
      </c>
      <c r="G60" s="11">
        <v>863</v>
      </c>
      <c r="H60" s="12">
        <v>23560</v>
      </c>
      <c r="I60" s="13">
        <v>0</v>
      </c>
      <c r="J60" s="12">
        <v>0</v>
      </c>
      <c r="K60" s="14">
        <f t="shared" si="5"/>
        <v>23560</v>
      </c>
    </row>
    <row r="61" spans="1:11" ht="18" customHeight="1">
      <c r="A61" s="6" t="s">
        <v>77</v>
      </c>
      <c r="B61" s="27" t="s">
        <v>324</v>
      </c>
      <c r="C61" s="28"/>
      <c r="D61" s="29"/>
      <c r="F61" s="11">
        <v>2704</v>
      </c>
      <c r="G61" s="11">
        <v>1190</v>
      </c>
      <c r="H61" s="12">
        <v>444035</v>
      </c>
      <c r="I61" s="13">
        <v>0</v>
      </c>
      <c r="J61" s="12">
        <v>0</v>
      </c>
      <c r="K61" s="14">
        <f t="shared" si="5"/>
        <v>444035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3120</v>
      </c>
      <c r="G63" s="19">
        <f t="shared" si="6"/>
        <v>18288</v>
      </c>
      <c r="H63" s="14">
        <f t="shared" si="6"/>
        <v>6982901</v>
      </c>
      <c r="I63" s="14">
        <f t="shared" si="6"/>
        <v>0</v>
      </c>
      <c r="J63" s="14">
        <f t="shared" si="6"/>
        <v>0</v>
      </c>
      <c r="K63" s="14">
        <f t="shared" si="6"/>
        <v>6982901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20</v>
      </c>
      <c r="G77" s="11">
        <v>1500</v>
      </c>
      <c r="H77" s="12">
        <v>765953.50520000001</v>
      </c>
      <c r="I77" s="13">
        <v>0</v>
      </c>
      <c r="J77" s="12">
        <v>219875</v>
      </c>
      <c r="K77" s="14">
        <f>(H77+I77)-J77</f>
        <v>546078.50520000001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16</v>
      </c>
      <c r="G79" s="11">
        <v>13260</v>
      </c>
      <c r="H79" s="12">
        <v>330724.41000000003</v>
      </c>
      <c r="I79" s="13">
        <v>0</v>
      </c>
      <c r="J79" s="12">
        <v>0</v>
      </c>
      <c r="K79" s="14">
        <f>(H79+I79)-J79</f>
        <v>330724.41000000003</v>
      </c>
    </row>
    <row r="80" spans="1:11" ht="18" customHeight="1">
      <c r="A80" s="6" t="s">
        <v>93</v>
      </c>
      <c r="B80" s="63" t="s">
        <v>97</v>
      </c>
      <c r="F80" s="11"/>
      <c r="G80" s="11"/>
      <c r="H80" s="12">
        <v>250000</v>
      </c>
      <c r="I80" s="13">
        <v>44519.593172727647</v>
      </c>
      <c r="J80" s="12"/>
      <c r="K80" s="14">
        <f>(H80+I80)-J80</f>
        <v>294519.59317272762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36</v>
      </c>
      <c r="G82" s="44">
        <f t="shared" si="9"/>
        <v>14760</v>
      </c>
      <c r="H82" s="45">
        <f t="shared" si="9"/>
        <v>1346677.9152000002</v>
      </c>
      <c r="I82" s="45">
        <f t="shared" si="9"/>
        <v>44519.593172727647</v>
      </c>
      <c r="J82" s="45">
        <f t="shared" si="9"/>
        <v>219875</v>
      </c>
      <c r="K82" s="45">
        <f t="shared" si="9"/>
        <v>1171322.5083727278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12</v>
      </c>
      <c r="G86" s="11">
        <v>180000</v>
      </c>
      <c r="H86" s="12">
        <v>100530.64312000001</v>
      </c>
      <c r="I86" s="13">
        <f t="shared" ref="I86:I97" si="10">H86*F$116</f>
        <v>52272.611404986055</v>
      </c>
      <c r="J86" s="12">
        <v>0</v>
      </c>
      <c r="K86" s="14">
        <f t="shared" ref="K86:K97" si="11">(H86+I86)-J86</f>
        <v>152803.25452498606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958</v>
      </c>
      <c r="G88" s="11">
        <v>0</v>
      </c>
      <c r="H88" s="12">
        <v>90206.750899999999</v>
      </c>
      <c r="I88" s="13">
        <f t="shared" si="10"/>
        <v>46904.528704482</v>
      </c>
      <c r="J88" s="12"/>
      <c r="K88" s="14">
        <f t="shared" si="11"/>
        <v>137111.279604482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54</v>
      </c>
      <c r="G93" s="11">
        <v>255</v>
      </c>
      <c r="H93" s="12">
        <v>42258.54232</v>
      </c>
      <c r="I93" s="13">
        <f t="shared" si="10"/>
        <v>21973.045159949412</v>
      </c>
      <c r="J93" s="12">
        <v>0</v>
      </c>
      <c r="K93" s="14">
        <f t="shared" si="11"/>
        <v>64231.587479949412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323</v>
      </c>
      <c r="C95" s="358"/>
      <c r="D95" s="359"/>
      <c r="F95" s="11">
        <v>27.5</v>
      </c>
      <c r="G95" s="11">
        <v>0</v>
      </c>
      <c r="H95" s="12">
        <v>19294.689650000004</v>
      </c>
      <c r="I95" s="13">
        <f t="shared" si="10"/>
        <v>10032.600836446898</v>
      </c>
      <c r="J95" s="12">
        <v>0</v>
      </c>
      <c r="K95" s="14">
        <f t="shared" si="11"/>
        <v>29327.290486446902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1051.5</v>
      </c>
      <c r="G99" s="19">
        <f t="shared" si="12"/>
        <v>180255</v>
      </c>
      <c r="H99" s="19">
        <f t="shared" si="12"/>
        <v>252290.62599000003</v>
      </c>
      <c r="I99" s="19">
        <f t="shared" si="12"/>
        <v>131182.78610586436</v>
      </c>
      <c r="J99" s="19">
        <f t="shared" si="12"/>
        <v>0</v>
      </c>
      <c r="K99" s="19">
        <f t="shared" si="12"/>
        <v>383473.4120958643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152</v>
      </c>
      <c r="G103" s="11"/>
      <c r="H103" s="12">
        <v>9435.9599999999991</v>
      </c>
      <c r="I103" s="13">
        <f t="shared" ref="I103:I108" si="13">H103*F$116</f>
        <v>4906.3872965004875</v>
      </c>
      <c r="J103" s="12"/>
      <c r="K103" s="14">
        <f t="shared" ref="K103:K108" si="14">(H103+I103)-J103</f>
        <v>14342.347296500488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152</v>
      </c>
      <c r="G110" s="19">
        <f t="shared" si="15"/>
        <v>0</v>
      </c>
      <c r="H110" s="14">
        <f t="shared" si="15"/>
        <v>9435.9599999999991</v>
      </c>
      <c r="I110" s="14">
        <f t="shared" si="15"/>
        <v>4906.3872965004875</v>
      </c>
      <c r="J110" s="14">
        <f t="shared" si="15"/>
        <v>0</v>
      </c>
      <c r="K110" s="14">
        <f t="shared" si="15"/>
        <v>14342.347296500488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1665942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0.5199669452287301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214332000</v>
      </c>
    </row>
    <row r="120" spans="1:6" ht="18" customHeight="1">
      <c r="B120" s="2" t="s">
        <v>137</v>
      </c>
      <c r="F120" s="12">
        <v>4198000</v>
      </c>
    </row>
    <row r="121" spans="1:6" ht="18" customHeight="1">
      <c r="A121" s="6"/>
      <c r="B121" s="5" t="s">
        <v>138</v>
      </c>
      <c r="F121" s="12">
        <v>218530000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207441000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11089000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6086000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5003000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16446.5</v>
      </c>
      <c r="G144" s="54">
        <f t="shared" si="18"/>
        <v>263787</v>
      </c>
      <c r="H144" s="54">
        <f t="shared" si="18"/>
        <v>1494865.9746049999</v>
      </c>
      <c r="I144" s="54">
        <f t="shared" si="18"/>
        <v>777280.8943417304</v>
      </c>
      <c r="J144" s="54">
        <f t="shared" si="18"/>
        <v>459037</v>
      </c>
      <c r="K144" s="54">
        <f t="shared" si="18"/>
        <v>1813109.8689467302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1789.08</v>
      </c>
      <c r="G145" s="54">
        <f t="shared" si="19"/>
        <v>28</v>
      </c>
      <c r="H145" s="54">
        <f t="shared" si="19"/>
        <v>461325.2479746</v>
      </c>
      <c r="I145" s="54">
        <f t="shared" si="19"/>
        <v>0</v>
      </c>
      <c r="J145" s="54">
        <f t="shared" si="19"/>
        <v>0</v>
      </c>
      <c r="K145" s="54">
        <f t="shared" si="19"/>
        <v>461325.2479746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3120</v>
      </c>
      <c r="G146" s="54">
        <f t="shared" si="20"/>
        <v>18288</v>
      </c>
      <c r="H146" s="54">
        <f t="shared" si="20"/>
        <v>6982901</v>
      </c>
      <c r="I146" s="54">
        <f t="shared" si="20"/>
        <v>0</v>
      </c>
      <c r="J146" s="54">
        <f t="shared" si="20"/>
        <v>0</v>
      </c>
      <c r="K146" s="54">
        <f t="shared" si="20"/>
        <v>6982901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36</v>
      </c>
      <c r="G148" s="54">
        <f t="shared" si="22"/>
        <v>14760</v>
      </c>
      <c r="H148" s="54">
        <f t="shared" si="22"/>
        <v>1346677.9152000002</v>
      </c>
      <c r="I148" s="54">
        <f t="shared" si="22"/>
        <v>44519.593172727647</v>
      </c>
      <c r="J148" s="54">
        <f t="shared" si="22"/>
        <v>219875</v>
      </c>
      <c r="K148" s="54">
        <f t="shared" si="22"/>
        <v>1171322.5083727278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1051.5</v>
      </c>
      <c r="G149" s="54">
        <f t="shared" si="23"/>
        <v>180255</v>
      </c>
      <c r="H149" s="54">
        <f t="shared" si="23"/>
        <v>252290.62599000003</v>
      </c>
      <c r="I149" s="54">
        <f t="shared" si="23"/>
        <v>131182.78610586436</v>
      </c>
      <c r="J149" s="54">
        <f t="shared" si="23"/>
        <v>0</v>
      </c>
      <c r="K149" s="54">
        <f t="shared" si="23"/>
        <v>383473.4120958643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152</v>
      </c>
      <c r="G150" s="19">
        <f t="shared" si="24"/>
        <v>0</v>
      </c>
      <c r="H150" s="19">
        <f t="shared" si="24"/>
        <v>9435.9599999999991</v>
      </c>
      <c r="I150" s="19">
        <f t="shared" si="24"/>
        <v>4906.3872965004875</v>
      </c>
      <c r="J150" s="19">
        <f t="shared" si="24"/>
        <v>0</v>
      </c>
      <c r="K150" s="19">
        <f t="shared" si="24"/>
        <v>14342.347296500488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1665942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22595.08</v>
      </c>
      <c r="G154" s="60">
        <f t="shared" si="26"/>
        <v>477118</v>
      </c>
      <c r="H154" s="60">
        <f t="shared" si="26"/>
        <v>10547496.723769601</v>
      </c>
      <c r="I154" s="60">
        <f t="shared" si="26"/>
        <v>957889.66091682285</v>
      </c>
      <c r="J154" s="60">
        <f t="shared" si="26"/>
        <v>678912</v>
      </c>
      <c r="K154" s="61">
        <f t="shared" si="26"/>
        <v>12492416.384686423</v>
      </c>
    </row>
    <row r="156" spans="1:11" ht="18" customHeight="1">
      <c r="B156" s="5" t="s">
        <v>178</v>
      </c>
      <c r="F156" s="233">
        <f>K154/F123</f>
        <v>6.0221539544672575E-2</v>
      </c>
    </row>
    <row r="157" spans="1:11" ht="18" customHeight="1">
      <c r="B157" s="5" t="s">
        <v>179</v>
      </c>
      <c r="F157" s="233">
        <f>K154/F129</f>
        <v>2.4969850858857532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37:D137"/>
    <mergeCell ref="B96:D96"/>
    <mergeCell ref="B104:C104"/>
    <mergeCell ref="B59:D59"/>
    <mergeCell ref="B138:D138"/>
    <mergeCell ref="B136:D136"/>
    <mergeCell ref="B106:D106"/>
    <mergeCell ref="B58:D58"/>
    <mergeCell ref="B107:D107"/>
    <mergeCell ref="B108:D108"/>
    <mergeCell ref="B95:D95"/>
    <mergeCell ref="B97:D97"/>
    <mergeCell ref="B90:C90"/>
    <mergeCell ref="B56:D56"/>
    <mergeCell ref="B51:C51"/>
    <mergeCell ref="B45:D45"/>
    <mergeCell ref="B46:D46"/>
    <mergeCell ref="B32:D32"/>
    <mergeCell ref="B52:D52"/>
    <mergeCell ref="B54:D54"/>
    <mergeCell ref="B55:D55"/>
    <mergeCell ref="B28:D28"/>
    <mergeCell ref="B29:D29"/>
    <mergeCell ref="D2:H2"/>
    <mergeCell ref="B44:D44"/>
    <mergeCell ref="C5:G5"/>
    <mergeCell ref="C6:G6"/>
    <mergeCell ref="C7:G7"/>
    <mergeCell ref="C9:G9"/>
    <mergeCell ref="C11:G11"/>
    <mergeCell ref="B39:C39"/>
    <mergeCell ref="B13:H13"/>
    <mergeCell ref="C10:G10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&amp;C&amp;P of &amp;N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K179"/>
  <sheetViews>
    <sheetView view="pageBreakPreview" zoomScale="60" zoomScaleNormal="75" workbookViewId="0">
      <selection activeCell="K144" sqref="K144"/>
    </sheetView>
  </sheetViews>
  <sheetFormatPr defaultRowHeight="18" customHeight="1"/>
  <cols>
    <col min="1" max="1" width="4.7109375" style="130" customWidth="1"/>
    <col min="2" max="2" width="55.28515625" style="129" customWidth="1"/>
    <col min="3" max="3" width="9.7109375" style="129" customWidth="1"/>
    <col min="4" max="4" width="9.140625" style="129"/>
    <col min="5" max="5" width="10.5703125" style="129" customWidth="1"/>
    <col min="6" max="6" width="22" style="129" bestFit="1" customWidth="1"/>
    <col min="7" max="7" width="23.42578125" style="129" customWidth="1"/>
    <col min="8" max="8" width="21" style="129" customWidth="1"/>
    <col min="9" max="9" width="22.7109375" style="129" customWidth="1"/>
    <col min="10" max="10" width="19.140625" style="129" customWidth="1"/>
    <col min="11" max="11" width="20.85546875" style="129" customWidth="1"/>
    <col min="12" max="16384" width="9.140625" style="129"/>
  </cols>
  <sheetData>
    <row r="1" spans="1:11" ht="18" customHeight="1">
      <c r="C1" s="207"/>
      <c r="D1" s="208"/>
      <c r="E1" s="207"/>
      <c r="F1" s="207"/>
      <c r="G1" s="207"/>
      <c r="H1" s="207"/>
      <c r="I1" s="207"/>
      <c r="J1" s="207"/>
      <c r="K1" s="207"/>
    </row>
    <row r="2" spans="1:11" ht="18" customHeight="1">
      <c r="D2" s="216" t="s">
        <v>0</v>
      </c>
      <c r="E2" s="215"/>
      <c r="F2" s="215"/>
      <c r="G2" s="215"/>
      <c r="H2" s="215"/>
    </row>
    <row r="3" spans="1:11" ht="20.25" customHeight="1">
      <c r="B3" s="132" t="s">
        <v>1</v>
      </c>
      <c r="I3" s="214"/>
    </row>
    <row r="5" spans="1:11" ht="18" customHeight="1">
      <c r="B5" s="141" t="s">
        <v>2</v>
      </c>
      <c r="C5" s="212" t="s">
        <v>375</v>
      </c>
      <c r="D5" s="211"/>
      <c r="E5" s="211"/>
      <c r="F5" s="211"/>
      <c r="G5" s="210"/>
    </row>
    <row r="6" spans="1:11" ht="18" customHeight="1">
      <c r="B6" s="141" t="s">
        <v>4</v>
      </c>
      <c r="C6" s="212" t="s">
        <v>374</v>
      </c>
      <c r="D6" s="211"/>
      <c r="E6" s="211"/>
      <c r="F6" s="211"/>
      <c r="G6" s="210"/>
    </row>
    <row r="7" spans="1:11" ht="18" customHeight="1">
      <c r="B7" s="141" t="s">
        <v>5</v>
      </c>
      <c r="C7" s="212" t="s">
        <v>373</v>
      </c>
      <c r="D7" s="211"/>
      <c r="E7" s="211"/>
      <c r="F7" s="211"/>
      <c r="G7" s="210"/>
    </row>
    <row r="8" spans="1:11" ht="18" customHeight="1">
      <c r="C8" s="213"/>
      <c r="D8" s="213"/>
      <c r="E8" s="213"/>
      <c r="F8" s="213"/>
      <c r="G8" s="213"/>
    </row>
    <row r="9" spans="1:11" ht="18" customHeight="1">
      <c r="B9" s="141" t="s">
        <v>6</v>
      </c>
      <c r="C9" s="212" t="s">
        <v>372</v>
      </c>
      <c r="D9" s="211"/>
      <c r="E9" s="211"/>
      <c r="F9" s="211"/>
      <c r="G9" s="210"/>
    </row>
    <row r="10" spans="1:11" ht="18" customHeight="1">
      <c r="B10" s="141" t="s">
        <v>8</v>
      </c>
      <c r="C10" s="212" t="s">
        <v>371</v>
      </c>
      <c r="D10" s="211"/>
      <c r="E10" s="211"/>
      <c r="F10" s="211"/>
      <c r="G10" s="210"/>
    </row>
    <row r="11" spans="1:11" ht="18" customHeight="1">
      <c r="B11" s="141" t="s">
        <v>10</v>
      </c>
      <c r="C11" s="212" t="s">
        <v>370</v>
      </c>
      <c r="D11" s="211"/>
      <c r="E11" s="211"/>
      <c r="F11" s="211"/>
      <c r="G11" s="210"/>
    </row>
    <row r="12" spans="1:11" ht="18" customHeight="1">
      <c r="B12" s="141"/>
      <c r="C12" s="141"/>
      <c r="D12" s="141"/>
      <c r="E12" s="141"/>
      <c r="F12" s="141"/>
      <c r="G12" s="141"/>
    </row>
    <row r="13" spans="1:11" ht="18" customHeight="1">
      <c r="B13" s="141"/>
      <c r="C13" s="141"/>
      <c r="D13" s="141"/>
      <c r="E13" s="141"/>
      <c r="F13" s="141"/>
      <c r="G13" s="141"/>
    </row>
    <row r="14" spans="1:11" ht="18" customHeight="1">
      <c r="B14" s="209"/>
    </row>
    <row r="15" spans="1:11" ht="18" customHeight="1">
      <c r="B15" s="209"/>
    </row>
    <row r="16" spans="1:11" ht="31.5">
      <c r="A16" s="208" t="s">
        <v>12</v>
      </c>
      <c r="B16" s="207"/>
      <c r="C16" s="207"/>
      <c r="D16" s="207"/>
      <c r="E16" s="207"/>
      <c r="F16" s="159" t="s">
        <v>13</v>
      </c>
      <c r="G16" s="159" t="s">
        <v>14</v>
      </c>
      <c r="H16" s="159" t="s">
        <v>15</v>
      </c>
      <c r="I16" s="159" t="s">
        <v>16</v>
      </c>
      <c r="J16" s="159" t="s">
        <v>17</v>
      </c>
      <c r="K16" s="159" t="s">
        <v>18</v>
      </c>
    </row>
    <row r="17" spans="1:11" ht="18" customHeight="1">
      <c r="A17" s="140" t="s">
        <v>19</v>
      </c>
      <c r="B17" s="132" t="s">
        <v>20</v>
      </c>
    </row>
    <row r="18" spans="1:11" ht="18" customHeight="1">
      <c r="A18" s="141" t="s">
        <v>21</v>
      </c>
      <c r="B18" s="129" t="s">
        <v>22</v>
      </c>
      <c r="F18" s="177">
        <v>9947.9500000000007</v>
      </c>
      <c r="G18" s="177">
        <v>380598.5</v>
      </c>
      <c r="H18" s="160">
        <v>565735.80503999989</v>
      </c>
      <c r="I18" s="161">
        <v>314349.51970854786</v>
      </c>
      <c r="J18" s="160">
        <v>0</v>
      </c>
      <c r="K18" s="152">
        <f>(H18+I18)-J18</f>
        <v>880085.32474854775</v>
      </c>
    </row>
    <row r="19" spans="1:11" ht="18" customHeight="1">
      <c r="A19" s="141"/>
      <c r="B19" s="129" t="s">
        <v>23</v>
      </c>
      <c r="F19" s="177">
        <v>421</v>
      </c>
      <c r="G19" s="177">
        <v>1540</v>
      </c>
      <c r="H19" s="160">
        <v>26319.283159999999</v>
      </c>
      <c r="I19" s="161">
        <f>H19*F$116</f>
        <v>14624.23616591547</v>
      </c>
      <c r="J19" s="160">
        <v>0</v>
      </c>
      <c r="K19" s="152">
        <f>(H19+I19)-J19</f>
        <v>40943.519325915469</v>
      </c>
    </row>
    <row r="20" spans="1:11" ht="18" customHeight="1">
      <c r="A20" s="141"/>
      <c r="B20" s="129" t="s">
        <v>24</v>
      </c>
      <c r="F20" s="177">
        <v>104</v>
      </c>
      <c r="G20" s="177">
        <v>156</v>
      </c>
      <c r="H20" s="160">
        <v>7524.66</v>
      </c>
      <c r="I20" s="161">
        <f>H20*F$116</f>
        <v>4181.0563091421791</v>
      </c>
      <c r="J20" s="160">
        <v>0</v>
      </c>
      <c r="K20" s="152">
        <f>(H20+I20)-J20</f>
        <v>11705.716309142179</v>
      </c>
    </row>
    <row r="21" spans="1:11" ht="18" customHeight="1">
      <c r="A21" s="141" t="s">
        <v>25</v>
      </c>
      <c r="B21" s="129" t="s">
        <v>26</v>
      </c>
      <c r="F21" s="177"/>
      <c r="G21" s="177"/>
      <c r="H21" s="160"/>
      <c r="I21" s="161"/>
      <c r="J21" s="160"/>
      <c r="K21" s="152"/>
    </row>
    <row r="22" spans="1:11" ht="18" customHeight="1">
      <c r="A22" s="141"/>
      <c r="B22" s="129" t="s">
        <v>27</v>
      </c>
      <c r="F22" s="206">
        <v>202.5</v>
      </c>
      <c r="G22" s="206">
        <v>2427</v>
      </c>
      <c r="H22" s="205">
        <v>7697.5508200000004</v>
      </c>
      <c r="I22" s="161">
        <f>H22*F$116</f>
        <v>4277.1226103111048</v>
      </c>
      <c r="J22" s="160">
        <v>0</v>
      </c>
      <c r="K22" s="152">
        <f t="shared" ref="K22:K32" si="0">(H22+I22)-J22</f>
        <v>11974.673430311104</v>
      </c>
    </row>
    <row r="23" spans="1:11" ht="18" customHeight="1">
      <c r="A23" s="141"/>
      <c r="B23" s="129" t="s">
        <v>28</v>
      </c>
      <c r="F23" s="206">
        <v>6</v>
      </c>
      <c r="G23" s="206">
        <v>66</v>
      </c>
      <c r="H23" s="205">
        <v>407.80500000000006</v>
      </c>
      <c r="I23" s="161">
        <f>H23*F$116</f>
        <v>226.59570906190135</v>
      </c>
      <c r="J23" s="160">
        <v>0</v>
      </c>
      <c r="K23" s="152">
        <f t="shared" si="0"/>
        <v>634.40070906190135</v>
      </c>
    </row>
    <row r="24" spans="1:11" ht="18" customHeight="1">
      <c r="A24" s="141"/>
      <c r="B24" s="129" t="s">
        <v>29</v>
      </c>
      <c r="F24" s="206">
        <v>0</v>
      </c>
      <c r="G24" s="206">
        <v>0</v>
      </c>
      <c r="H24" s="205">
        <v>0</v>
      </c>
      <c r="I24" s="161">
        <f>H24*F$116</f>
        <v>0</v>
      </c>
      <c r="J24" s="160">
        <v>0</v>
      </c>
      <c r="K24" s="152">
        <f t="shared" si="0"/>
        <v>0</v>
      </c>
    </row>
    <row r="25" spans="1:11" ht="18" customHeight="1">
      <c r="A25" s="141"/>
      <c r="B25" s="129" t="s">
        <v>30</v>
      </c>
      <c r="F25" s="206">
        <v>4469.8100000000004</v>
      </c>
      <c r="G25" s="206">
        <v>2600</v>
      </c>
      <c r="H25" s="205">
        <v>202817.53667806921</v>
      </c>
      <c r="I25" s="161">
        <f>H25*F$116</f>
        <v>112694.99769192449</v>
      </c>
      <c r="J25" s="160">
        <v>0</v>
      </c>
      <c r="K25" s="152">
        <f t="shared" si="0"/>
        <v>315512.53436999372</v>
      </c>
    </row>
    <row r="26" spans="1:11" ht="18" customHeight="1">
      <c r="A26" s="141" t="s">
        <v>31</v>
      </c>
      <c r="B26" s="129" t="s">
        <v>32</v>
      </c>
      <c r="F26" s="177">
        <v>23339.55</v>
      </c>
      <c r="G26" s="177">
        <v>33804.6</v>
      </c>
      <c r="H26" s="160">
        <v>652724.95223499998</v>
      </c>
      <c r="I26" s="161">
        <v>115147.62581375442</v>
      </c>
      <c r="J26" s="160">
        <v>0</v>
      </c>
      <c r="K26" s="152">
        <f t="shared" si="0"/>
        <v>767872.57804875437</v>
      </c>
    </row>
    <row r="27" spans="1:11" ht="18" customHeight="1">
      <c r="A27" s="141" t="s">
        <v>33</v>
      </c>
      <c r="B27" s="129" t="s">
        <v>34</v>
      </c>
      <c r="F27" s="177"/>
      <c r="G27" s="177"/>
      <c r="H27" s="160"/>
      <c r="I27" s="161">
        <f t="shared" ref="I27:I32" si="1">H27*F$116</f>
        <v>0</v>
      </c>
      <c r="J27" s="160"/>
      <c r="K27" s="152">
        <f t="shared" si="0"/>
        <v>0</v>
      </c>
    </row>
    <row r="28" spans="1:11" ht="18" customHeight="1">
      <c r="A28" s="141" t="s">
        <v>35</v>
      </c>
      <c r="B28" s="165" t="s">
        <v>369</v>
      </c>
      <c r="C28" s="164"/>
      <c r="D28" s="163"/>
      <c r="F28" s="177">
        <v>2080</v>
      </c>
      <c r="G28" s="177">
        <v>4166</v>
      </c>
      <c r="H28" s="160">
        <v>187319.31724999999</v>
      </c>
      <c r="I28" s="161">
        <f t="shared" si="1"/>
        <v>104083.45536041733</v>
      </c>
      <c r="J28" s="160">
        <v>0</v>
      </c>
      <c r="K28" s="152">
        <f t="shared" si="0"/>
        <v>291402.77261041733</v>
      </c>
    </row>
    <row r="29" spans="1:11" ht="18" customHeight="1">
      <c r="A29" s="141" t="s">
        <v>37</v>
      </c>
      <c r="B29" s="165"/>
      <c r="C29" s="164"/>
      <c r="D29" s="163"/>
      <c r="F29" s="177"/>
      <c r="G29" s="177"/>
      <c r="H29" s="160"/>
      <c r="I29" s="161">
        <f t="shared" si="1"/>
        <v>0</v>
      </c>
      <c r="J29" s="160"/>
      <c r="K29" s="152">
        <f t="shared" si="0"/>
        <v>0</v>
      </c>
    </row>
    <row r="30" spans="1:11" ht="18" customHeight="1">
      <c r="A30" s="141" t="s">
        <v>38</v>
      </c>
      <c r="B30" s="165"/>
      <c r="C30" s="164"/>
      <c r="D30" s="163"/>
      <c r="F30" s="177"/>
      <c r="G30" s="177"/>
      <c r="H30" s="160"/>
      <c r="I30" s="161">
        <f t="shared" si="1"/>
        <v>0</v>
      </c>
      <c r="J30" s="160"/>
      <c r="K30" s="152">
        <f t="shared" si="0"/>
        <v>0</v>
      </c>
    </row>
    <row r="31" spans="1:11" ht="18" customHeight="1">
      <c r="A31" s="141" t="s">
        <v>39</v>
      </c>
      <c r="B31" s="165"/>
      <c r="C31" s="164"/>
      <c r="D31" s="163"/>
      <c r="F31" s="177"/>
      <c r="G31" s="177"/>
      <c r="H31" s="160"/>
      <c r="I31" s="161">
        <f t="shared" si="1"/>
        <v>0</v>
      </c>
      <c r="J31" s="160"/>
      <c r="K31" s="152">
        <f t="shared" si="0"/>
        <v>0</v>
      </c>
    </row>
    <row r="32" spans="1:11" ht="18" customHeight="1">
      <c r="A32" s="141" t="s">
        <v>40</v>
      </c>
      <c r="B32" s="165"/>
      <c r="C32" s="164"/>
      <c r="D32" s="163"/>
      <c r="F32" s="177"/>
      <c r="G32" s="177"/>
      <c r="H32" s="160"/>
      <c r="I32" s="161">
        <f t="shared" si="1"/>
        <v>0</v>
      </c>
      <c r="J32" s="160"/>
      <c r="K32" s="152">
        <f t="shared" si="0"/>
        <v>0</v>
      </c>
    </row>
    <row r="33" spans="1:11" ht="18" customHeight="1">
      <c r="F33" s="176"/>
      <c r="G33" s="176"/>
      <c r="H33" s="145"/>
      <c r="I33" s="145"/>
      <c r="J33" s="145"/>
      <c r="K33" s="204"/>
    </row>
    <row r="34" spans="1:11" ht="18" customHeight="1">
      <c r="E34" s="132" t="s">
        <v>41</v>
      </c>
      <c r="F34" s="175">
        <f t="shared" ref="F34:K34" si="2">SUM(F18:F32)</f>
        <v>40570.81</v>
      </c>
      <c r="G34" s="175">
        <f t="shared" si="2"/>
        <v>425358.1</v>
      </c>
      <c r="H34" s="152">
        <f t="shared" si="2"/>
        <v>1650546.9101830693</v>
      </c>
      <c r="I34" s="152">
        <f t="shared" si="2"/>
        <v>669584.60936907481</v>
      </c>
      <c r="J34" s="152">
        <f t="shared" si="2"/>
        <v>0</v>
      </c>
      <c r="K34" s="152">
        <f t="shared" si="2"/>
        <v>2320131.5195521442</v>
      </c>
    </row>
    <row r="35" spans="1:11" ht="18" customHeight="1" thickBot="1">
      <c r="B35" s="132"/>
      <c r="F35" s="203"/>
      <c r="G35" s="203"/>
      <c r="H35" s="202"/>
      <c r="I35" s="202"/>
      <c r="J35" s="202"/>
      <c r="K35" s="201"/>
    </row>
    <row r="36" spans="1:11" ht="31.5">
      <c r="F36" s="178" t="s">
        <v>13</v>
      </c>
      <c r="G36" s="178" t="s">
        <v>14</v>
      </c>
      <c r="H36" s="158" t="s">
        <v>15</v>
      </c>
      <c r="I36" s="158" t="s">
        <v>16</v>
      </c>
      <c r="J36" s="158" t="s">
        <v>17</v>
      </c>
      <c r="K36" s="158" t="s">
        <v>18</v>
      </c>
    </row>
    <row r="37" spans="1:11" ht="18.75" customHeight="1">
      <c r="A37" s="140" t="s">
        <v>42</v>
      </c>
      <c r="B37" s="132" t="s">
        <v>43</v>
      </c>
      <c r="F37" s="176"/>
      <c r="G37" s="176"/>
      <c r="H37" s="145"/>
      <c r="I37" s="145"/>
      <c r="J37" s="145"/>
      <c r="K37" s="145"/>
    </row>
    <row r="38" spans="1:11" ht="18" customHeight="1">
      <c r="A38" s="141" t="s">
        <v>44</v>
      </c>
      <c r="B38" s="129" t="s">
        <v>45</v>
      </c>
      <c r="F38" s="177">
        <v>0</v>
      </c>
      <c r="G38" s="177">
        <v>187.1</v>
      </c>
      <c r="H38" s="160">
        <v>18611474</v>
      </c>
      <c r="I38" s="161">
        <v>0</v>
      </c>
      <c r="J38" s="160">
        <v>0</v>
      </c>
      <c r="K38" s="152">
        <f t="shared" ref="K38:K46" si="3">(H38+I38)-J38</f>
        <v>18611474</v>
      </c>
    </row>
    <row r="39" spans="1:11" ht="18" customHeight="1">
      <c r="A39" s="141" t="s">
        <v>46</v>
      </c>
      <c r="B39" s="137" t="s">
        <v>47</v>
      </c>
      <c r="C39" s="137"/>
      <c r="F39" s="177">
        <v>45</v>
      </c>
      <c r="G39" s="177">
        <v>5</v>
      </c>
      <c r="H39" s="160">
        <v>4531.9201750000002</v>
      </c>
      <c r="I39" s="161">
        <v>0</v>
      </c>
      <c r="J39" s="160">
        <v>0</v>
      </c>
      <c r="K39" s="152">
        <f t="shared" si="3"/>
        <v>4531.9201750000002</v>
      </c>
    </row>
    <row r="40" spans="1:11" ht="18" customHeight="1">
      <c r="A40" s="141" t="s">
        <v>48</v>
      </c>
      <c r="B40" s="129" t="s">
        <v>49</v>
      </c>
      <c r="F40" s="177">
        <v>8356.6</v>
      </c>
      <c r="G40" s="177">
        <v>1542</v>
      </c>
      <c r="H40" s="160">
        <v>288494.41200000001</v>
      </c>
      <c r="I40" s="161">
        <v>0</v>
      </c>
      <c r="J40" s="160">
        <v>0</v>
      </c>
      <c r="K40" s="152">
        <f t="shared" si="3"/>
        <v>288494.41200000001</v>
      </c>
    </row>
    <row r="41" spans="1:11" ht="18" customHeight="1">
      <c r="A41" s="141" t="s">
        <v>50</v>
      </c>
      <c r="B41" s="169" t="s">
        <v>51</v>
      </c>
      <c r="C41" s="169"/>
      <c r="D41" s="169"/>
      <c r="F41" s="177">
        <v>2881.2</v>
      </c>
      <c r="G41" s="177">
        <v>226</v>
      </c>
      <c r="H41" s="160">
        <v>67813.319170000002</v>
      </c>
      <c r="I41" s="161">
        <v>0</v>
      </c>
      <c r="J41" s="160">
        <v>0</v>
      </c>
      <c r="K41" s="152">
        <f t="shared" si="3"/>
        <v>67813.319170000002</v>
      </c>
    </row>
    <row r="42" spans="1:11" ht="18" customHeight="1">
      <c r="A42" s="141" t="s">
        <v>52</v>
      </c>
      <c r="B42" s="129" t="s">
        <v>53</v>
      </c>
      <c r="F42" s="177">
        <v>23429.55</v>
      </c>
      <c r="G42" s="177">
        <v>2835</v>
      </c>
      <c r="H42" s="160">
        <v>936091.54919000005</v>
      </c>
      <c r="I42" s="161">
        <v>0</v>
      </c>
      <c r="J42" s="160">
        <v>0</v>
      </c>
      <c r="K42" s="152">
        <f t="shared" si="3"/>
        <v>936091.54919000005</v>
      </c>
    </row>
    <row r="43" spans="1:11" ht="18" customHeight="1">
      <c r="A43" s="141" t="s">
        <v>54</v>
      </c>
      <c r="B43" s="129" t="s">
        <v>34</v>
      </c>
      <c r="F43" s="177"/>
      <c r="G43" s="177"/>
      <c r="H43" s="160"/>
      <c r="I43" s="161">
        <v>0</v>
      </c>
      <c r="J43" s="160">
        <v>0</v>
      </c>
      <c r="K43" s="152">
        <f t="shared" si="3"/>
        <v>0</v>
      </c>
    </row>
    <row r="44" spans="1:11" ht="18" customHeight="1">
      <c r="A44" s="141" t="s">
        <v>55</v>
      </c>
      <c r="B44" s="165"/>
      <c r="C44" s="164"/>
      <c r="D44" s="163"/>
      <c r="F44" s="177">
        <v>1095.5</v>
      </c>
      <c r="G44" s="177">
        <v>1885</v>
      </c>
      <c r="H44" s="160">
        <v>50622.674000000006</v>
      </c>
      <c r="I44" s="161">
        <v>0</v>
      </c>
      <c r="J44" s="160"/>
      <c r="K44" s="152">
        <f t="shared" si="3"/>
        <v>50622.674000000006</v>
      </c>
    </row>
    <row r="45" spans="1:11" ht="18" customHeight="1">
      <c r="A45" s="141" t="s">
        <v>57</v>
      </c>
      <c r="B45" s="165"/>
      <c r="C45" s="164"/>
      <c r="D45" s="163"/>
      <c r="F45" s="177"/>
      <c r="G45" s="177"/>
      <c r="H45" s="160"/>
      <c r="I45" s="161">
        <v>0</v>
      </c>
      <c r="J45" s="160"/>
      <c r="K45" s="152">
        <f t="shared" si="3"/>
        <v>0</v>
      </c>
    </row>
    <row r="46" spans="1:11" ht="18" customHeight="1">
      <c r="A46" s="141" t="s">
        <v>58</v>
      </c>
      <c r="B46" s="165"/>
      <c r="C46" s="164"/>
      <c r="D46" s="163"/>
      <c r="F46" s="177"/>
      <c r="G46" s="177"/>
      <c r="H46" s="160"/>
      <c r="I46" s="161">
        <v>0</v>
      </c>
      <c r="J46" s="160"/>
      <c r="K46" s="152">
        <f t="shared" si="3"/>
        <v>0</v>
      </c>
    </row>
    <row r="47" spans="1:11" ht="18" customHeight="1">
      <c r="F47" s="176"/>
      <c r="G47" s="176"/>
      <c r="H47" s="145"/>
      <c r="I47" s="145"/>
      <c r="J47" s="145"/>
      <c r="K47" s="145"/>
    </row>
    <row r="48" spans="1:11" ht="18" customHeight="1">
      <c r="E48" s="132" t="s">
        <v>41</v>
      </c>
      <c r="F48" s="175">
        <f t="shared" ref="F48:K48" si="4">SUM(F38:F46)</f>
        <v>35807.85</v>
      </c>
      <c r="G48" s="175">
        <f t="shared" si="4"/>
        <v>6680.1</v>
      </c>
      <c r="H48" s="152">
        <f t="shared" si="4"/>
        <v>19959027.874534998</v>
      </c>
      <c r="I48" s="152">
        <f t="shared" si="4"/>
        <v>0</v>
      </c>
      <c r="J48" s="152">
        <f t="shared" si="4"/>
        <v>0</v>
      </c>
      <c r="K48" s="152">
        <f t="shared" si="4"/>
        <v>19959027.874534998</v>
      </c>
    </row>
    <row r="49" spans="1:11" ht="18" customHeight="1" thickBot="1">
      <c r="F49" s="176"/>
      <c r="G49" s="179"/>
      <c r="H49" s="170"/>
      <c r="I49" s="170"/>
      <c r="J49" s="170"/>
      <c r="K49" s="170"/>
    </row>
    <row r="50" spans="1:11" ht="31.5">
      <c r="F50" s="178" t="s">
        <v>13</v>
      </c>
      <c r="G50" s="178" t="s">
        <v>14</v>
      </c>
      <c r="H50" s="158" t="s">
        <v>15</v>
      </c>
      <c r="I50" s="158" t="s">
        <v>16</v>
      </c>
      <c r="J50" s="158" t="s">
        <v>17</v>
      </c>
      <c r="K50" s="158" t="s">
        <v>18</v>
      </c>
    </row>
    <row r="51" spans="1:11" ht="18" customHeight="1">
      <c r="A51" s="140" t="s">
        <v>59</v>
      </c>
      <c r="B51" s="200" t="s">
        <v>60</v>
      </c>
      <c r="C51" s="199"/>
      <c r="F51" s="176"/>
      <c r="G51" s="176"/>
      <c r="H51" s="145"/>
      <c r="I51" s="145"/>
      <c r="J51" s="145"/>
      <c r="K51" s="145"/>
    </row>
    <row r="52" spans="1:11" ht="18" customHeight="1">
      <c r="A52" s="141" t="s">
        <v>61</v>
      </c>
      <c r="B52" s="165" t="s">
        <v>368</v>
      </c>
      <c r="C52" s="191"/>
      <c r="D52" s="163"/>
      <c r="F52" s="177">
        <v>0</v>
      </c>
      <c r="G52" s="177">
        <v>160</v>
      </c>
      <c r="H52" s="160">
        <v>649046</v>
      </c>
      <c r="I52" s="161">
        <v>0</v>
      </c>
      <c r="J52" s="160">
        <v>0</v>
      </c>
      <c r="K52" s="152">
        <f>[8]Details!AI159</f>
        <v>649046</v>
      </c>
    </row>
    <row r="53" spans="1:11" ht="18" customHeight="1">
      <c r="A53" s="141" t="s">
        <v>63</v>
      </c>
      <c r="B53" s="198" t="s">
        <v>367</v>
      </c>
      <c r="C53" s="164"/>
      <c r="D53" s="163"/>
      <c r="F53" s="177">
        <v>0</v>
      </c>
      <c r="G53" s="177">
        <v>0</v>
      </c>
      <c r="H53" s="160">
        <v>1950989</v>
      </c>
      <c r="I53" s="161">
        <v>0</v>
      </c>
      <c r="J53" s="160">
        <v>746469</v>
      </c>
      <c r="K53" s="152">
        <f>[8]Details!AI160</f>
        <v>1204520</v>
      </c>
    </row>
    <row r="54" spans="1:11" ht="18" customHeight="1">
      <c r="A54" s="141" t="s">
        <v>65</v>
      </c>
      <c r="B54" s="197" t="s">
        <v>366</v>
      </c>
      <c r="C54" s="164"/>
      <c r="D54" s="163"/>
      <c r="F54" s="177">
        <v>0</v>
      </c>
      <c r="G54" s="177">
        <v>0</v>
      </c>
      <c r="H54" s="160">
        <v>399149</v>
      </c>
      <c r="I54" s="161">
        <v>0</v>
      </c>
      <c r="J54" s="160">
        <v>0</v>
      </c>
      <c r="K54" s="152">
        <f>[8]Details!AI161</f>
        <v>399149</v>
      </c>
    </row>
    <row r="55" spans="1:11" ht="18" customHeight="1">
      <c r="A55" s="141" t="s">
        <v>67</v>
      </c>
      <c r="B55" s="197" t="s">
        <v>365</v>
      </c>
      <c r="C55" s="164"/>
      <c r="D55" s="163"/>
      <c r="F55" s="177">
        <v>0</v>
      </c>
      <c r="G55" s="177">
        <v>0</v>
      </c>
      <c r="H55" s="160">
        <v>32465</v>
      </c>
      <c r="I55" s="161">
        <v>0</v>
      </c>
      <c r="J55" s="160">
        <v>0</v>
      </c>
      <c r="K55" s="152">
        <f>[8]Details!AI162</f>
        <v>32465</v>
      </c>
    </row>
    <row r="56" spans="1:11" ht="18" customHeight="1">
      <c r="A56" s="141" t="s">
        <v>69</v>
      </c>
      <c r="B56" s="198" t="s">
        <v>364</v>
      </c>
      <c r="C56" s="164"/>
      <c r="D56" s="163"/>
      <c r="F56" s="177">
        <v>0</v>
      </c>
      <c r="G56" s="177">
        <v>0</v>
      </c>
      <c r="H56" s="160">
        <v>1001093</v>
      </c>
      <c r="I56" s="161">
        <v>0</v>
      </c>
      <c r="J56" s="160">
        <v>0</v>
      </c>
      <c r="K56" s="152">
        <f>[8]Details!AI163</f>
        <v>1001093</v>
      </c>
    </row>
    <row r="57" spans="1:11" ht="18" customHeight="1">
      <c r="A57" s="141" t="s">
        <v>71</v>
      </c>
      <c r="B57" s="198" t="s">
        <v>363</v>
      </c>
      <c r="C57" s="164"/>
      <c r="D57" s="163"/>
      <c r="F57" s="177">
        <v>0</v>
      </c>
      <c r="G57" s="177">
        <v>0</v>
      </c>
      <c r="H57" s="160">
        <v>705695</v>
      </c>
      <c r="I57" s="161">
        <v>0</v>
      </c>
      <c r="J57" s="160">
        <v>0</v>
      </c>
      <c r="K57" s="152">
        <f>[8]Details!AI165</f>
        <v>705695</v>
      </c>
    </row>
    <row r="58" spans="1:11" ht="18" customHeight="1">
      <c r="A58" s="141" t="s">
        <v>73</v>
      </c>
      <c r="B58" s="197" t="s">
        <v>362</v>
      </c>
      <c r="C58" s="164"/>
      <c r="D58" s="163"/>
      <c r="F58" s="177">
        <v>4</v>
      </c>
      <c r="G58" s="177">
        <v>2</v>
      </c>
      <c r="H58" s="160">
        <v>250185.95908</v>
      </c>
      <c r="I58" s="161">
        <v>0</v>
      </c>
      <c r="J58" s="160">
        <v>0</v>
      </c>
      <c r="K58" s="152">
        <f>[8]Details!AI166</f>
        <v>250185.95908</v>
      </c>
    </row>
    <row r="59" spans="1:11" ht="18" customHeight="1">
      <c r="A59" s="141" t="s">
        <v>75</v>
      </c>
      <c r="B59" s="197" t="s">
        <v>361</v>
      </c>
      <c r="C59" s="164"/>
      <c r="D59" s="163"/>
      <c r="F59" s="177">
        <v>0</v>
      </c>
      <c r="G59" s="177">
        <v>0</v>
      </c>
      <c r="H59" s="160">
        <v>87000</v>
      </c>
      <c r="I59" s="161">
        <v>0</v>
      </c>
      <c r="J59" s="160">
        <v>0</v>
      </c>
      <c r="K59" s="152">
        <f>[8]Details!AI167</f>
        <v>87000</v>
      </c>
    </row>
    <row r="60" spans="1:11" ht="18" customHeight="1">
      <c r="A60" s="141" t="s">
        <v>76</v>
      </c>
      <c r="B60" s="165"/>
      <c r="C60" s="164"/>
      <c r="D60" s="163"/>
      <c r="F60" s="177"/>
      <c r="G60" s="177"/>
      <c r="H60" s="160"/>
      <c r="I60" s="161">
        <v>0</v>
      </c>
      <c r="J60" s="160"/>
      <c r="K60" s="152">
        <f>(H60+I60)-J60</f>
        <v>0</v>
      </c>
    </row>
    <row r="61" spans="1:11" ht="18" customHeight="1">
      <c r="A61" s="141" t="s">
        <v>77</v>
      </c>
      <c r="B61" s="165"/>
      <c r="C61" s="164"/>
      <c r="D61" s="163"/>
      <c r="F61" s="177"/>
      <c r="G61" s="177"/>
      <c r="H61" s="160"/>
      <c r="I61" s="161">
        <v>0</v>
      </c>
      <c r="J61" s="160"/>
      <c r="K61" s="152">
        <f>(H61+I61)-J61</f>
        <v>0</v>
      </c>
    </row>
    <row r="62" spans="1:11" ht="18" customHeight="1">
      <c r="A62" s="141"/>
      <c r="F62" s="176"/>
      <c r="G62" s="176"/>
      <c r="H62" s="145"/>
      <c r="I62" s="195"/>
      <c r="J62" s="145"/>
      <c r="K62" s="145"/>
    </row>
    <row r="63" spans="1:11" ht="18" customHeight="1">
      <c r="A63" s="141"/>
      <c r="E63" s="132" t="s">
        <v>41</v>
      </c>
      <c r="F63" s="175">
        <f t="shared" ref="F63:K63" si="5">SUM(F52:F61)</f>
        <v>4</v>
      </c>
      <c r="G63" s="175">
        <f t="shared" si="5"/>
        <v>162</v>
      </c>
      <c r="H63" s="152">
        <f t="shared" si="5"/>
        <v>5075622.9590800004</v>
      </c>
      <c r="I63" s="152">
        <f t="shared" si="5"/>
        <v>0</v>
      </c>
      <c r="J63" s="152">
        <f t="shared" si="5"/>
        <v>746469</v>
      </c>
      <c r="K63" s="152">
        <f t="shared" si="5"/>
        <v>4329153.9590800004</v>
      </c>
    </row>
    <row r="64" spans="1:11" ht="18" customHeight="1" thickBot="1">
      <c r="F64" s="179"/>
      <c r="G64" s="179"/>
      <c r="H64" s="170"/>
      <c r="I64" s="170"/>
      <c r="J64" s="170"/>
      <c r="K64" s="170"/>
    </row>
    <row r="65" spans="1:11" ht="31.5">
      <c r="F65" s="178" t="s">
        <v>13</v>
      </c>
      <c r="G65" s="178" t="s">
        <v>14</v>
      </c>
      <c r="H65" s="158" t="s">
        <v>15</v>
      </c>
      <c r="I65" s="158" t="s">
        <v>16</v>
      </c>
      <c r="J65" s="158" t="s">
        <v>17</v>
      </c>
      <c r="K65" s="158" t="s">
        <v>18</v>
      </c>
    </row>
    <row r="66" spans="1:11" ht="18" customHeight="1">
      <c r="A66" s="140" t="s">
        <v>78</v>
      </c>
      <c r="B66" s="132" t="s">
        <v>79</v>
      </c>
      <c r="F66" s="196"/>
      <c r="G66" s="196"/>
      <c r="H66" s="185"/>
      <c r="I66" s="195"/>
      <c r="J66" s="185"/>
      <c r="K66" s="185"/>
    </row>
    <row r="67" spans="1:11" ht="18" customHeight="1">
      <c r="A67" s="141" t="s">
        <v>80</v>
      </c>
      <c r="B67" s="129" t="s">
        <v>81</v>
      </c>
      <c r="F67" s="175">
        <v>0</v>
      </c>
      <c r="G67" s="175">
        <v>0</v>
      </c>
      <c r="H67" s="193">
        <v>103143</v>
      </c>
      <c r="I67" s="161">
        <f t="shared" ref="I67:I72" si="6">+H67*0</f>
        <v>0</v>
      </c>
      <c r="J67" s="160">
        <v>0</v>
      </c>
      <c r="K67" s="152">
        <f t="shared" ref="K67:K72" si="7">(H67+I67)-J67</f>
        <v>103143</v>
      </c>
    </row>
    <row r="68" spans="1:11" ht="18" customHeight="1">
      <c r="A68" s="141" t="s">
        <v>82</v>
      </c>
      <c r="B68" s="129" t="s">
        <v>83</v>
      </c>
      <c r="F68" s="175">
        <v>0</v>
      </c>
      <c r="G68" s="175">
        <v>0</v>
      </c>
      <c r="H68" s="193">
        <v>0</v>
      </c>
      <c r="I68" s="161">
        <f t="shared" si="6"/>
        <v>0</v>
      </c>
      <c r="J68" s="160">
        <v>0</v>
      </c>
      <c r="K68" s="152">
        <f t="shared" si="7"/>
        <v>0</v>
      </c>
    </row>
    <row r="69" spans="1:11" ht="18" customHeight="1">
      <c r="A69" s="141" t="s">
        <v>84</v>
      </c>
      <c r="B69" s="129" t="s">
        <v>85</v>
      </c>
      <c r="F69" s="177">
        <v>0</v>
      </c>
      <c r="G69" s="177">
        <v>0</v>
      </c>
      <c r="H69" s="160">
        <v>0</v>
      </c>
      <c r="I69" s="161">
        <f t="shared" si="6"/>
        <v>0</v>
      </c>
      <c r="J69" s="160">
        <v>0</v>
      </c>
      <c r="K69" s="152">
        <f t="shared" si="7"/>
        <v>0</v>
      </c>
    </row>
    <row r="70" spans="1:11" ht="18" customHeight="1">
      <c r="A70" s="141" t="s">
        <v>86</v>
      </c>
      <c r="B70" s="165"/>
      <c r="C70" s="164"/>
      <c r="D70" s="163"/>
      <c r="E70" s="132"/>
      <c r="F70" s="194"/>
      <c r="G70" s="194"/>
      <c r="H70" s="193"/>
      <c r="I70" s="161">
        <f t="shared" si="6"/>
        <v>0</v>
      </c>
      <c r="J70" s="193"/>
      <c r="K70" s="152">
        <f t="shared" si="7"/>
        <v>0</v>
      </c>
    </row>
    <row r="71" spans="1:11" ht="18" customHeight="1">
      <c r="A71" s="141" t="s">
        <v>87</v>
      </c>
      <c r="B71" s="165"/>
      <c r="C71" s="164"/>
      <c r="D71" s="163"/>
      <c r="E71" s="132"/>
      <c r="F71" s="194"/>
      <c r="G71" s="194"/>
      <c r="H71" s="193"/>
      <c r="I71" s="161">
        <f t="shared" si="6"/>
        <v>0</v>
      </c>
      <c r="J71" s="193"/>
      <c r="K71" s="152">
        <f t="shared" si="7"/>
        <v>0</v>
      </c>
    </row>
    <row r="72" spans="1:11" ht="18" customHeight="1">
      <c r="A72" s="141" t="s">
        <v>88</v>
      </c>
      <c r="B72" s="192"/>
      <c r="C72" s="191"/>
      <c r="D72" s="190"/>
      <c r="E72" s="132"/>
      <c r="F72" s="177"/>
      <c r="G72" s="177"/>
      <c r="H72" s="160"/>
      <c r="I72" s="161">
        <f t="shared" si="6"/>
        <v>0</v>
      </c>
      <c r="J72" s="160"/>
      <c r="K72" s="152">
        <f t="shared" si="7"/>
        <v>0</v>
      </c>
    </row>
    <row r="73" spans="1:11" ht="18" customHeight="1">
      <c r="A73" s="141"/>
      <c r="E73" s="132"/>
      <c r="F73" s="189"/>
      <c r="G73" s="189"/>
      <c r="H73" s="187"/>
      <c r="I73" s="188"/>
      <c r="J73" s="187"/>
      <c r="K73" s="185"/>
    </row>
    <row r="74" spans="1:11" ht="18" customHeight="1">
      <c r="E74" s="132" t="s">
        <v>41</v>
      </c>
      <c r="F74" s="175">
        <f t="shared" ref="F74:K74" si="8">SUM(F67:F72)</f>
        <v>0</v>
      </c>
      <c r="G74" s="175">
        <f t="shared" si="8"/>
        <v>0</v>
      </c>
      <c r="H74" s="152">
        <f t="shared" si="8"/>
        <v>103143</v>
      </c>
      <c r="I74" s="152">
        <f t="shared" si="8"/>
        <v>0</v>
      </c>
      <c r="J74" s="152">
        <f t="shared" si="8"/>
        <v>0</v>
      </c>
      <c r="K74" s="152">
        <f t="shared" si="8"/>
        <v>103143</v>
      </c>
    </row>
    <row r="75" spans="1:11" ht="31.5">
      <c r="F75" s="178" t="s">
        <v>13</v>
      </c>
      <c r="G75" s="178" t="s">
        <v>14</v>
      </c>
      <c r="H75" s="158" t="s">
        <v>15</v>
      </c>
      <c r="I75" s="158" t="s">
        <v>16</v>
      </c>
      <c r="J75" s="158" t="s">
        <v>17</v>
      </c>
      <c r="K75" s="158" t="s">
        <v>18</v>
      </c>
    </row>
    <row r="76" spans="1:11" ht="18" customHeight="1">
      <c r="A76" s="140" t="s">
        <v>89</v>
      </c>
      <c r="B76" s="132" t="s">
        <v>90</v>
      </c>
      <c r="F76" s="176"/>
      <c r="G76" s="176"/>
      <c r="H76" s="145"/>
      <c r="I76" s="145"/>
      <c r="J76" s="145"/>
      <c r="K76" s="145"/>
    </row>
    <row r="77" spans="1:11" ht="18" customHeight="1">
      <c r="A77" s="141" t="s">
        <v>91</v>
      </c>
      <c r="B77" s="129" t="s">
        <v>92</v>
      </c>
      <c r="F77" s="177">
        <v>105</v>
      </c>
      <c r="G77" s="177">
        <v>0</v>
      </c>
      <c r="H77" s="160">
        <v>265903.76040500001</v>
      </c>
      <c r="I77" s="161">
        <v>0</v>
      </c>
      <c r="J77" s="160">
        <v>0</v>
      </c>
      <c r="K77" s="152">
        <f>(H77+I77)-J77</f>
        <v>265903.76040500001</v>
      </c>
    </row>
    <row r="78" spans="1:11" ht="18" customHeight="1">
      <c r="A78" s="141" t="s">
        <v>93</v>
      </c>
      <c r="B78" s="129" t="s">
        <v>94</v>
      </c>
      <c r="F78" s="177">
        <v>0</v>
      </c>
      <c r="G78" s="177">
        <v>0</v>
      </c>
      <c r="H78" s="160">
        <v>0</v>
      </c>
      <c r="I78" s="161">
        <v>0</v>
      </c>
      <c r="J78" s="160">
        <v>0</v>
      </c>
      <c r="K78" s="152">
        <f>(H78+I78)-J78</f>
        <v>0</v>
      </c>
    </row>
    <row r="79" spans="1:11" ht="18" customHeight="1">
      <c r="A79" s="141" t="s">
        <v>95</v>
      </c>
      <c r="B79" s="129" t="s">
        <v>96</v>
      </c>
      <c r="F79" s="177">
        <v>4827.7</v>
      </c>
      <c r="G79" s="177">
        <v>53586</v>
      </c>
      <c r="H79" s="160">
        <v>287587.17221500009</v>
      </c>
      <c r="I79" s="161">
        <v>0</v>
      </c>
      <c r="J79" s="160">
        <v>0</v>
      </c>
      <c r="K79" s="152">
        <f>(H79+I79)-J79</f>
        <v>287587.17221500009</v>
      </c>
    </row>
    <row r="80" spans="1:11" ht="18" customHeight="1">
      <c r="A80" s="186" t="s">
        <v>360</v>
      </c>
      <c r="B80" s="129" t="s">
        <v>97</v>
      </c>
      <c r="F80" s="177">
        <v>0</v>
      </c>
      <c r="G80" s="177">
        <v>0</v>
      </c>
      <c r="H80" s="160">
        <v>38599.970999999998</v>
      </c>
      <c r="I80" s="161">
        <v>6772.9653688527187</v>
      </c>
      <c r="J80" s="160">
        <v>0</v>
      </c>
      <c r="K80" s="152">
        <f>(H80+I80)-J80</f>
        <v>45372.936368852716</v>
      </c>
    </row>
    <row r="81" spans="1:11" ht="18" customHeight="1">
      <c r="A81" s="141"/>
      <c r="F81" s="176"/>
      <c r="G81" s="176"/>
      <c r="H81" s="145"/>
      <c r="I81" s="145"/>
      <c r="J81" s="145"/>
      <c r="K81" s="185"/>
    </row>
    <row r="82" spans="1:11" ht="18" customHeight="1">
      <c r="A82" s="141"/>
      <c r="E82" s="132" t="s">
        <v>41</v>
      </c>
      <c r="F82" s="184">
        <f t="shared" ref="F82:K82" si="9">SUM(F77:F80)</f>
        <v>4932.7</v>
      </c>
      <c r="G82" s="184">
        <f t="shared" si="9"/>
        <v>53586</v>
      </c>
      <c r="H82" s="183">
        <f t="shared" si="9"/>
        <v>592090.90362000011</v>
      </c>
      <c r="I82" s="183">
        <f t="shared" si="9"/>
        <v>6772.9653688527187</v>
      </c>
      <c r="J82" s="183">
        <f t="shared" si="9"/>
        <v>0</v>
      </c>
      <c r="K82" s="183">
        <f t="shared" si="9"/>
        <v>598863.86898885283</v>
      </c>
    </row>
    <row r="83" spans="1:11" ht="18" customHeight="1" thickBot="1">
      <c r="A83" s="141"/>
      <c r="F83" s="179"/>
      <c r="G83" s="179"/>
      <c r="H83" s="170"/>
      <c r="I83" s="170"/>
      <c r="J83" s="170"/>
      <c r="K83" s="170"/>
    </row>
    <row r="84" spans="1:11" ht="31.5">
      <c r="F84" s="178" t="s">
        <v>13</v>
      </c>
      <c r="G84" s="178" t="s">
        <v>14</v>
      </c>
      <c r="H84" s="158" t="s">
        <v>15</v>
      </c>
      <c r="I84" s="158" t="s">
        <v>16</v>
      </c>
      <c r="J84" s="158" t="s">
        <v>17</v>
      </c>
      <c r="K84" s="158" t="s">
        <v>18</v>
      </c>
    </row>
    <row r="85" spans="1:11" ht="18" customHeight="1">
      <c r="A85" s="140" t="s">
        <v>98</v>
      </c>
      <c r="B85" s="132" t="s">
        <v>99</v>
      </c>
      <c r="F85" s="176"/>
      <c r="G85" s="176"/>
      <c r="H85" s="145"/>
      <c r="I85" s="145"/>
      <c r="J85" s="145"/>
      <c r="K85" s="145"/>
    </row>
    <row r="86" spans="1:11" ht="18" customHeight="1">
      <c r="A86" s="141" t="s">
        <v>100</v>
      </c>
      <c r="B86" s="129" t="s">
        <v>101</v>
      </c>
      <c r="F86" s="177">
        <v>661</v>
      </c>
      <c r="G86" s="177">
        <v>806</v>
      </c>
      <c r="H86" s="160">
        <v>42170.556980000001</v>
      </c>
      <c r="I86" s="161">
        <f t="shared" ref="I86:I97" si="10">H86*F$116</f>
        <v>23431.952184054662</v>
      </c>
      <c r="J86" s="160">
        <v>0</v>
      </c>
      <c r="K86" s="152">
        <f t="shared" ref="K86:K97" si="11">(H86+I86)-J86</f>
        <v>65602.50916405466</v>
      </c>
    </row>
    <row r="87" spans="1:11" ht="18" customHeight="1">
      <c r="A87" s="141" t="s">
        <v>102</v>
      </c>
      <c r="B87" s="129" t="s">
        <v>103</v>
      </c>
      <c r="F87" s="177">
        <v>343.5</v>
      </c>
      <c r="G87" s="177">
        <v>2680</v>
      </c>
      <c r="H87" s="160">
        <v>386107.96995500004</v>
      </c>
      <c r="I87" s="161">
        <f t="shared" si="10"/>
        <v>214539.81492724345</v>
      </c>
      <c r="J87" s="160">
        <v>0</v>
      </c>
      <c r="K87" s="152">
        <f t="shared" si="11"/>
        <v>600647.78488224349</v>
      </c>
    </row>
    <row r="88" spans="1:11" ht="18" customHeight="1">
      <c r="A88" s="141" t="s">
        <v>104</v>
      </c>
      <c r="B88" s="129" t="s">
        <v>105</v>
      </c>
      <c r="F88" s="177">
        <v>2250.25</v>
      </c>
      <c r="G88" s="177">
        <v>115</v>
      </c>
      <c r="H88" s="160">
        <v>96277.957720000006</v>
      </c>
      <c r="I88" s="161">
        <f t="shared" si="10"/>
        <v>53496.57825822429</v>
      </c>
      <c r="J88" s="160">
        <v>0</v>
      </c>
      <c r="K88" s="152">
        <f t="shared" si="11"/>
        <v>149774.5359782243</v>
      </c>
    </row>
    <row r="89" spans="1:11" ht="18" customHeight="1">
      <c r="A89" s="141" t="s">
        <v>106</v>
      </c>
      <c r="B89" s="129" t="s">
        <v>107</v>
      </c>
      <c r="F89" s="177">
        <v>0</v>
      </c>
      <c r="G89" s="177">
        <v>0</v>
      </c>
      <c r="H89" s="160">
        <v>0</v>
      </c>
      <c r="I89" s="161">
        <f t="shared" si="10"/>
        <v>0</v>
      </c>
      <c r="J89" s="160">
        <v>0</v>
      </c>
      <c r="K89" s="152">
        <f t="shared" si="11"/>
        <v>0</v>
      </c>
    </row>
    <row r="90" spans="1:11" ht="18" customHeight="1">
      <c r="A90" s="141" t="s">
        <v>108</v>
      </c>
      <c r="B90" s="137" t="s">
        <v>109</v>
      </c>
      <c r="C90" s="137"/>
      <c r="F90" s="177">
        <v>0</v>
      </c>
      <c r="G90" s="177">
        <v>0</v>
      </c>
      <c r="H90" s="160">
        <v>0</v>
      </c>
      <c r="I90" s="161">
        <f t="shared" si="10"/>
        <v>0</v>
      </c>
      <c r="J90" s="160">
        <v>0</v>
      </c>
      <c r="K90" s="152">
        <f t="shared" si="11"/>
        <v>0</v>
      </c>
    </row>
    <row r="91" spans="1:11" ht="18" customHeight="1">
      <c r="A91" s="141" t="s">
        <v>110</v>
      </c>
      <c r="B91" s="182" t="s">
        <v>359</v>
      </c>
      <c r="F91" s="177">
        <v>0</v>
      </c>
      <c r="G91" s="177">
        <v>0</v>
      </c>
      <c r="H91" s="160">
        <v>0</v>
      </c>
      <c r="I91" s="161">
        <f t="shared" si="10"/>
        <v>0</v>
      </c>
      <c r="J91" s="160">
        <v>0</v>
      </c>
      <c r="K91" s="152">
        <f t="shared" si="11"/>
        <v>0</v>
      </c>
    </row>
    <row r="92" spans="1:11" ht="18" customHeight="1">
      <c r="A92" s="141" t="s">
        <v>112</v>
      </c>
      <c r="B92" s="129" t="s">
        <v>113</v>
      </c>
      <c r="F92" s="181">
        <v>54</v>
      </c>
      <c r="G92" s="181">
        <v>613</v>
      </c>
      <c r="H92" s="180">
        <v>2428.91201</v>
      </c>
      <c r="I92" s="161">
        <f t="shared" si="10"/>
        <v>1349.6181732811465</v>
      </c>
      <c r="J92" s="180">
        <v>0</v>
      </c>
      <c r="K92" s="152">
        <f t="shared" si="11"/>
        <v>3778.5301832811465</v>
      </c>
    </row>
    <row r="93" spans="1:11" ht="18" customHeight="1">
      <c r="A93" s="141" t="s">
        <v>114</v>
      </c>
      <c r="B93" s="129" t="s">
        <v>115</v>
      </c>
      <c r="F93" s="177">
        <v>51</v>
      </c>
      <c r="G93" s="177">
        <v>245</v>
      </c>
      <c r="H93" s="160">
        <v>4055.975195</v>
      </c>
      <c r="I93" s="161">
        <f t="shared" si="10"/>
        <v>2253.6912868859099</v>
      </c>
      <c r="J93" s="160">
        <v>0</v>
      </c>
      <c r="K93" s="152">
        <f t="shared" si="11"/>
        <v>6309.6664818859099</v>
      </c>
    </row>
    <row r="94" spans="1:11" ht="18" customHeight="1">
      <c r="A94" s="141" t="s">
        <v>116</v>
      </c>
      <c r="B94" s="129" t="s">
        <v>85</v>
      </c>
      <c r="F94" s="177">
        <v>0</v>
      </c>
      <c r="G94" s="177">
        <v>0</v>
      </c>
      <c r="H94" s="160">
        <v>0</v>
      </c>
      <c r="I94" s="161">
        <f t="shared" si="10"/>
        <v>0</v>
      </c>
      <c r="J94" s="160">
        <v>0</v>
      </c>
      <c r="K94" s="152">
        <f t="shared" si="11"/>
        <v>0</v>
      </c>
    </row>
    <row r="95" spans="1:11" ht="18" customHeight="1">
      <c r="A95" s="141"/>
      <c r="B95" s="165" t="s">
        <v>358</v>
      </c>
      <c r="C95" s="164"/>
      <c r="D95" s="163"/>
      <c r="F95" s="177">
        <v>0</v>
      </c>
      <c r="G95" s="177">
        <v>4</v>
      </c>
      <c r="H95" s="160">
        <v>21</v>
      </c>
      <c r="I95" s="161">
        <f t="shared" si="10"/>
        <v>11.668591337281121</v>
      </c>
      <c r="J95" s="160">
        <v>0</v>
      </c>
      <c r="K95" s="152">
        <f t="shared" si="11"/>
        <v>32.668591337281121</v>
      </c>
    </row>
    <row r="96" spans="1:11" ht="18" customHeight="1">
      <c r="A96" s="141"/>
      <c r="B96" s="165"/>
      <c r="C96" s="164"/>
      <c r="D96" s="163"/>
      <c r="F96" s="177"/>
      <c r="G96" s="177"/>
      <c r="H96" s="160"/>
      <c r="I96" s="161">
        <f t="shared" si="10"/>
        <v>0</v>
      </c>
      <c r="J96" s="160"/>
      <c r="K96" s="152">
        <f t="shared" si="11"/>
        <v>0</v>
      </c>
    </row>
    <row r="97" spans="1:11" ht="18" customHeight="1">
      <c r="A97" s="141"/>
      <c r="B97" s="165"/>
      <c r="C97" s="164"/>
      <c r="D97" s="163"/>
      <c r="F97" s="177"/>
      <c r="G97" s="177"/>
      <c r="H97" s="160"/>
      <c r="I97" s="161">
        <f t="shared" si="10"/>
        <v>0</v>
      </c>
      <c r="J97" s="160"/>
      <c r="K97" s="152">
        <f t="shared" si="11"/>
        <v>0</v>
      </c>
    </row>
    <row r="98" spans="1:11" ht="18" customHeight="1">
      <c r="A98" s="141"/>
      <c r="F98" s="176"/>
      <c r="G98" s="176"/>
      <c r="H98" s="145"/>
      <c r="I98" s="145"/>
      <c r="J98" s="145"/>
      <c r="K98" s="145"/>
    </row>
    <row r="99" spans="1:11" ht="18" customHeight="1">
      <c r="E99" s="132" t="s">
        <v>41</v>
      </c>
      <c r="F99" s="175">
        <f t="shared" ref="F99:K99" si="12">SUM(F86:F97)</f>
        <v>3359.75</v>
      </c>
      <c r="G99" s="175">
        <f t="shared" si="12"/>
        <v>4463</v>
      </c>
      <c r="H99" s="152">
        <f t="shared" si="12"/>
        <v>531062.37185999996</v>
      </c>
      <c r="I99" s="152">
        <f t="shared" si="12"/>
        <v>295083.32342102675</v>
      </c>
      <c r="J99" s="152">
        <f t="shared" si="12"/>
        <v>0</v>
      </c>
      <c r="K99" s="152">
        <f t="shared" si="12"/>
        <v>826145.69528102688</v>
      </c>
    </row>
    <row r="100" spans="1:11" ht="18" customHeight="1" thickBot="1">
      <c r="B100" s="132"/>
      <c r="F100" s="179"/>
      <c r="G100" s="179"/>
      <c r="H100" s="170"/>
      <c r="I100" s="170"/>
      <c r="J100" s="170"/>
      <c r="K100" s="170"/>
    </row>
    <row r="101" spans="1:11" ht="31.5">
      <c r="F101" s="178" t="s">
        <v>13</v>
      </c>
      <c r="G101" s="178" t="s">
        <v>14</v>
      </c>
      <c r="H101" s="158" t="s">
        <v>15</v>
      </c>
      <c r="I101" s="158" t="s">
        <v>16</v>
      </c>
      <c r="J101" s="158" t="s">
        <v>17</v>
      </c>
      <c r="K101" s="158" t="s">
        <v>18</v>
      </c>
    </row>
    <row r="102" spans="1:11" ht="18" customHeight="1">
      <c r="A102" s="140" t="s">
        <v>117</v>
      </c>
      <c r="B102" s="132" t="s">
        <v>118</v>
      </c>
      <c r="F102" s="176"/>
      <c r="G102" s="176"/>
      <c r="H102" s="145"/>
      <c r="I102" s="145"/>
      <c r="J102" s="145"/>
      <c r="K102" s="145"/>
    </row>
    <row r="103" spans="1:11" ht="18" customHeight="1">
      <c r="A103" s="141" t="s">
        <v>119</v>
      </c>
      <c r="B103" s="129" t="s">
        <v>120</v>
      </c>
      <c r="F103" s="177">
        <v>309.5</v>
      </c>
      <c r="G103" s="177">
        <v>0</v>
      </c>
      <c r="H103" s="160">
        <v>20716.292529999999</v>
      </c>
      <c r="I103" s="161">
        <f t="shared" ref="I103:I108" si="13">H103*F$116</f>
        <v>11510.950074101886</v>
      </c>
      <c r="J103" s="160">
        <v>0</v>
      </c>
      <c r="K103" s="152">
        <f t="shared" ref="K103:K108" si="14">(H103+I103)-J103</f>
        <v>32227.242604101884</v>
      </c>
    </row>
    <row r="104" spans="1:11" ht="18" customHeight="1">
      <c r="A104" s="141" t="s">
        <v>121</v>
      </c>
      <c r="B104" s="137" t="s">
        <v>122</v>
      </c>
      <c r="C104" s="137"/>
      <c r="F104" s="177">
        <v>10</v>
      </c>
      <c r="G104" s="177">
        <v>114</v>
      </c>
      <c r="H104" s="160">
        <v>436.4239</v>
      </c>
      <c r="I104" s="161">
        <f t="shared" si="13"/>
        <v>242.49772090106867</v>
      </c>
      <c r="J104" s="160">
        <v>0</v>
      </c>
      <c r="K104" s="152">
        <f t="shared" si="14"/>
        <v>678.92162090106865</v>
      </c>
    </row>
    <row r="105" spans="1:11" ht="18" customHeight="1">
      <c r="A105" s="141" t="s">
        <v>123</v>
      </c>
      <c r="B105" s="129" t="s">
        <v>124</v>
      </c>
      <c r="F105" s="177">
        <v>0</v>
      </c>
      <c r="G105" s="177">
        <v>0</v>
      </c>
      <c r="H105" s="160">
        <v>0</v>
      </c>
      <c r="I105" s="161">
        <f t="shared" si="13"/>
        <v>0</v>
      </c>
      <c r="J105" s="160">
        <v>0</v>
      </c>
      <c r="K105" s="152">
        <f t="shared" si="14"/>
        <v>0</v>
      </c>
    </row>
    <row r="106" spans="1:11" ht="18" customHeight="1">
      <c r="A106" s="141" t="s">
        <v>125</v>
      </c>
      <c r="B106" s="165"/>
      <c r="C106" s="164"/>
      <c r="D106" s="163"/>
      <c r="F106" s="177"/>
      <c r="G106" s="177"/>
      <c r="H106" s="160"/>
      <c r="I106" s="161">
        <f t="shared" si="13"/>
        <v>0</v>
      </c>
      <c r="J106" s="160"/>
      <c r="K106" s="152">
        <f t="shared" si="14"/>
        <v>0</v>
      </c>
    </row>
    <row r="107" spans="1:11" ht="18" customHeight="1">
      <c r="A107" s="141" t="s">
        <v>126</v>
      </c>
      <c r="B107" s="165"/>
      <c r="C107" s="164"/>
      <c r="D107" s="163"/>
      <c r="F107" s="177"/>
      <c r="G107" s="177"/>
      <c r="H107" s="160"/>
      <c r="I107" s="161">
        <f t="shared" si="13"/>
        <v>0</v>
      </c>
      <c r="J107" s="160"/>
      <c r="K107" s="152">
        <f t="shared" si="14"/>
        <v>0</v>
      </c>
    </row>
    <row r="108" spans="1:11" ht="18" customHeight="1">
      <c r="A108" s="141" t="s">
        <v>127</v>
      </c>
      <c r="B108" s="165"/>
      <c r="C108" s="164"/>
      <c r="D108" s="163"/>
      <c r="F108" s="177"/>
      <c r="G108" s="177"/>
      <c r="H108" s="160"/>
      <c r="I108" s="161">
        <f t="shared" si="13"/>
        <v>0</v>
      </c>
      <c r="J108" s="160"/>
      <c r="K108" s="152">
        <f t="shared" si="14"/>
        <v>0</v>
      </c>
    </row>
    <row r="109" spans="1:11" ht="18" customHeight="1">
      <c r="B109" s="132"/>
      <c r="F109" s="176"/>
      <c r="G109" s="176"/>
      <c r="H109" s="145"/>
      <c r="I109" s="145"/>
      <c r="J109" s="145"/>
      <c r="K109" s="145"/>
    </row>
    <row r="110" spans="1:11" s="169" customFormat="1" ht="18" customHeight="1">
      <c r="A110" s="130"/>
      <c r="C110" s="129"/>
      <c r="D110" s="129"/>
      <c r="E110" s="132" t="s">
        <v>41</v>
      </c>
      <c r="F110" s="175">
        <f t="shared" ref="F110:K110" si="15">SUM(F103:F108)</f>
        <v>319.5</v>
      </c>
      <c r="G110" s="175">
        <f t="shared" si="15"/>
        <v>114</v>
      </c>
      <c r="H110" s="152">
        <f t="shared" si="15"/>
        <v>21152.71643</v>
      </c>
      <c r="I110" s="152">
        <f t="shared" si="15"/>
        <v>11753.447795002954</v>
      </c>
      <c r="J110" s="152">
        <f t="shared" si="15"/>
        <v>0</v>
      </c>
      <c r="K110" s="152">
        <f t="shared" si="15"/>
        <v>32906.164225002954</v>
      </c>
    </row>
    <row r="111" spans="1:11" s="169" customFormat="1" ht="18" customHeight="1" thickBot="1">
      <c r="A111" s="174"/>
      <c r="B111" s="173"/>
      <c r="C111" s="172"/>
      <c r="D111" s="172"/>
      <c r="E111" s="172"/>
      <c r="F111" s="171"/>
      <c r="G111" s="171"/>
      <c r="H111" s="170"/>
      <c r="I111" s="170"/>
      <c r="J111" s="170"/>
      <c r="K111" s="170"/>
    </row>
    <row r="112" spans="1:11" s="169" customFormat="1" ht="18" customHeight="1">
      <c r="A112" s="140" t="s">
        <v>128</v>
      </c>
      <c r="B112" s="132" t="s">
        <v>129</v>
      </c>
      <c r="C112" s="129"/>
      <c r="D112" s="129"/>
      <c r="E112" s="129"/>
      <c r="F112" s="129"/>
      <c r="G112" s="129"/>
      <c r="H112" s="145"/>
      <c r="I112" s="145"/>
      <c r="J112" s="145"/>
      <c r="K112" s="145"/>
    </row>
    <row r="113" spans="1:11" ht="18" customHeight="1">
      <c r="B113" s="132"/>
      <c r="E113" s="132" t="s">
        <v>41</v>
      </c>
      <c r="F113" s="166">
        <v>28265000</v>
      </c>
      <c r="H113" s="145"/>
      <c r="I113" s="145"/>
      <c r="J113" s="145"/>
      <c r="K113" s="145"/>
    </row>
    <row r="114" spans="1:11" ht="18" customHeight="1">
      <c r="B114" s="132"/>
      <c r="E114" s="132"/>
      <c r="F114" s="168"/>
      <c r="H114" s="145"/>
      <c r="I114" s="145"/>
      <c r="J114" s="145"/>
      <c r="K114" s="145"/>
    </row>
    <row r="115" spans="1:11" ht="18" customHeight="1">
      <c r="A115" s="140" t="s">
        <v>130</v>
      </c>
      <c r="B115" s="132" t="s">
        <v>131</v>
      </c>
      <c r="H115" s="145"/>
      <c r="I115" s="145"/>
      <c r="J115" s="145"/>
      <c r="K115" s="145"/>
    </row>
    <row r="116" spans="1:11" ht="18" customHeight="1">
      <c r="A116" s="141" t="s">
        <v>132</v>
      </c>
      <c r="B116" s="129" t="s">
        <v>133</v>
      </c>
      <c r="F116" s="167">
        <v>0.55564720653719624</v>
      </c>
      <c r="H116" s="145"/>
      <c r="I116" s="145"/>
      <c r="J116" s="145"/>
      <c r="K116" s="145"/>
    </row>
    <row r="117" spans="1:11" ht="14.25" customHeight="1">
      <c r="A117" s="141"/>
      <c r="B117" s="132"/>
      <c r="H117" s="145"/>
      <c r="I117" s="145"/>
      <c r="J117" s="145"/>
      <c r="K117" s="145"/>
    </row>
    <row r="118" spans="1:11" ht="18" customHeight="1">
      <c r="A118" s="141" t="s">
        <v>134</v>
      </c>
      <c r="B118" s="132" t="s">
        <v>135</v>
      </c>
      <c r="H118" s="145"/>
      <c r="I118" s="145"/>
      <c r="J118" s="145"/>
      <c r="K118" s="145"/>
    </row>
    <row r="119" spans="1:11" ht="18" customHeight="1">
      <c r="A119" s="141"/>
      <c r="B119" s="129" t="s">
        <v>136</v>
      </c>
      <c r="F119" s="166">
        <v>470707000</v>
      </c>
      <c r="H119" s="145"/>
      <c r="I119" s="145"/>
      <c r="J119" s="145"/>
      <c r="K119" s="145"/>
    </row>
    <row r="120" spans="1:11" ht="18" customHeight="1">
      <c r="B120" s="129" t="s">
        <v>137</v>
      </c>
      <c r="F120" s="166">
        <v>48740000</v>
      </c>
      <c r="H120" s="145"/>
      <c r="I120" s="145"/>
      <c r="J120" s="145"/>
      <c r="K120" s="145"/>
    </row>
    <row r="121" spans="1:11" ht="18" customHeight="1">
      <c r="A121" s="141"/>
      <c r="B121" s="132" t="s">
        <v>138</v>
      </c>
      <c r="F121" s="166">
        <v>519447000</v>
      </c>
      <c r="H121" s="145"/>
      <c r="I121" s="145"/>
      <c r="J121" s="145"/>
      <c r="K121" s="145"/>
    </row>
    <row r="122" spans="1:11" ht="18" customHeight="1">
      <c r="A122" s="141"/>
      <c r="B122" s="132"/>
      <c r="H122" s="145"/>
      <c r="I122" s="145"/>
      <c r="J122" s="145"/>
      <c r="K122" s="145"/>
    </row>
    <row r="123" spans="1:11" ht="18" customHeight="1">
      <c r="A123" s="141" t="s">
        <v>139</v>
      </c>
      <c r="B123" s="132" t="s">
        <v>140</v>
      </c>
      <c r="F123" s="166">
        <v>518619000</v>
      </c>
      <c r="H123" s="145"/>
      <c r="I123" s="145"/>
      <c r="J123" s="145"/>
      <c r="K123" s="145"/>
    </row>
    <row r="124" spans="1:11" ht="18" customHeight="1">
      <c r="A124" s="141"/>
      <c r="H124" s="145"/>
      <c r="I124" s="145"/>
      <c r="J124" s="145"/>
      <c r="K124" s="145"/>
    </row>
    <row r="125" spans="1:11" ht="18" customHeight="1">
      <c r="A125" s="141" t="s">
        <v>141</v>
      </c>
      <c r="B125" s="132" t="s">
        <v>142</v>
      </c>
      <c r="F125" s="166">
        <v>828000</v>
      </c>
      <c r="H125" s="145"/>
      <c r="I125" s="145"/>
      <c r="J125" s="145"/>
      <c r="K125" s="145"/>
    </row>
    <row r="126" spans="1:11" ht="18" customHeight="1">
      <c r="A126" s="141"/>
      <c r="H126" s="145"/>
      <c r="I126" s="145"/>
      <c r="J126" s="145"/>
      <c r="K126" s="145"/>
    </row>
    <row r="127" spans="1:11" ht="18" customHeight="1">
      <c r="A127" s="141" t="s">
        <v>143</v>
      </c>
      <c r="B127" s="132" t="s">
        <v>144</v>
      </c>
      <c r="F127" s="166">
        <v>-6152000</v>
      </c>
      <c r="H127" s="145"/>
      <c r="I127" s="145"/>
      <c r="J127" s="145"/>
      <c r="K127" s="145"/>
    </row>
    <row r="128" spans="1:11" ht="18" customHeight="1">
      <c r="A128" s="141"/>
      <c r="H128" s="145"/>
      <c r="I128" s="145"/>
      <c r="J128" s="145"/>
      <c r="K128" s="145"/>
    </row>
    <row r="129" spans="1:11" ht="18" customHeight="1">
      <c r="A129" s="141" t="s">
        <v>145</v>
      </c>
      <c r="B129" s="132" t="s">
        <v>146</v>
      </c>
      <c r="F129" s="166">
        <v>-5324000</v>
      </c>
      <c r="H129" s="145"/>
      <c r="I129" s="145"/>
      <c r="J129" s="145"/>
      <c r="K129" s="145"/>
    </row>
    <row r="130" spans="1:11" ht="18" customHeight="1">
      <c r="A130" s="141"/>
      <c r="H130" s="145"/>
      <c r="I130" s="145"/>
      <c r="J130" s="145"/>
      <c r="K130" s="145"/>
    </row>
    <row r="131" spans="1:11" ht="31.5">
      <c r="F131" s="159" t="s">
        <v>13</v>
      </c>
      <c r="G131" s="159" t="s">
        <v>14</v>
      </c>
      <c r="H131" s="158" t="s">
        <v>15</v>
      </c>
      <c r="I131" s="158" t="s">
        <v>16</v>
      </c>
      <c r="J131" s="158" t="s">
        <v>17</v>
      </c>
      <c r="K131" s="158" t="s">
        <v>18</v>
      </c>
    </row>
    <row r="132" spans="1:11" ht="18" customHeight="1">
      <c r="A132" s="140" t="s">
        <v>147</v>
      </c>
      <c r="B132" s="132" t="s">
        <v>148</v>
      </c>
      <c r="H132" s="145"/>
      <c r="I132" s="145"/>
      <c r="J132" s="145"/>
      <c r="K132" s="145"/>
    </row>
    <row r="133" spans="1:11" ht="18" customHeight="1">
      <c r="A133" s="141" t="s">
        <v>149</v>
      </c>
      <c r="B133" s="129" t="s">
        <v>150</v>
      </c>
      <c r="F133" s="162"/>
      <c r="G133" s="162"/>
      <c r="H133" s="160"/>
      <c r="I133" s="161">
        <f t="shared" ref="I133:I138" si="16">H133*F$116</f>
        <v>0</v>
      </c>
      <c r="J133" s="160"/>
      <c r="K133" s="152">
        <f t="shared" ref="K133:K138" si="17">(H133+I133)-J133</f>
        <v>0</v>
      </c>
    </row>
    <row r="134" spans="1:11" ht="18" customHeight="1">
      <c r="A134" s="141" t="s">
        <v>151</v>
      </c>
      <c r="B134" s="129" t="s">
        <v>152</v>
      </c>
      <c r="F134" s="162"/>
      <c r="G134" s="162"/>
      <c r="H134" s="160"/>
      <c r="I134" s="161">
        <f t="shared" si="16"/>
        <v>0</v>
      </c>
      <c r="J134" s="160"/>
      <c r="K134" s="152">
        <f t="shared" si="17"/>
        <v>0</v>
      </c>
    </row>
    <row r="135" spans="1:11" ht="18" customHeight="1">
      <c r="A135" s="141" t="s">
        <v>153</v>
      </c>
      <c r="B135" s="129" t="s">
        <v>34</v>
      </c>
      <c r="F135" s="162"/>
      <c r="G135" s="162"/>
      <c r="H135" s="160"/>
      <c r="I135" s="161">
        <f t="shared" si="16"/>
        <v>0</v>
      </c>
      <c r="J135" s="160"/>
      <c r="K135" s="152">
        <f t="shared" si="17"/>
        <v>0</v>
      </c>
    </row>
    <row r="136" spans="1:11" ht="18" customHeight="1">
      <c r="A136" s="141" t="s">
        <v>154</v>
      </c>
      <c r="B136" s="165"/>
      <c r="C136" s="164"/>
      <c r="D136" s="163"/>
      <c r="F136" s="162"/>
      <c r="G136" s="162"/>
      <c r="H136" s="160"/>
      <c r="I136" s="161">
        <f t="shared" si="16"/>
        <v>0</v>
      </c>
      <c r="J136" s="160"/>
      <c r="K136" s="152">
        <f t="shared" si="17"/>
        <v>0</v>
      </c>
    </row>
    <row r="137" spans="1:11" ht="18" customHeight="1">
      <c r="A137" s="141" t="s">
        <v>155</v>
      </c>
      <c r="B137" s="165"/>
      <c r="C137" s="164"/>
      <c r="D137" s="163"/>
      <c r="F137" s="162"/>
      <c r="G137" s="162"/>
      <c r="H137" s="160"/>
      <c r="I137" s="161">
        <f t="shared" si="16"/>
        <v>0</v>
      </c>
      <c r="J137" s="160"/>
      <c r="K137" s="152">
        <f t="shared" si="17"/>
        <v>0</v>
      </c>
    </row>
    <row r="138" spans="1:11" ht="18" customHeight="1">
      <c r="A138" s="141" t="s">
        <v>156</v>
      </c>
      <c r="B138" s="165"/>
      <c r="C138" s="164"/>
      <c r="D138" s="163"/>
      <c r="F138" s="162"/>
      <c r="G138" s="162"/>
      <c r="H138" s="160"/>
      <c r="I138" s="161">
        <f t="shared" si="16"/>
        <v>0</v>
      </c>
      <c r="J138" s="160"/>
      <c r="K138" s="152">
        <f t="shared" si="17"/>
        <v>0</v>
      </c>
    </row>
    <row r="139" spans="1:11" ht="18" customHeight="1">
      <c r="A139" s="140"/>
      <c r="H139" s="145"/>
      <c r="I139" s="145"/>
      <c r="J139" s="145"/>
      <c r="K139" s="145"/>
    </row>
    <row r="140" spans="1:11" ht="18" customHeight="1">
      <c r="B140" s="132" t="s">
        <v>157</v>
      </c>
      <c r="F140" s="153">
        <f t="shared" ref="F140:K140" si="18">SUM(F133:F138)</f>
        <v>0</v>
      </c>
      <c r="G140" s="153">
        <f t="shared" si="18"/>
        <v>0</v>
      </c>
      <c r="H140" s="152">
        <f t="shared" si="18"/>
        <v>0</v>
      </c>
      <c r="I140" s="152">
        <f t="shared" si="18"/>
        <v>0</v>
      </c>
      <c r="J140" s="152">
        <f t="shared" si="18"/>
        <v>0</v>
      </c>
      <c r="K140" s="152">
        <f t="shared" si="18"/>
        <v>0</v>
      </c>
    </row>
    <row r="141" spans="1:11" ht="18" customHeight="1">
      <c r="A141" s="129"/>
      <c r="H141" s="145"/>
      <c r="I141" s="145"/>
      <c r="J141" s="145"/>
      <c r="K141" s="145"/>
    </row>
    <row r="142" spans="1:11" ht="31.5">
      <c r="F142" s="159" t="s">
        <v>13</v>
      </c>
      <c r="G142" s="159" t="s">
        <v>14</v>
      </c>
      <c r="H142" s="158" t="s">
        <v>15</v>
      </c>
      <c r="I142" s="158" t="s">
        <v>16</v>
      </c>
      <c r="J142" s="158" t="s">
        <v>17</v>
      </c>
      <c r="K142" s="158" t="s">
        <v>18</v>
      </c>
    </row>
    <row r="143" spans="1:11" ht="18" customHeight="1">
      <c r="A143" s="140" t="s">
        <v>158</v>
      </c>
      <c r="B143" s="129" t="s">
        <v>159</v>
      </c>
      <c r="H143" s="145"/>
      <c r="I143" s="145"/>
      <c r="J143" s="145"/>
      <c r="K143" s="145"/>
    </row>
    <row r="144" spans="1:11" ht="18" customHeight="1">
      <c r="A144" s="141" t="s">
        <v>160</v>
      </c>
      <c r="B144" s="132" t="s">
        <v>161</v>
      </c>
      <c r="F144" s="157">
        <f t="shared" ref="F144:K144" si="19">F34</f>
        <v>40570.81</v>
      </c>
      <c r="G144" s="157">
        <f t="shared" si="19"/>
        <v>425358.1</v>
      </c>
      <c r="H144" s="154">
        <f t="shared" si="19"/>
        <v>1650546.9101830693</v>
      </c>
      <c r="I144" s="154">
        <f t="shared" si="19"/>
        <v>669584.60936907481</v>
      </c>
      <c r="J144" s="154">
        <f t="shared" si="19"/>
        <v>0</v>
      </c>
      <c r="K144" s="154">
        <f t="shared" si="19"/>
        <v>2320131.5195521442</v>
      </c>
    </row>
    <row r="145" spans="1:11" ht="18" customHeight="1">
      <c r="A145" s="141" t="s">
        <v>162</v>
      </c>
      <c r="B145" s="132" t="s">
        <v>163</v>
      </c>
      <c r="F145" s="157">
        <f t="shared" ref="F145:K145" si="20">F48</f>
        <v>35807.85</v>
      </c>
      <c r="G145" s="157">
        <f t="shared" si="20"/>
        <v>6680.1</v>
      </c>
      <c r="H145" s="154">
        <f t="shared" si="20"/>
        <v>19959027.874534998</v>
      </c>
      <c r="I145" s="154">
        <f t="shared" si="20"/>
        <v>0</v>
      </c>
      <c r="J145" s="154">
        <f t="shared" si="20"/>
        <v>0</v>
      </c>
      <c r="K145" s="154">
        <f t="shared" si="20"/>
        <v>19959027.874534998</v>
      </c>
    </row>
    <row r="146" spans="1:11" ht="18" customHeight="1">
      <c r="A146" s="141" t="s">
        <v>164</v>
      </c>
      <c r="B146" s="132" t="s">
        <v>165</v>
      </c>
      <c r="F146" s="157">
        <f t="shared" ref="F146:K146" si="21">F63</f>
        <v>4</v>
      </c>
      <c r="G146" s="157">
        <f t="shared" si="21"/>
        <v>162</v>
      </c>
      <c r="H146" s="154">
        <f t="shared" si="21"/>
        <v>5075622.9590800004</v>
      </c>
      <c r="I146" s="154">
        <f t="shared" si="21"/>
        <v>0</v>
      </c>
      <c r="J146" s="154">
        <f t="shared" si="21"/>
        <v>746469</v>
      </c>
      <c r="K146" s="154">
        <f t="shared" si="21"/>
        <v>4329153.9590800004</v>
      </c>
    </row>
    <row r="147" spans="1:11" ht="18" customHeight="1">
      <c r="A147" s="141" t="s">
        <v>166</v>
      </c>
      <c r="B147" s="132" t="s">
        <v>167</v>
      </c>
      <c r="F147" s="157">
        <f t="shared" ref="F147:K147" si="22">F74</f>
        <v>0</v>
      </c>
      <c r="G147" s="157">
        <f t="shared" si="22"/>
        <v>0</v>
      </c>
      <c r="H147" s="154">
        <f t="shared" si="22"/>
        <v>103143</v>
      </c>
      <c r="I147" s="154">
        <f t="shared" si="22"/>
        <v>0</v>
      </c>
      <c r="J147" s="154">
        <f t="shared" si="22"/>
        <v>0</v>
      </c>
      <c r="K147" s="154">
        <f t="shared" si="22"/>
        <v>103143</v>
      </c>
    </row>
    <row r="148" spans="1:11" ht="18" customHeight="1">
      <c r="A148" s="141" t="s">
        <v>168</v>
      </c>
      <c r="B148" s="132" t="s">
        <v>169</v>
      </c>
      <c r="F148" s="157">
        <f t="shared" ref="F148:K148" si="23">F82</f>
        <v>4932.7</v>
      </c>
      <c r="G148" s="157">
        <f t="shared" si="23"/>
        <v>53586</v>
      </c>
      <c r="H148" s="154">
        <f t="shared" si="23"/>
        <v>592090.90362000011</v>
      </c>
      <c r="I148" s="154">
        <f t="shared" si="23"/>
        <v>6772.9653688527187</v>
      </c>
      <c r="J148" s="154">
        <f t="shared" si="23"/>
        <v>0</v>
      </c>
      <c r="K148" s="154">
        <f t="shared" si="23"/>
        <v>598863.86898885283</v>
      </c>
    </row>
    <row r="149" spans="1:11" ht="18" customHeight="1">
      <c r="A149" s="141" t="s">
        <v>170</v>
      </c>
      <c r="B149" s="132" t="s">
        <v>171</v>
      </c>
      <c r="F149" s="157">
        <f t="shared" ref="F149:K149" si="24">F99</f>
        <v>3359.75</v>
      </c>
      <c r="G149" s="157">
        <f t="shared" si="24"/>
        <v>4463</v>
      </c>
      <c r="H149" s="154">
        <f t="shared" si="24"/>
        <v>531062.37185999996</v>
      </c>
      <c r="I149" s="154">
        <f t="shared" si="24"/>
        <v>295083.32342102675</v>
      </c>
      <c r="J149" s="154">
        <f t="shared" si="24"/>
        <v>0</v>
      </c>
      <c r="K149" s="154">
        <f t="shared" si="24"/>
        <v>826145.69528102688</v>
      </c>
    </row>
    <row r="150" spans="1:11" ht="18" customHeight="1">
      <c r="A150" s="141" t="s">
        <v>172</v>
      </c>
      <c r="B150" s="132" t="s">
        <v>173</v>
      </c>
      <c r="F150" s="153">
        <f t="shared" ref="F150:K150" si="25">F110</f>
        <v>319.5</v>
      </c>
      <c r="G150" s="153">
        <f t="shared" si="25"/>
        <v>114</v>
      </c>
      <c r="H150" s="152">
        <f t="shared" si="25"/>
        <v>21152.71643</v>
      </c>
      <c r="I150" s="152">
        <f t="shared" si="25"/>
        <v>11753.447795002954</v>
      </c>
      <c r="J150" s="152">
        <f t="shared" si="25"/>
        <v>0</v>
      </c>
      <c r="K150" s="152">
        <f t="shared" si="25"/>
        <v>32906.164225002954</v>
      </c>
    </row>
    <row r="151" spans="1:11" ht="18" customHeight="1">
      <c r="A151" s="141" t="s">
        <v>174</v>
      </c>
      <c r="B151" s="132" t="s">
        <v>175</v>
      </c>
      <c r="F151" s="156" t="s">
        <v>176</v>
      </c>
      <c r="G151" s="156" t="s">
        <v>176</v>
      </c>
      <c r="H151" s="155" t="s">
        <v>176</v>
      </c>
      <c r="I151" s="155" t="s">
        <v>176</v>
      </c>
      <c r="J151" s="155" t="s">
        <v>176</v>
      </c>
      <c r="K151" s="154">
        <f>F113</f>
        <v>28265000</v>
      </c>
    </row>
    <row r="152" spans="1:11" ht="18" customHeight="1">
      <c r="A152" s="141" t="s">
        <v>147</v>
      </c>
      <c r="B152" s="132" t="s">
        <v>177</v>
      </c>
      <c r="F152" s="153">
        <f t="shared" ref="F152:K152" si="26">F140</f>
        <v>0</v>
      </c>
      <c r="G152" s="153">
        <f t="shared" si="26"/>
        <v>0</v>
      </c>
      <c r="H152" s="152">
        <f t="shared" si="26"/>
        <v>0</v>
      </c>
      <c r="I152" s="152">
        <f t="shared" si="26"/>
        <v>0</v>
      </c>
      <c r="J152" s="152">
        <f t="shared" si="26"/>
        <v>0</v>
      </c>
      <c r="K152" s="152">
        <f t="shared" si="26"/>
        <v>0</v>
      </c>
    </row>
    <row r="153" spans="1:11" ht="18" customHeight="1">
      <c r="B153" s="132"/>
      <c r="F153" s="151"/>
      <c r="G153" s="151"/>
      <c r="H153" s="150"/>
      <c r="I153" s="150"/>
      <c r="J153" s="150"/>
      <c r="K153" s="150"/>
    </row>
    <row r="154" spans="1:11" ht="18" customHeight="1">
      <c r="A154" s="140"/>
      <c r="B154" s="132" t="s">
        <v>159</v>
      </c>
      <c r="F154" s="149">
        <f t="shared" ref="F154:K154" si="27">SUM(F144:F152)</f>
        <v>84994.61</v>
      </c>
      <c r="G154" s="148">
        <f t="shared" si="27"/>
        <v>490363.19999999995</v>
      </c>
      <c r="H154" s="147">
        <f t="shared" si="27"/>
        <v>27932646.735708069</v>
      </c>
      <c r="I154" s="147">
        <f t="shared" si="27"/>
        <v>983194.34595395718</v>
      </c>
      <c r="J154" s="147">
        <f t="shared" si="27"/>
        <v>746469</v>
      </c>
      <c r="K154" s="146">
        <f t="shared" si="27"/>
        <v>56434372.081662029</v>
      </c>
    </row>
    <row r="155" spans="1:11" ht="12" customHeight="1">
      <c r="K155" s="145"/>
    </row>
    <row r="156" spans="1:11" ht="18" customHeight="1">
      <c r="B156" s="132" t="s">
        <v>178</v>
      </c>
      <c r="F156" s="144">
        <f>K154/F123</f>
        <v>0.10881663047759922</v>
      </c>
    </row>
    <row r="157" spans="1:11" ht="18" customHeight="1">
      <c r="B157" s="132" t="s">
        <v>179</v>
      </c>
      <c r="F157" s="144">
        <f>K154/F129</f>
        <v>-10.599994756134867</v>
      </c>
      <c r="G157" s="132"/>
    </row>
    <row r="158" spans="1:11" ht="18" customHeight="1">
      <c r="G158" s="132"/>
    </row>
    <row r="159" spans="1:11" ht="18" hidden="1" customHeight="1">
      <c r="A159" s="140" t="s">
        <v>357</v>
      </c>
      <c r="B159" s="139" t="s">
        <v>356</v>
      </c>
      <c r="C159" s="137"/>
    </row>
    <row r="160" spans="1:11" ht="18" hidden="1" customHeight="1">
      <c r="B160" s="143"/>
      <c r="H160" s="132" t="s">
        <v>355</v>
      </c>
    </row>
    <row r="161" spans="1:9" ht="18" hidden="1" customHeight="1">
      <c r="B161" s="129" t="s">
        <v>354</v>
      </c>
      <c r="H161" s="133" t="s">
        <v>341</v>
      </c>
      <c r="I161" s="132"/>
    </row>
    <row r="162" spans="1:9" ht="18" hidden="1" customHeight="1">
      <c r="A162" s="140"/>
      <c r="B162" s="129" t="s">
        <v>353</v>
      </c>
      <c r="H162" s="142" t="s">
        <v>352</v>
      </c>
    </row>
    <row r="163" spans="1:9" ht="18" hidden="1" customHeight="1">
      <c r="A163" s="141"/>
      <c r="B163" s="137" t="s">
        <v>351</v>
      </c>
      <c r="C163" s="137"/>
      <c r="H163" s="133" t="s">
        <v>341</v>
      </c>
    </row>
    <row r="164" spans="1:9" ht="18" hidden="1" customHeight="1">
      <c r="B164" s="129" t="s">
        <v>350</v>
      </c>
      <c r="H164" s="133" t="s">
        <v>176</v>
      </c>
    </row>
    <row r="165" spans="1:9" ht="18" hidden="1" customHeight="1">
      <c r="B165" s="129" t="s">
        <v>34</v>
      </c>
      <c r="H165" s="133"/>
    </row>
    <row r="166" spans="1:9" ht="18" hidden="1" customHeight="1">
      <c r="B166" s="135"/>
      <c r="C166" s="134"/>
      <c r="D166" s="134"/>
      <c r="E166" s="134"/>
      <c r="F166" s="134"/>
    </row>
    <row r="167" spans="1:9" ht="18" hidden="1" customHeight="1"/>
    <row r="168" spans="1:9" ht="18" hidden="1" customHeight="1">
      <c r="B168" s="132" t="s">
        <v>349</v>
      </c>
    </row>
    <row r="169" spans="1:9" ht="18" hidden="1" customHeight="1">
      <c r="G169" s="132" t="s">
        <v>339</v>
      </c>
      <c r="H169" s="131">
        <v>38295</v>
      </c>
    </row>
    <row r="170" spans="1:9" ht="18" hidden="1" customHeight="1">
      <c r="H170" s="132"/>
    </row>
    <row r="171" spans="1:9" ht="18" hidden="1" customHeight="1">
      <c r="A171" s="140" t="s">
        <v>348</v>
      </c>
      <c r="B171" s="139" t="s">
        <v>347</v>
      </c>
      <c r="C171" s="137"/>
    </row>
    <row r="172" spans="1:9" ht="18" hidden="1" customHeight="1">
      <c r="B172" s="138" t="s">
        <v>346</v>
      </c>
      <c r="C172" s="137"/>
      <c r="D172" s="137"/>
      <c r="E172" s="137"/>
      <c r="H172" s="132" t="s">
        <v>345</v>
      </c>
    </row>
    <row r="173" spans="1:9" ht="18" hidden="1" customHeight="1">
      <c r="B173" s="129" t="s">
        <v>344</v>
      </c>
      <c r="H173" s="136" t="s">
        <v>343</v>
      </c>
    </row>
    <row r="174" spans="1:9" ht="18" hidden="1" customHeight="1">
      <c r="B174" s="129" t="s">
        <v>342</v>
      </c>
      <c r="H174" s="133" t="s">
        <v>341</v>
      </c>
    </row>
    <row r="175" spans="1:9" ht="18" hidden="1" customHeight="1">
      <c r="B175" s="129" t="s">
        <v>34</v>
      </c>
      <c r="H175" s="133"/>
    </row>
    <row r="176" spans="1:9" ht="18" hidden="1" customHeight="1">
      <c r="B176" s="135"/>
      <c r="C176" s="134"/>
      <c r="D176" s="134"/>
      <c r="E176" s="134"/>
      <c r="F176" s="134"/>
      <c r="H176" s="133"/>
    </row>
    <row r="177" spans="2:8" s="129" customFormat="1" ht="18" hidden="1" customHeight="1"/>
    <row r="178" spans="2:8" s="129" customFormat="1" ht="18" hidden="1" customHeight="1">
      <c r="B178" s="132" t="s">
        <v>340</v>
      </c>
    </row>
    <row r="179" spans="2:8" s="129" customFormat="1" ht="18" hidden="1" customHeight="1">
      <c r="G179" s="132" t="s">
        <v>339</v>
      </c>
      <c r="H179" s="131">
        <v>39406</v>
      </c>
    </row>
  </sheetData>
  <sheetProtection password="EF72" sheet="1" objects="1" scenarios="1"/>
  <printOptions horizontalCentered="1"/>
  <pageMargins left="0.5" right="0.5" top="0.75" bottom="0.5" header="0" footer="0"/>
  <pageSetup scale="56" fitToHeight="5" orientation="landscape" r:id="rId1"/>
  <headerFooter alignWithMargins="0">
    <oddFooter>&amp;C&amp;P</oddFooter>
  </headerFooter>
  <rowBreaks count="3" manualBreakCount="3">
    <brk id="35" max="65535" man="1"/>
    <brk id="74" max="65535" man="1"/>
    <brk id="111" max="6553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K158"/>
  <sheetViews>
    <sheetView view="pageBreakPreview" zoomScale="60" zoomScaleNormal="7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394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393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392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391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390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389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7234</v>
      </c>
      <c r="G18" s="11">
        <v>14068</v>
      </c>
      <c r="H18" s="12">
        <v>290005</v>
      </c>
      <c r="I18" s="13">
        <f t="shared" ref="I18:I32" si="0">H18*0.4782</f>
        <v>138680.391</v>
      </c>
      <c r="J18" s="12">
        <v>5979</v>
      </c>
      <c r="K18" s="14">
        <f t="shared" ref="K18:K32" si="1">(H18+I18)-J18</f>
        <v>422706.391</v>
      </c>
    </row>
    <row r="19" spans="1:11" ht="18" customHeight="1">
      <c r="A19" s="6"/>
      <c r="B19" s="2" t="s">
        <v>23</v>
      </c>
      <c r="F19" s="11">
        <v>556</v>
      </c>
      <c r="G19" s="11">
        <v>934</v>
      </c>
      <c r="H19" s="12">
        <v>43950</v>
      </c>
      <c r="I19" s="13">
        <f t="shared" si="0"/>
        <v>21016.89</v>
      </c>
      <c r="J19" s="12"/>
      <c r="K19" s="14">
        <f t="shared" si="1"/>
        <v>64966.89</v>
      </c>
    </row>
    <row r="20" spans="1:11" ht="18" customHeight="1">
      <c r="A20" s="6"/>
      <c r="B20" s="2" t="s">
        <v>24</v>
      </c>
      <c r="F20" s="11">
        <v>5</v>
      </c>
      <c r="G20" s="11">
        <v>200</v>
      </c>
      <c r="H20" s="12">
        <v>7500</v>
      </c>
      <c r="I20" s="13">
        <f t="shared" si="0"/>
        <v>3586.5</v>
      </c>
      <c r="J20" s="12"/>
      <c r="K20" s="14">
        <f t="shared" si="1"/>
        <v>11086.5</v>
      </c>
    </row>
    <row r="21" spans="1:11" ht="18" customHeight="1">
      <c r="A21" s="6" t="s">
        <v>25</v>
      </c>
      <c r="B21" s="2" t="s">
        <v>26</v>
      </c>
      <c r="F21" s="11">
        <v>40732</v>
      </c>
      <c r="G21" s="11">
        <v>7205</v>
      </c>
      <c r="H21" s="12">
        <v>1499505</v>
      </c>
      <c r="I21" s="13">
        <f t="shared" si="0"/>
        <v>717063.29099999997</v>
      </c>
      <c r="J21" s="12">
        <v>871895</v>
      </c>
      <c r="K21" s="14">
        <f t="shared" si="1"/>
        <v>1344673.2910000002</v>
      </c>
    </row>
    <row r="22" spans="1:11" ht="18" customHeight="1">
      <c r="A22" s="6"/>
      <c r="B22" s="2" t="s">
        <v>27</v>
      </c>
      <c r="F22" s="11">
        <v>1103</v>
      </c>
      <c r="G22" s="11">
        <v>3596</v>
      </c>
      <c r="H22" s="12">
        <v>273231</v>
      </c>
      <c r="I22" s="13">
        <f t="shared" si="0"/>
        <v>130659.06420000001</v>
      </c>
      <c r="J22" s="12"/>
      <c r="K22" s="14">
        <f t="shared" si="1"/>
        <v>403890.06420000002</v>
      </c>
    </row>
    <row r="23" spans="1:11" ht="18" customHeight="1">
      <c r="A23" s="6"/>
      <c r="B23" s="2" t="s">
        <v>28</v>
      </c>
      <c r="F23" s="11">
        <v>190</v>
      </c>
      <c r="G23" s="11">
        <v>990</v>
      </c>
      <c r="H23" s="12">
        <v>13400</v>
      </c>
      <c r="I23" s="13">
        <f t="shared" si="0"/>
        <v>6407.88</v>
      </c>
      <c r="J23" s="12"/>
      <c r="K23" s="14">
        <f t="shared" si="1"/>
        <v>19807.88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>
        <v>14976</v>
      </c>
      <c r="G25" s="11">
        <v>2197</v>
      </c>
      <c r="H25" s="12">
        <v>535247</v>
      </c>
      <c r="I25" s="13">
        <f t="shared" si="0"/>
        <v>255955.11540000001</v>
      </c>
      <c r="J25" s="12"/>
      <c r="K25" s="14">
        <f t="shared" si="1"/>
        <v>791202.11540000001</v>
      </c>
    </row>
    <row r="26" spans="1:11" ht="18" customHeight="1">
      <c r="A26" s="6" t="s">
        <v>31</v>
      </c>
      <c r="B26" s="2" t="s">
        <v>32</v>
      </c>
      <c r="F26" s="11">
        <v>43822</v>
      </c>
      <c r="G26" s="11">
        <v>51160</v>
      </c>
      <c r="H26" s="12">
        <v>1415151</v>
      </c>
      <c r="I26" s="13">
        <f t="shared" si="0"/>
        <v>676725.20819999999</v>
      </c>
      <c r="J26" s="12"/>
      <c r="K26" s="14">
        <f t="shared" si="1"/>
        <v>2091876.2082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378</v>
      </c>
      <c r="C28" s="379"/>
      <c r="D28" s="380"/>
      <c r="F28" s="11">
        <v>1319</v>
      </c>
      <c r="G28" s="11">
        <v>3229</v>
      </c>
      <c r="H28" s="12">
        <v>259691</v>
      </c>
      <c r="I28" s="13">
        <f t="shared" si="0"/>
        <v>124184.2362</v>
      </c>
      <c r="J28" s="12"/>
      <c r="K28" s="14">
        <f t="shared" si="1"/>
        <v>383875.23619999998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109937</v>
      </c>
      <c r="G34" s="19">
        <f t="shared" si="2"/>
        <v>83579</v>
      </c>
      <c r="H34" s="14">
        <f t="shared" si="2"/>
        <v>4337680</v>
      </c>
      <c r="I34" s="14">
        <f t="shared" si="2"/>
        <v>2074278.5759999999</v>
      </c>
      <c r="J34" s="14">
        <f t="shared" si="2"/>
        <v>877874</v>
      </c>
      <c r="K34" s="14">
        <f t="shared" si="2"/>
        <v>5534084.5760000004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1866592</v>
      </c>
      <c r="G38" s="11">
        <v>897.4</v>
      </c>
      <c r="H38" s="12">
        <v>72742700</v>
      </c>
      <c r="I38" s="13">
        <v>0</v>
      </c>
      <c r="J38" s="12"/>
      <c r="K38" s="14">
        <f t="shared" ref="K38:K46" si="3">(H38+I38)-J38</f>
        <v>72742700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1309303</v>
      </c>
      <c r="I39" s="13">
        <v>0</v>
      </c>
      <c r="J39" s="12"/>
      <c r="K39" s="14">
        <f t="shared" si="3"/>
        <v>1309303</v>
      </c>
    </row>
    <row r="40" spans="1:11" ht="18" customHeight="1">
      <c r="A40" s="6" t="s">
        <v>48</v>
      </c>
      <c r="B40" s="63" t="s">
        <v>49</v>
      </c>
      <c r="F40" s="11">
        <v>37848</v>
      </c>
      <c r="G40" s="11">
        <v>1335</v>
      </c>
      <c r="H40" s="12">
        <v>1812303</v>
      </c>
      <c r="I40" s="13">
        <v>0</v>
      </c>
      <c r="J40" s="12"/>
      <c r="K40" s="14">
        <f t="shared" si="3"/>
        <v>1812303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291.20000000000005</v>
      </c>
      <c r="G41" s="11">
        <v>71</v>
      </c>
      <c r="H41" s="12">
        <v>25478</v>
      </c>
      <c r="I41" s="13">
        <v>0</v>
      </c>
      <c r="J41" s="12"/>
      <c r="K41" s="14">
        <f t="shared" si="3"/>
        <v>25478</v>
      </c>
    </row>
    <row r="42" spans="1:11" ht="18" customHeight="1">
      <c r="A42" s="6" t="s">
        <v>52</v>
      </c>
      <c r="B42" s="63" t="s">
        <v>53</v>
      </c>
      <c r="F42" s="11">
        <v>57387.199999999997</v>
      </c>
      <c r="G42" s="11">
        <v>92</v>
      </c>
      <c r="H42" s="12">
        <v>2338855</v>
      </c>
      <c r="I42" s="13">
        <v>0</v>
      </c>
      <c r="J42" s="12"/>
      <c r="K42" s="14">
        <f t="shared" si="3"/>
        <v>2338855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1962118.4</v>
      </c>
      <c r="G48" s="25">
        <f t="shared" si="4"/>
        <v>2395.4</v>
      </c>
      <c r="H48" s="14">
        <f t="shared" si="4"/>
        <v>78228639</v>
      </c>
      <c r="I48" s="14">
        <f t="shared" si="4"/>
        <v>0</v>
      </c>
      <c r="J48" s="14">
        <f t="shared" si="4"/>
        <v>0</v>
      </c>
      <c r="K48" s="14">
        <f t="shared" si="4"/>
        <v>78228639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420" t="s">
        <v>388</v>
      </c>
      <c r="C52" s="385"/>
      <c r="D52" s="359"/>
      <c r="F52" s="11">
        <v>4992</v>
      </c>
      <c r="G52" s="11">
        <v>220</v>
      </c>
      <c r="H52" s="12">
        <v>221808</v>
      </c>
      <c r="I52" s="13">
        <v>0</v>
      </c>
      <c r="J52" s="12"/>
      <c r="K52" s="14">
        <f t="shared" ref="K52:K61" si="5">(H52+I52)-J52</f>
        <v>221808</v>
      </c>
    </row>
    <row r="53" spans="1:11" ht="18" customHeight="1">
      <c r="A53" s="6" t="s">
        <v>63</v>
      </c>
      <c r="B53" s="27" t="s">
        <v>387</v>
      </c>
      <c r="C53" s="28"/>
      <c r="D53" s="29"/>
      <c r="F53" s="11">
        <v>2080</v>
      </c>
      <c r="G53" s="11">
        <v>63</v>
      </c>
      <c r="H53" s="12">
        <v>100000</v>
      </c>
      <c r="I53" s="13">
        <v>0</v>
      </c>
      <c r="J53" s="12"/>
      <c r="K53" s="14">
        <f t="shared" si="5"/>
        <v>100000</v>
      </c>
    </row>
    <row r="54" spans="1:11" ht="18" customHeight="1">
      <c r="A54" s="6" t="s">
        <v>65</v>
      </c>
      <c r="B54" s="381" t="s">
        <v>386</v>
      </c>
      <c r="C54" s="358"/>
      <c r="D54" s="359"/>
      <c r="F54" s="11">
        <v>4160</v>
      </c>
      <c r="G54" s="11">
        <v>29</v>
      </c>
      <c r="H54" s="12">
        <v>210770</v>
      </c>
      <c r="I54" s="13">
        <v>0</v>
      </c>
      <c r="J54" s="12"/>
      <c r="K54" s="14">
        <f t="shared" si="5"/>
        <v>210770</v>
      </c>
    </row>
    <row r="55" spans="1:11" ht="18" customHeight="1">
      <c r="A55" s="6" t="s">
        <v>67</v>
      </c>
      <c r="B55" s="381" t="s">
        <v>385</v>
      </c>
      <c r="C55" s="358"/>
      <c r="D55" s="359"/>
      <c r="F55" s="11">
        <v>3120</v>
      </c>
      <c r="G55" s="11">
        <v>1176</v>
      </c>
      <c r="H55" s="12">
        <v>148867</v>
      </c>
      <c r="I55" s="13">
        <v>0</v>
      </c>
      <c r="J55" s="12"/>
      <c r="K55" s="14">
        <f t="shared" si="5"/>
        <v>148867</v>
      </c>
    </row>
    <row r="56" spans="1:11" ht="18" customHeight="1">
      <c r="A56" s="6" t="s">
        <v>69</v>
      </c>
      <c r="B56" s="381" t="s">
        <v>384</v>
      </c>
      <c r="C56" s="358"/>
      <c r="D56" s="359"/>
      <c r="F56" s="11">
        <v>0</v>
      </c>
      <c r="G56" s="11">
        <v>1309</v>
      </c>
      <c r="H56" s="12">
        <v>15070</v>
      </c>
      <c r="I56" s="13">
        <v>0</v>
      </c>
      <c r="J56" s="12"/>
      <c r="K56" s="14">
        <f t="shared" si="5"/>
        <v>15070</v>
      </c>
    </row>
    <row r="57" spans="1:11" ht="18" customHeight="1">
      <c r="A57" s="6" t="s">
        <v>71</v>
      </c>
      <c r="B57" s="27" t="s">
        <v>383</v>
      </c>
      <c r="C57" s="28"/>
      <c r="D57" s="29"/>
      <c r="F57" s="11">
        <v>0</v>
      </c>
      <c r="G57" s="11">
        <v>1901</v>
      </c>
      <c r="H57" s="12">
        <v>158259</v>
      </c>
      <c r="I57" s="13">
        <v>0</v>
      </c>
      <c r="J57" s="12"/>
      <c r="K57" s="14">
        <f t="shared" si="5"/>
        <v>158259</v>
      </c>
    </row>
    <row r="58" spans="1:11" ht="18" customHeight="1">
      <c r="A58" s="6" t="s">
        <v>73</v>
      </c>
      <c r="B58" s="381" t="s">
        <v>382</v>
      </c>
      <c r="C58" s="358"/>
      <c r="D58" s="359"/>
      <c r="F58" s="11">
        <v>0</v>
      </c>
      <c r="G58" s="11">
        <v>1464</v>
      </c>
      <c r="H58" s="12">
        <v>197828</v>
      </c>
      <c r="I58" s="13">
        <v>0</v>
      </c>
      <c r="J58" s="12"/>
      <c r="K58" s="14">
        <f t="shared" si="5"/>
        <v>197828</v>
      </c>
    </row>
    <row r="59" spans="1:11" ht="18" customHeight="1">
      <c r="A59" s="6" t="s">
        <v>75</v>
      </c>
      <c r="B59" s="27" t="s">
        <v>381</v>
      </c>
      <c r="C59" s="28"/>
      <c r="D59" s="29"/>
      <c r="F59" s="11">
        <v>0</v>
      </c>
      <c r="G59" s="11">
        <v>17166</v>
      </c>
      <c r="H59" s="12">
        <v>815562</v>
      </c>
      <c r="I59" s="13">
        <v>0</v>
      </c>
      <c r="J59" s="12"/>
      <c r="K59" s="14">
        <f t="shared" si="5"/>
        <v>815562</v>
      </c>
    </row>
    <row r="60" spans="1:11" ht="18" customHeight="1">
      <c r="A60" s="6" t="s">
        <v>76</v>
      </c>
      <c r="B60" s="27" t="s">
        <v>380</v>
      </c>
      <c r="C60" s="28"/>
      <c r="D60" s="29"/>
      <c r="F60" s="11">
        <v>0</v>
      </c>
      <c r="G60" s="11">
        <v>1159</v>
      </c>
      <c r="H60" s="12">
        <v>69213</v>
      </c>
      <c r="I60" s="13">
        <v>0</v>
      </c>
      <c r="J60" s="12"/>
      <c r="K60" s="14">
        <f t="shared" si="5"/>
        <v>69213</v>
      </c>
    </row>
    <row r="61" spans="1:11" ht="18" customHeight="1">
      <c r="A61" s="6" t="s">
        <v>77</v>
      </c>
      <c r="B61" s="381" t="s">
        <v>379</v>
      </c>
      <c r="C61" s="358"/>
      <c r="D61" s="359"/>
      <c r="F61" s="11">
        <v>48489</v>
      </c>
      <c r="G61" s="11">
        <v>63432</v>
      </c>
      <c r="H61" s="12">
        <v>16493308</v>
      </c>
      <c r="I61" s="13">
        <v>0</v>
      </c>
      <c r="J61" s="12">
        <v>2400</v>
      </c>
      <c r="K61" s="14">
        <f t="shared" si="5"/>
        <v>16490908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62841</v>
      </c>
      <c r="G63" s="19">
        <f t="shared" si="6"/>
        <v>87919</v>
      </c>
      <c r="H63" s="14">
        <f t="shared" si="6"/>
        <v>18430685</v>
      </c>
      <c r="I63" s="14">
        <f t="shared" si="6"/>
        <v>0</v>
      </c>
      <c r="J63" s="14">
        <f t="shared" si="6"/>
        <v>2400</v>
      </c>
      <c r="K63" s="14">
        <f t="shared" si="6"/>
        <v>18428285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0</v>
      </c>
      <c r="G67" s="34">
        <v>0</v>
      </c>
      <c r="H67" s="34">
        <v>0</v>
      </c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>
        <v>80</v>
      </c>
      <c r="G68" s="34">
        <v>25</v>
      </c>
      <c r="H68" s="34">
        <v>75000</v>
      </c>
      <c r="I68" s="13">
        <v>0</v>
      </c>
      <c r="J68" s="34"/>
      <c r="K68" s="14">
        <f t="shared" si="7"/>
        <v>75000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80</v>
      </c>
      <c r="G74" s="43">
        <f t="shared" si="8"/>
        <v>25</v>
      </c>
      <c r="H74" s="43">
        <f t="shared" si="8"/>
        <v>75000</v>
      </c>
      <c r="I74" s="43">
        <f t="shared" si="8"/>
        <v>0</v>
      </c>
      <c r="J74" s="43">
        <f t="shared" si="8"/>
        <v>0</v>
      </c>
      <c r="K74" s="43">
        <f t="shared" si="8"/>
        <v>75000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443</v>
      </c>
      <c r="G77" s="11">
        <v>132</v>
      </c>
      <c r="H77" s="12">
        <v>919263</v>
      </c>
      <c r="I77" s="13">
        <v>0</v>
      </c>
      <c r="J77" s="12"/>
      <c r="K77" s="14">
        <f>(H77+I77)-J77</f>
        <v>919263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40</v>
      </c>
      <c r="G79" s="11">
        <v>3</v>
      </c>
      <c r="H79" s="12">
        <v>47800</v>
      </c>
      <c r="I79" s="13">
        <v>0</v>
      </c>
      <c r="J79" s="12"/>
      <c r="K79" s="14">
        <f>(H79+I79)-J79</f>
        <v>47800</v>
      </c>
    </row>
    <row r="80" spans="1:11" ht="18" customHeight="1">
      <c r="A80" s="6" t="s">
        <v>93</v>
      </c>
      <c r="B80" s="63" t="s">
        <v>97</v>
      </c>
      <c r="F80" s="11">
        <v>1040</v>
      </c>
      <c r="G80" s="11">
        <v>230</v>
      </c>
      <c r="H80" s="12">
        <v>87000</v>
      </c>
      <c r="I80" s="13">
        <v>16573.5</v>
      </c>
      <c r="J80" s="12"/>
      <c r="K80" s="14">
        <f>(H80+I80)-J80</f>
        <v>103573.5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1523</v>
      </c>
      <c r="G82" s="44">
        <f t="shared" si="9"/>
        <v>365</v>
      </c>
      <c r="H82" s="45">
        <f t="shared" si="9"/>
        <v>1054063</v>
      </c>
      <c r="I82" s="45">
        <f t="shared" si="9"/>
        <v>16573.5</v>
      </c>
      <c r="J82" s="45">
        <f t="shared" si="9"/>
        <v>0</v>
      </c>
      <c r="K82" s="45">
        <f t="shared" si="9"/>
        <v>1070636.5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850</v>
      </c>
      <c r="G86" s="11">
        <v>250</v>
      </c>
      <c r="H86" s="12">
        <v>515586.3</v>
      </c>
      <c r="I86" s="13">
        <f t="shared" ref="I86:I97" si="10">H86*0.4782</f>
        <v>246553.36866000001</v>
      </c>
      <c r="J86" s="12"/>
      <c r="K86" s="14">
        <f t="shared" ref="K86:K97" si="11">(H86+I86)-J86</f>
        <v>762139.66865999997</v>
      </c>
    </row>
    <row r="87" spans="1:11" ht="18" customHeight="1">
      <c r="A87" s="6" t="s">
        <v>102</v>
      </c>
      <c r="B87" s="63" t="s">
        <v>103</v>
      </c>
      <c r="F87" s="11">
        <v>859</v>
      </c>
      <c r="G87" s="11">
        <v>260</v>
      </c>
      <c r="H87" s="12">
        <v>343560.4</v>
      </c>
      <c r="I87" s="13">
        <f t="shared" si="10"/>
        <v>164290.58328000002</v>
      </c>
      <c r="J87" s="12"/>
      <c r="K87" s="14">
        <f t="shared" si="11"/>
        <v>507850.98328000004</v>
      </c>
    </row>
    <row r="88" spans="1:11" ht="18" customHeight="1">
      <c r="A88" s="6" t="s">
        <v>104</v>
      </c>
      <c r="B88" s="63" t="s">
        <v>105</v>
      </c>
      <c r="F88" s="11">
        <v>708</v>
      </c>
      <c r="G88" s="11">
        <v>135</v>
      </c>
      <c r="H88" s="12">
        <v>252365.35</v>
      </c>
      <c r="I88" s="13">
        <f t="shared" si="10"/>
        <v>120681.11037000001</v>
      </c>
      <c r="J88" s="12"/>
      <c r="K88" s="14">
        <f t="shared" si="11"/>
        <v>373046.46036999999</v>
      </c>
    </row>
    <row r="89" spans="1:11" ht="18" customHeight="1">
      <c r="A89" s="6" t="s">
        <v>106</v>
      </c>
      <c r="B89" s="63" t="s">
        <v>107</v>
      </c>
      <c r="F89" s="11">
        <v>818</v>
      </c>
      <c r="G89" s="11">
        <v>161</v>
      </c>
      <c r="H89" s="12">
        <v>53170.37</v>
      </c>
      <c r="I89" s="13">
        <f t="shared" si="10"/>
        <v>25426.070934000003</v>
      </c>
      <c r="J89" s="12"/>
      <c r="K89" s="14">
        <f t="shared" si="11"/>
        <v>78596.440934000013</v>
      </c>
    </row>
    <row r="90" spans="1:11" ht="18" customHeight="1">
      <c r="A90" s="6" t="s">
        <v>108</v>
      </c>
      <c r="B90" s="386" t="s">
        <v>109</v>
      </c>
      <c r="C90" s="356"/>
      <c r="F90" s="11">
        <v>3300</v>
      </c>
      <c r="G90" s="11">
        <v>415</v>
      </c>
      <c r="H90" s="12">
        <v>164324.35</v>
      </c>
      <c r="I90" s="13">
        <f t="shared" si="10"/>
        <v>78579.904170000009</v>
      </c>
      <c r="J90" s="12"/>
      <c r="K90" s="14">
        <f t="shared" si="11"/>
        <v>242904.25417000003</v>
      </c>
    </row>
    <row r="91" spans="1:11" ht="18" customHeight="1">
      <c r="A91" s="6" t="s">
        <v>110</v>
      </c>
      <c r="B91" s="63" t="s">
        <v>111</v>
      </c>
      <c r="F91" s="11">
        <v>570</v>
      </c>
      <c r="G91" s="11">
        <v>336</v>
      </c>
      <c r="H91" s="12">
        <v>66786.850000000006</v>
      </c>
      <c r="I91" s="13">
        <f t="shared" si="10"/>
        <v>31937.471670000003</v>
      </c>
      <c r="J91" s="12"/>
      <c r="K91" s="14">
        <f t="shared" si="11"/>
        <v>98724.321670000005</v>
      </c>
    </row>
    <row r="92" spans="1:11" ht="18" customHeight="1">
      <c r="A92" s="6" t="s">
        <v>112</v>
      </c>
      <c r="B92" s="63" t="s">
        <v>113</v>
      </c>
      <c r="F92" s="46">
        <v>4300</v>
      </c>
      <c r="G92" s="46">
        <v>630</v>
      </c>
      <c r="H92" s="47">
        <v>166281</v>
      </c>
      <c r="I92" s="13">
        <f t="shared" si="10"/>
        <v>79515.574200000003</v>
      </c>
      <c r="J92" s="47"/>
      <c r="K92" s="14">
        <f t="shared" si="11"/>
        <v>245796.5742</v>
      </c>
    </row>
    <row r="93" spans="1:11" ht="18" customHeight="1">
      <c r="A93" s="6" t="s">
        <v>114</v>
      </c>
      <c r="B93" s="63" t="s">
        <v>115</v>
      </c>
      <c r="F93" s="11">
        <v>560</v>
      </c>
      <c r="G93" s="11">
        <v>129</v>
      </c>
      <c r="H93" s="12">
        <v>290826.34999999998</v>
      </c>
      <c r="I93" s="13">
        <f t="shared" si="10"/>
        <v>139073.16057000001</v>
      </c>
      <c r="J93" s="12"/>
      <c r="K93" s="14">
        <f t="shared" si="11"/>
        <v>429899.51056999998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378</v>
      </c>
      <c r="C95" s="358"/>
      <c r="D95" s="359"/>
      <c r="F95" s="11">
        <v>47312</v>
      </c>
      <c r="G95" s="11">
        <v>23441</v>
      </c>
      <c r="H95" s="12">
        <v>1364685</v>
      </c>
      <c r="I95" s="13">
        <f t="shared" si="10"/>
        <v>652592.36699999997</v>
      </c>
      <c r="J95" s="12">
        <v>16234</v>
      </c>
      <c r="K95" s="14">
        <f t="shared" si="11"/>
        <v>2001043.3670000001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59277</v>
      </c>
      <c r="G99" s="19">
        <f t="shared" si="12"/>
        <v>25757</v>
      </c>
      <c r="H99" s="19">
        <f t="shared" si="12"/>
        <v>3217585.97</v>
      </c>
      <c r="I99" s="19">
        <f t="shared" si="12"/>
        <v>1538649.6108539999</v>
      </c>
      <c r="J99" s="19">
        <f t="shared" si="12"/>
        <v>16234</v>
      </c>
      <c r="K99" s="19">
        <f t="shared" si="12"/>
        <v>4740001.5808540005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2050</v>
      </c>
      <c r="G103" s="11">
        <v>2009</v>
      </c>
      <c r="H103" s="12">
        <v>41580</v>
      </c>
      <c r="I103" s="13">
        <f t="shared" ref="I103:I108" si="13">H103*0.4782</f>
        <v>19883.556</v>
      </c>
      <c r="J103" s="12"/>
      <c r="K103" s="14">
        <f t="shared" ref="K103:K108" si="14">(H103+I103)-J103</f>
        <v>61463.555999999997</v>
      </c>
    </row>
    <row r="104" spans="1:11" ht="18" customHeight="1">
      <c r="A104" s="6" t="s">
        <v>121</v>
      </c>
      <c r="B104" s="386" t="s">
        <v>122</v>
      </c>
      <c r="C104" s="386"/>
      <c r="F104" s="11">
        <v>240</v>
      </c>
      <c r="G104" s="11">
        <v>50</v>
      </c>
      <c r="H104" s="12">
        <v>7647</v>
      </c>
      <c r="I104" s="13">
        <f t="shared" si="13"/>
        <v>3656.7954</v>
      </c>
      <c r="J104" s="12"/>
      <c r="K104" s="14">
        <f t="shared" si="14"/>
        <v>11303.795399999999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421" t="s">
        <v>377</v>
      </c>
      <c r="C106" s="358"/>
      <c r="D106" s="359"/>
      <c r="F106" s="11">
        <v>1600</v>
      </c>
      <c r="G106" s="11">
        <v>759</v>
      </c>
      <c r="H106" s="12">
        <v>59800</v>
      </c>
      <c r="I106" s="13">
        <f t="shared" si="13"/>
        <v>28596.36</v>
      </c>
      <c r="J106" s="12"/>
      <c r="K106" s="14">
        <f t="shared" si="14"/>
        <v>88396.36</v>
      </c>
    </row>
    <row r="107" spans="1:11" ht="18" customHeight="1">
      <c r="A107" s="6" t="s">
        <v>126</v>
      </c>
      <c r="B107" s="421" t="s">
        <v>376</v>
      </c>
      <c r="C107" s="358"/>
      <c r="D107" s="359"/>
      <c r="F107" s="11">
        <v>0</v>
      </c>
      <c r="G107" s="11">
        <v>0</v>
      </c>
      <c r="H107" s="12">
        <v>45256</v>
      </c>
      <c r="I107" s="13">
        <f t="shared" si="13"/>
        <v>21641.4192</v>
      </c>
      <c r="J107" s="12"/>
      <c r="K107" s="14">
        <f t="shared" si="14"/>
        <v>66897.419200000004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3890</v>
      </c>
      <c r="G110" s="19">
        <f t="shared" si="15"/>
        <v>2818</v>
      </c>
      <c r="H110" s="14">
        <f t="shared" si="15"/>
        <v>154283</v>
      </c>
      <c r="I110" s="14">
        <f t="shared" si="15"/>
        <v>73778.130600000004</v>
      </c>
      <c r="J110" s="14">
        <f t="shared" si="15"/>
        <v>0</v>
      </c>
      <c r="K110" s="14">
        <f t="shared" si="15"/>
        <v>228061.1306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7" ht="18" customHeight="1">
      <c r="B113" s="5"/>
      <c r="E113" s="5" t="s">
        <v>41</v>
      </c>
      <c r="F113" s="12">
        <v>37024000</v>
      </c>
    </row>
    <row r="114" spans="1:7" ht="18" customHeight="1">
      <c r="B114" s="5"/>
      <c r="E114" s="5"/>
      <c r="F114" s="52"/>
    </row>
    <row r="115" spans="1:7" ht="18" customHeight="1">
      <c r="A115" s="9" t="s">
        <v>130</v>
      </c>
      <c r="B115" s="5" t="s">
        <v>131</v>
      </c>
    </row>
    <row r="116" spans="1:7" ht="18" customHeight="1">
      <c r="A116" s="6" t="s">
        <v>132</v>
      </c>
      <c r="B116" s="63" t="s">
        <v>133</v>
      </c>
      <c r="F116" s="53">
        <v>0.47820000000000001</v>
      </c>
    </row>
    <row r="117" spans="1:7" ht="18" customHeight="1">
      <c r="A117" s="6"/>
      <c r="B117" s="5"/>
    </row>
    <row r="118" spans="1:7" ht="18" customHeight="1">
      <c r="A118" s="6" t="s">
        <v>134</v>
      </c>
      <c r="B118" s="5" t="s">
        <v>135</v>
      </c>
    </row>
    <row r="119" spans="1:7" ht="18" customHeight="1">
      <c r="A119" s="6"/>
      <c r="B119" s="63" t="s">
        <v>136</v>
      </c>
      <c r="F119" s="12">
        <v>1500801000</v>
      </c>
    </row>
    <row r="120" spans="1:7" ht="18" customHeight="1">
      <c r="B120" s="2" t="s">
        <v>137</v>
      </c>
      <c r="F120" s="12">
        <v>123217000</v>
      </c>
    </row>
    <row r="121" spans="1:7" ht="18" customHeight="1">
      <c r="A121" s="6"/>
      <c r="B121" s="5" t="s">
        <v>138</v>
      </c>
      <c r="F121" s="12">
        <f>F119+F120</f>
        <v>1624018000</v>
      </c>
      <c r="G121" s="234"/>
    </row>
    <row r="122" spans="1:7" ht="18" customHeight="1">
      <c r="A122" s="6"/>
      <c r="B122" s="5"/>
    </row>
    <row r="123" spans="1:7" ht="18" customHeight="1">
      <c r="A123" s="6" t="s">
        <v>139</v>
      </c>
      <c r="B123" s="5" t="s">
        <v>140</v>
      </c>
      <c r="F123" s="12">
        <v>1556118000</v>
      </c>
    </row>
    <row r="124" spans="1:7" ht="18" customHeight="1">
      <c r="A124" s="6"/>
    </row>
    <row r="125" spans="1:7" ht="18" customHeight="1">
      <c r="A125" s="6" t="s">
        <v>141</v>
      </c>
      <c r="B125" s="5" t="s">
        <v>142</v>
      </c>
      <c r="F125" s="12">
        <v>67900000</v>
      </c>
    </row>
    <row r="126" spans="1:7" ht="18" customHeight="1">
      <c r="A126" s="6"/>
    </row>
    <row r="127" spans="1:7" ht="18" customHeight="1">
      <c r="A127" s="6" t="s">
        <v>143</v>
      </c>
      <c r="B127" s="5" t="s">
        <v>144</v>
      </c>
      <c r="F127" s="12">
        <v>-60966000</v>
      </c>
    </row>
    <row r="128" spans="1:7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6934000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109937</v>
      </c>
      <c r="G144" s="54">
        <f t="shared" si="18"/>
        <v>83579</v>
      </c>
      <c r="H144" s="54">
        <f t="shared" si="18"/>
        <v>4337680</v>
      </c>
      <c r="I144" s="54">
        <f t="shared" si="18"/>
        <v>2074278.5759999999</v>
      </c>
      <c r="J144" s="54">
        <f t="shared" si="18"/>
        <v>877874</v>
      </c>
      <c r="K144" s="54">
        <f t="shared" si="18"/>
        <v>5534084.5760000004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1962118.4</v>
      </c>
      <c r="G145" s="54">
        <f t="shared" si="19"/>
        <v>2395.4</v>
      </c>
      <c r="H145" s="54">
        <f t="shared" si="19"/>
        <v>78228639</v>
      </c>
      <c r="I145" s="54">
        <f t="shared" si="19"/>
        <v>0</v>
      </c>
      <c r="J145" s="54">
        <f t="shared" si="19"/>
        <v>0</v>
      </c>
      <c r="K145" s="54">
        <f t="shared" si="19"/>
        <v>78228639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62841</v>
      </c>
      <c r="G146" s="54">
        <f t="shared" si="20"/>
        <v>87919</v>
      </c>
      <c r="H146" s="54">
        <f t="shared" si="20"/>
        <v>18430685</v>
      </c>
      <c r="I146" s="54">
        <f t="shared" si="20"/>
        <v>0</v>
      </c>
      <c r="J146" s="54">
        <f t="shared" si="20"/>
        <v>2400</v>
      </c>
      <c r="K146" s="54">
        <f t="shared" si="20"/>
        <v>18428285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80</v>
      </c>
      <c r="G147" s="54">
        <f t="shared" si="21"/>
        <v>25</v>
      </c>
      <c r="H147" s="54">
        <f t="shared" si="21"/>
        <v>75000</v>
      </c>
      <c r="I147" s="54">
        <f t="shared" si="21"/>
        <v>0</v>
      </c>
      <c r="J147" s="54">
        <f t="shared" si="21"/>
        <v>0</v>
      </c>
      <c r="K147" s="54">
        <f t="shared" si="21"/>
        <v>75000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1523</v>
      </c>
      <c r="G148" s="54">
        <f t="shared" si="22"/>
        <v>365</v>
      </c>
      <c r="H148" s="54">
        <f t="shared" si="22"/>
        <v>1054063</v>
      </c>
      <c r="I148" s="54">
        <f t="shared" si="22"/>
        <v>16573.5</v>
      </c>
      <c r="J148" s="54">
        <f t="shared" si="22"/>
        <v>0</v>
      </c>
      <c r="K148" s="54">
        <f t="shared" si="22"/>
        <v>1070636.5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59277</v>
      </c>
      <c r="G149" s="54">
        <f t="shared" si="23"/>
        <v>25757</v>
      </c>
      <c r="H149" s="54">
        <f t="shared" si="23"/>
        <v>3217585.97</v>
      </c>
      <c r="I149" s="54">
        <f t="shared" si="23"/>
        <v>1538649.6108539999</v>
      </c>
      <c r="J149" s="54">
        <f t="shared" si="23"/>
        <v>16234</v>
      </c>
      <c r="K149" s="54">
        <f t="shared" si="23"/>
        <v>4740001.5808540005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3890</v>
      </c>
      <c r="G150" s="19">
        <f t="shared" si="24"/>
        <v>2818</v>
      </c>
      <c r="H150" s="19">
        <f t="shared" si="24"/>
        <v>154283</v>
      </c>
      <c r="I150" s="19">
        <f t="shared" si="24"/>
        <v>73778.130600000004</v>
      </c>
      <c r="J150" s="19">
        <f t="shared" si="24"/>
        <v>0</v>
      </c>
      <c r="K150" s="19">
        <f t="shared" si="24"/>
        <v>228061.1306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37024000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2199666.4</v>
      </c>
      <c r="G154" s="60">
        <f t="shared" si="26"/>
        <v>202858.4</v>
      </c>
      <c r="H154" s="60">
        <f t="shared" si="26"/>
        <v>105497935.97</v>
      </c>
      <c r="I154" s="60">
        <f t="shared" si="26"/>
        <v>3703279.8174539995</v>
      </c>
      <c r="J154" s="60">
        <f t="shared" si="26"/>
        <v>896508</v>
      </c>
      <c r="K154" s="61">
        <f t="shared" si="26"/>
        <v>145328707.78745401</v>
      </c>
    </row>
    <row r="156" spans="1:11" ht="18" customHeight="1">
      <c r="B156" s="5" t="s">
        <v>178</v>
      </c>
      <c r="F156" s="235">
        <f>K154/F123</f>
        <v>9.3391830045956678E-2</v>
      </c>
    </row>
    <row r="157" spans="1:11" ht="18" customHeight="1">
      <c r="B157" s="5" t="s">
        <v>179</v>
      </c>
      <c r="F157" s="235">
        <f>K154/F129</f>
        <v>20.95885604087886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28:D28"/>
    <mergeCell ref="C7:G7"/>
    <mergeCell ref="C9:G9"/>
    <mergeCell ref="C5:G5"/>
    <mergeCell ref="C6:G6"/>
    <mergeCell ref="C10:G10"/>
    <mergeCell ref="B138:D138"/>
    <mergeCell ref="B136:D136"/>
    <mergeCell ref="B106:D106"/>
    <mergeCell ref="B107:D107"/>
    <mergeCell ref="B108:D108"/>
    <mergeCell ref="B137:D137"/>
    <mergeCell ref="B104:C104"/>
    <mergeCell ref="B97:D97"/>
    <mergeCell ref="B55:D55"/>
    <mergeCell ref="B58:D58"/>
    <mergeCell ref="B61:D61"/>
    <mergeCell ref="B96:D96"/>
    <mergeCell ref="B90:C90"/>
    <mergeCell ref="B54:D54"/>
    <mergeCell ref="B56:D56"/>
    <mergeCell ref="B52:D52"/>
    <mergeCell ref="B13:H13"/>
    <mergeCell ref="B95:D95"/>
    <mergeCell ref="B51:C51"/>
    <mergeCell ref="B29:D29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&amp;C&amp;P of &amp;N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395</v>
      </c>
      <c r="D5" s="363"/>
      <c r="E5" s="363"/>
      <c r="F5" s="363"/>
      <c r="G5" s="364"/>
    </row>
    <row r="6" spans="1:11" ht="18" customHeight="1">
      <c r="B6" s="6" t="s">
        <v>4</v>
      </c>
      <c r="C6" s="365">
        <v>2001</v>
      </c>
      <c r="D6" s="366"/>
      <c r="E6" s="366"/>
      <c r="F6" s="366"/>
      <c r="G6" s="367"/>
    </row>
    <row r="7" spans="1:11" ht="18" customHeight="1">
      <c r="B7" s="6" t="s">
        <v>5</v>
      </c>
      <c r="C7" s="368">
        <v>655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396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397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398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/>
      <c r="G18" s="11"/>
      <c r="H18" s="12"/>
      <c r="I18" s="13">
        <f>H18*F$116</f>
        <v>0</v>
      </c>
      <c r="J18" s="12"/>
      <c r="K18" s="14">
        <f t="shared" ref="K18:K32" si="0">(H18+I18)-J18</f>
        <v>0</v>
      </c>
    </row>
    <row r="19" spans="1:11" ht="18" customHeight="1">
      <c r="A19" s="6"/>
      <c r="B19" s="2" t="s">
        <v>23</v>
      </c>
      <c r="F19" s="11">
        <v>1828</v>
      </c>
      <c r="G19" s="11">
        <v>6854</v>
      </c>
      <c r="H19" s="12">
        <v>54581</v>
      </c>
      <c r="I19" s="13">
        <f>H19*F$116</f>
        <v>19201.502291547637</v>
      </c>
      <c r="J19" s="12"/>
      <c r="K19" s="14">
        <f t="shared" si="0"/>
        <v>73782.502291547629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1"/>
        <v>0</v>
      </c>
      <c r="J22" s="12"/>
      <c r="K22" s="14">
        <f t="shared" si="0"/>
        <v>0</v>
      </c>
    </row>
    <row r="23" spans="1:11" ht="18" customHeight="1">
      <c r="A23" s="6"/>
      <c r="B23" s="2" t="s">
        <v>28</v>
      </c>
      <c r="F23" s="11">
        <v>21</v>
      </c>
      <c r="G23" s="11">
        <v>50</v>
      </c>
      <c r="H23" s="12">
        <v>781</v>
      </c>
      <c r="I23" s="13">
        <f t="shared" si="1"/>
        <v>274.7544619867482</v>
      </c>
      <c r="J23" s="12"/>
      <c r="K23" s="14">
        <f t="shared" si="0"/>
        <v>1055.7544619867481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f t="shared" si="1"/>
        <v>0</v>
      </c>
      <c r="J26" s="12"/>
      <c r="K26" s="14">
        <f t="shared" si="0"/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399</v>
      </c>
      <c r="C28" s="379"/>
      <c r="D28" s="380"/>
      <c r="F28" s="11">
        <v>54</v>
      </c>
      <c r="G28" s="11">
        <v>75</v>
      </c>
      <c r="H28" s="12">
        <v>2348</v>
      </c>
      <c r="I28" s="13">
        <f t="shared" si="1"/>
        <v>826.02237739421878</v>
      </c>
      <c r="J28" s="12"/>
      <c r="K28" s="14">
        <f t="shared" si="0"/>
        <v>3174.0223773942189</v>
      </c>
    </row>
    <row r="29" spans="1:11" ht="18" customHeight="1">
      <c r="A29" s="6" t="s">
        <v>37</v>
      </c>
      <c r="B29" s="378" t="s">
        <v>400</v>
      </c>
      <c r="C29" s="379"/>
      <c r="D29" s="380"/>
      <c r="F29" s="11">
        <v>18</v>
      </c>
      <c r="G29" s="11">
        <v>6</v>
      </c>
      <c r="H29" s="12">
        <v>882</v>
      </c>
      <c r="I29" s="13">
        <f t="shared" si="1"/>
        <v>310.28608895302426</v>
      </c>
      <c r="J29" s="12"/>
      <c r="K29" s="14">
        <f t="shared" si="0"/>
        <v>1192.2860889530243</v>
      </c>
    </row>
    <row r="30" spans="1:11" ht="18" customHeight="1">
      <c r="A30" s="6" t="s">
        <v>38</v>
      </c>
      <c r="B30" s="15" t="s">
        <v>401</v>
      </c>
      <c r="C30" s="16"/>
      <c r="D30" s="17"/>
      <c r="F30" s="11">
        <v>7</v>
      </c>
      <c r="G30" s="11">
        <v>50</v>
      </c>
      <c r="H30" s="12">
        <v>338</v>
      </c>
      <c r="I30" s="13">
        <f t="shared" si="1"/>
        <v>118.90782093664647</v>
      </c>
      <c r="J30" s="12"/>
      <c r="K30" s="14">
        <f t="shared" si="0"/>
        <v>456.90782093664649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1928</v>
      </c>
      <c r="G34" s="19">
        <f t="shared" si="2"/>
        <v>7035</v>
      </c>
      <c r="H34" s="14">
        <f t="shared" si="2"/>
        <v>58930</v>
      </c>
      <c r="I34" s="14">
        <f t="shared" si="2"/>
        <v>20731.473040818273</v>
      </c>
      <c r="J34" s="14">
        <f t="shared" si="2"/>
        <v>0</v>
      </c>
      <c r="K34" s="14">
        <f t="shared" si="2"/>
        <v>79661.473040818266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29974.828183289988</v>
      </c>
      <c r="G38" s="11"/>
      <c r="H38" s="12">
        <v>2971765.4390066299</v>
      </c>
      <c r="I38" s="13">
        <f>H38*F$116</f>
        <v>1045461.9901985649</v>
      </c>
      <c r="J38" s="12"/>
      <c r="K38" s="14">
        <f t="shared" ref="K38:K46" si="3">(H38+I38)-J38</f>
        <v>4017227.429205195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f>H39*F$116</f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f>H40*F$116</f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10442</v>
      </c>
      <c r="G41" s="11">
        <v>195</v>
      </c>
      <c r="H41" s="12">
        <v>207169</v>
      </c>
      <c r="I41" s="13">
        <f>H41*F$116</f>
        <v>72881.699276994419</v>
      </c>
      <c r="J41" s="12"/>
      <c r="K41" s="14">
        <f t="shared" si="3"/>
        <v>280050.69927699445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f>H42*F$116</f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/>
      <c r="J43" s="12"/>
      <c r="K43" s="14">
        <f t="shared" si="3"/>
        <v>0</v>
      </c>
    </row>
    <row r="44" spans="1:11" ht="18" customHeight="1">
      <c r="A44" s="6" t="s">
        <v>55</v>
      </c>
      <c r="B44" s="378" t="s">
        <v>402</v>
      </c>
      <c r="C44" s="379"/>
      <c r="D44" s="380"/>
      <c r="F44" s="11">
        <v>15690.5</v>
      </c>
      <c r="G44" s="11">
        <v>1629</v>
      </c>
      <c r="H44" s="12">
        <v>183545</v>
      </c>
      <c r="I44" s="13">
        <v>64570.816549753785</v>
      </c>
      <c r="J44" s="12"/>
      <c r="K44" s="14">
        <f t="shared" si="3"/>
        <v>248115.81654975377</v>
      </c>
    </row>
    <row r="45" spans="1:11" ht="18" customHeight="1">
      <c r="A45" s="6" t="s">
        <v>57</v>
      </c>
      <c r="B45" s="378" t="s">
        <v>403</v>
      </c>
      <c r="C45" s="379"/>
      <c r="D45" s="380"/>
      <c r="F45" s="11"/>
      <c r="G45" s="11"/>
      <c r="H45" s="12"/>
      <c r="I45" s="13"/>
      <c r="J45" s="12"/>
      <c r="K45" s="14">
        <f t="shared" si="3"/>
        <v>0</v>
      </c>
    </row>
    <row r="46" spans="1:11" ht="18" customHeight="1">
      <c r="A46" s="6" t="s">
        <v>58</v>
      </c>
      <c r="B46" s="378" t="s">
        <v>404</v>
      </c>
      <c r="C46" s="379"/>
      <c r="D46" s="380"/>
      <c r="F46" s="11"/>
      <c r="G46" s="11"/>
      <c r="H46" s="12"/>
      <c r="I46" s="13"/>
      <c r="J46" s="12"/>
      <c r="K46" s="14">
        <f t="shared" si="3"/>
        <v>0</v>
      </c>
    </row>
    <row r="47" spans="1:11" ht="18" customHeight="1">
      <c r="F47" s="227"/>
      <c r="G47" s="227"/>
      <c r="H47" s="227"/>
      <c r="I47" s="227"/>
      <c r="J47" s="227"/>
      <c r="K47" s="227"/>
    </row>
    <row r="48" spans="1:11" ht="18" customHeight="1">
      <c r="E48" s="5" t="s">
        <v>41</v>
      </c>
      <c r="F48" s="25">
        <f t="shared" ref="F48:K48" si="4">SUM(F38:F46)</f>
        <v>56107.328183289988</v>
      </c>
      <c r="G48" s="25">
        <f t="shared" si="4"/>
        <v>1824</v>
      </c>
      <c r="H48" s="14">
        <f t="shared" si="4"/>
        <v>3362479.4390066299</v>
      </c>
      <c r="I48" s="14">
        <f t="shared" si="4"/>
        <v>1182914.5060253132</v>
      </c>
      <c r="J48" s="14">
        <f t="shared" si="4"/>
        <v>0</v>
      </c>
      <c r="K48" s="14">
        <f t="shared" si="4"/>
        <v>4545393.9450319428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405</v>
      </c>
      <c r="C52" s="385"/>
      <c r="D52" s="359"/>
      <c r="F52" s="11">
        <v>30</v>
      </c>
      <c r="G52" s="11">
        <v>300</v>
      </c>
      <c r="H52" s="12">
        <v>876</v>
      </c>
      <c r="I52" s="13">
        <v>0</v>
      </c>
      <c r="J52" s="12"/>
      <c r="K52" s="14">
        <f t="shared" ref="K52:K61" si="5">(H52+I52)-J52</f>
        <v>876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30</v>
      </c>
      <c r="G63" s="19">
        <f t="shared" si="6"/>
        <v>300</v>
      </c>
      <c r="H63" s="14">
        <f t="shared" si="6"/>
        <v>876</v>
      </c>
      <c r="I63" s="14">
        <f t="shared" si="6"/>
        <v>0</v>
      </c>
      <c r="J63" s="14">
        <f t="shared" si="6"/>
        <v>0</v>
      </c>
      <c r="K63" s="14">
        <f t="shared" si="6"/>
        <v>876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29041</v>
      </c>
      <c r="I77" s="13">
        <f>H77*F$116</f>
        <v>10216.574046808137</v>
      </c>
      <c r="J77" s="12"/>
      <c r="K77" s="14">
        <f>(H77+I77)-J77</f>
        <v>39257.574046808135</v>
      </c>
    </row>
    <row r="78" spans="1:11" ht="18" customHeight="1">
      <c r="A78" s="6" t="s">
        <v>93</v>
      </c>
      <c r="B78" s="63" t="s">
        <v>94</v>
      </c>
      <c r="F78" s="11"/>
      <c r="G78" s="11"/>
      <c r="H78" s="12">
        <v>25000</v>
      </c>
      <c r="I78" s="13">
        <f>H78*F$116</f>
        <v>8794.9571698703021</v>
      </c>
      <c r="J78" s="12"/>
      <c r="K78" s="14">
        <f>(H78+I78)-J78</f>
        <v>33794.9571698703</v>
      </c>
    </row>
    <row r="79" spans="1:11" ht="18" customHeight="1">
      <c r="A79" s="6" t="s">
        <v>95</v>
      </c>
      <c r="B79" s="63" t="s">
        <v>96</v>
      </c>
      <c r="F79" s="11">
        <v>120</v>
      </c>
      <c r="G79" s="11">
        <v>500</v>
      </c>
      <c r="H79" s="12">
        <v>16830</v>
      </c>
      <c r="I79" s="13">
        <v>14390</v>
      </c>
      <c r="J79" s="12"/>
      <c r="K79" s="14">
        <f>(H79+I79)-J79</f>
        <v>31220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f>H80*F$116</f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120</v>
      </c>
      <c r="G82" s="44">
        <f t="shared" si="9"/>
        <v>500</v>
      </c>
      <c r="H82" s="45">
        <f t="shared" si="9"/>
        <v>70871</v>
      </c>
      <c r="I82" s="45">
        <f t="shared" si="9"/>
        <v>33401.531216678442</v>
      </c>
      <c r="J82" s="45">
        <f t="shared" si="9"/>
        <v>0</v>
      </c>
      <c r="K82" s="45">
        <f t="shared" si="9"/>
        <v>104272.53121667844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v>70</v>
      </c>
      <c r="G92" s="46">
        <v>2000</v>
      </c>
      <c r="H92" s="47">
        <v>2713</v>
      </c>
      <c r="I92" s="13">
        <f t="shared" si="10"/>
        <v>954.42875207432519</v>
      </c>
      <c r="J92" s="47"/>
      <c r="K92" s="14">
        <f t="shared" si="11"/>
        <v>3667.4287520743251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406</v>
      </c>
      <c r="C95" s="358"/>
      <c r="D95" s="359"/>
      <c r="F95" s="11">
        <v>12</v>
      </c>
      <c r="G95" s="11">
        <v>250</v>
      </c>
      <c r="H95" s="12">
        <v>644</v>
      </c>
      <c r="I95" s="13">
        <f t="shared" si="10"/>
        <v>226.55809669585898</v>
      </c>
      <c r="J95" s="12"/>
      <c r="K95" s="14">
        <f t="shared" si="11"/>
        <v>870.55809669585892</v>
      </c>
    </row>
    <row r="96" spans="1:11" ht="18" customHeight="1">
      <c r="A96" s="6"/>
      <c r="B96" s="381" t="s">
        <v>407</v>
      </c>
      <c r="C96" s="358"/>
      <c r="D96" s="359"/>
      <c r="F96" s="11">
        <v>20</v>
      </c>
      <c r="G96" s="11">
        <v>7500</v>
      </c>
      <c r="H96" s="12">
        <v>1488</v>
      </c>
      <c r="I96" s="13">
        <f t="shared" si="10"/>
        <v>523.47585075068037</v>
      </c>
      <c r="J96" s="12"/>
      <c r="K96" s="14">
        <f t="shared" si="11"/>
        <v>2011.4758507506804</v>
      </c>
    </row>
    <row r="97" spans="1:11" ht="18" customHeight="1">
      <c r="A97" s="6"/>
      <c r="B97" s="381" t="s">
        <v>408</v>
      </c>
      <c r="C97" s="358"/>
      <c r="D97" s="359"/>
      <c r="F97" s="11">
        <v>41</v>
      </c>
      <c r="G97" s="11">
        <v>150</v>
      </c>
      <c r="H97" s="12">
        <v>1354</v>
      </c>
      <c r="I97" s="13">
        <f t="shared" si="10"/>
        <v>476.33488032017556</v>
      </c>
      <c r="J97" s="12"/>
      <c r="K97" s="14">
        <f t="shared" si="11"/>
        <v>1830.3348803201757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143</v>
      </c>
      <c r="G99" s="19">
        <f t="shared" si="12"/>
        <v>9900</v>
      </c>
      <c r="H99" s="19">
        <f t="shared" si="12"/>
        <v>6199</v>
      </c>
      <c r="I99" s="19">
        <f t="shared" si="12"/>
        <v>2180.7975798410403</v>
      </c>
      <c r="J99" s="19">
        <f t="shared" si="12"/>
        <v>0</v>
      </c>
      <c r="K99" s="19">
        <f t="shared" si="12"/>
        <v>8379.7975798410407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116</v>
      </c>
      <c r="G103" s="11">
        <v>3000</v>
      </c>
      <c r="H103" s="12">
        <v>4495</v>
      </c>
      <c r="I103" s="13">
        <f t="shared" ref="I103:I108" si="13">H103*F$116</f>
        <v>1581.3332991426803</v>
      </c>
      <c r="J103" s="12"/>
      <c r="K103" s="14">
        <f t="shared" ref="K103:K108" si="14">(H103+I103)-J103</f>
        <v>6076.3332991426805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116</v>
      </c>
      <c r="G110" s="19">
        <f t="shared" si="15"/>
        <v>3000</v>
      </c>
      <c r="H110" s="14">
        <f t="shared" si="15"/>
        <v>4495</v>
      </c>
      <c r="I110" s="14">
        <f t="shared" si="15"/>
        <v>1581.3332991426803</v>
      </c>
      <c r="J110" s="14">
        <f t="shared" si="15"/>
        <v>0</v>
      </c>
      <c r="K110" s="14">
        <f t="shared" si="15"/>
        <v>6076.3332991426805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547000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0.35179828679481207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94908515.63000001</v>
      </c>
    </row>
    <row r="120" spans="1:6" ht="18" customHeight="1">
      <c r="B120" s="2" t="s">
        <v>137</v>
      </c>
      <c r="F120" s="12">
        <v>2497000</v>
      </c>
    </row>
    <row r="121" spans="1:6" ht="18" customHeight="1">
      <c r="A121" s="6"/>
      <c r="B121" s="5" t="s">
        <v>138</v>
      </c>
      <c r="F121" s="12">
        <f>SUM(F119:F120)</f>
        <v>97405515.63000001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95194645.750000015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2210869.8799999952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-1421238.62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789631.25999999512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1928</v>
      </c>
      <c r="G144" s="54">
        <f t="shared" si="18"/>
        <v>7035</v>
      </c>
      <c r="H144" s="54">
        <f t="shared" si="18"/>
        <v>58930</v>
      </c>
      <c r="I144" s="54">
        <f t="shared" si="18"/>
        <v>20731.473040818273</v>
      </c>
      <c r="J144" s="54">
        <f t="shared" si="18"/>
        <v>0</v>
      </c>
      <c r="K144" s="54">
        <f t="shared" si="18"/>
        <v>79661.473040818266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56107.328183289988</v>
      </c>
      <c r="G145" s="54">
        <f t="shared" si="19"/>
        <v>1824</v>
      </c>
      <c r="H145" s="54">
        <f t="shared" si="19"/>
        <v>3362479.4390066299</v>
      </c>
      <c r="I145" s="54">
        <f t="shared" si="19"/>
        <v>1182914.5060253132</v>
      </c>
      <c r="J145" s="54">
        <f t="shared" si="19"/>
        <v>0</v>
      </c>
      <c r="K145" s="54">
        <f t="shared" si="19"/>
        <v>4545393.9450319428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30</v>
      </c>
      <c r="G146" s="54">
        <f t="shared" si="20"/>
        <v>300</v>
      </c>
      <c r="H146" s="54">
        <f t="shared" si="20"/>
        <v>876</v>
      </c>
      <c r="I146" s="54">
        <f t="shared" si="20"/>
        <v>0</v>
      </c>
      <c r="J146" s="54">
        <f t="shared" si="20"/>
        <v>0</v>
      </c>
      <c r="K146" s="54">
        <f t="shared" si="20"/>
        <v>876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120</v>
      </c>
      <c r="G148" s="54">
        <f t="shared" si="22"/>
        <v>500</v>
      </c>
      <c r="H148" s="54">
        <f t="shared" si="22"/>
        <v>70871</v>
      </c>
      <c r="I148" s="54">
        <f t="shared" si="22"/>
        <v>33401.531216678442</v>
      </c>
      <c r="J148" s="54">
        <f t="shared" si="22"/>
        <v>0</v>
      </c>
      <c r="K148" s="54">
        <f t="shared" si="22"/>
        <v>104272.53121667844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143</v>
      </c>
      <c r="G149" s="54">
        <f t="shared" si="23"/>
        <v>9900</v>
      </c>
      <c r="H149" s="54">
        <f t="shared" si="23"/>
        <v>6199</v>
      </c>
      <c r="I149" s="54">
        <f t="shared" si="23"/>
        <v>2180.7975798410403</v>
      </c>
      <c r="J149" s="54">
        <f t="shared" si="23"/>
        <v>0</v>
      </c>
      <c r="K149" s="54">
        <f t="shared" si="23"/>
        <v>8379.7975798410407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116</v>
      </c>
      <c r="G150" s="19">
        <f t="shared" si="24"/>
        <v>3000</v>
      </c>
      <c r="H150" s="19">
        <f t="shared" si="24"/>
        <v>4495</v>
      </c>
      <c r="I150" s="19">
        <f t="shared" si="24"/>
        <v>1581.3332991426803</v>
      </c>
      <c r="J150" s="19">
        <f t="shared" si="24"/>
        <v>0</v>
      </c>
      <c r="K150" s="19">
        <f t="shared" si="24"/>
        <v>6076.3332991426805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547000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58444.328183289988</v>
      </c>
      <c r="G154" s="60">
        <f t="shared" si="26"/>
        <v>22559</v>
      </c>
      <c r="H154" s="60">
        <f t="shared" si="26"/>
        <v>3503850.4390066299</v>
      </c>
      <c r="I154" s="60">
        <f t="shared" si="26"/>
        <v>1240809.6411617936</v>
      </c>
      <c r="J154" s="60">
        <f t="shared" si="26"/>
        <v>0</v>
      </c>
      <c r="K154" s="61">
        <f t="shared" si="26"/>
        <v>5291660.0801684223</v>
      </c>
    </row>
    <row r="156" spans="1:11" ht="18" customHeight="1">
      <c r="B156" s="5" t="s">
        <v>178</v>
      </c>
      <c r="F156" s="233">
        <f>K154/F123</f>
        <v>5.5587791082970878E-2</v>
      </c>
    </row>
    <row r="157" spans="1:11" ht="18" customHeight="1">
      <c r="B157" s="5" t="s">
        <v>179</v>
      </c>
      <c r="F157" s="233">
        <f>K154/F129</f>
        <v>6.7014318558873356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136:D136"/>
    <mergeCell ref="B138:D138"/>
    <mergeCell ref="B96:D96"/>
    <mergeCell ref="B97:D97"/>
    <mergeCell ref="B104:C104"/>
    <mergeCell ref="B106:D106"/>
    <mergeCell ref="B107:D107"/>
    <mergeCell ref="B108:D108"/>
    <mergeCell ref="B137:D137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100"/>
  <sheetViews>
    <sheetView view="pageBreakPreview" zoomScaleNormal="100" zoomScaleSheetLayoutView="100" workbookViewId="0">
      <selection activeCell="G4" sqref="G4"/>
    </sheetView>
  </sheetViews>
  <sheetFormatPr defaultRowHeight="15"/>
  <cols>
    <col min="1" max="1" width="3.85546875" customWidth="1"/>
    <col min="2" max="2" width="44.5703125" bestFit="1" customWidth="1"/>
    <col min="3" max="3" width="15" bestFit="1" customWidth="1"/>
    <col min="6" max="6" width="13.7109375" bestFit="1" customWidth="1"/>
    <col min="7" max="7" width="13.5703125" bestFit="1" customWidth="1"/>
    <col min="8" max="8" width="15.42578125" bestFit="1" customWidth="1"/>
    <col min="9" max="9" width="13.5703125" customWidth="1"/>
    <col min="10" max="10" width="19.28515625" bestFit="1" customWidth="1"/>
    <col min="11" max="11" width="19.42578125" bestFit="1" customWidth="1"/>
    <col min="12" max="12" width="12.28515625" bestFit="1" customWidth="1"/>
    <col min="13" max="13" width="7.7109375" customWidth="1"/>
  </cols>
  <sheetData>
    <row r="1" spans="1:12">
      <c r="A1" s="313" t="s">
        <v>677</v>
      </c>
    </row>
    <row r="2" spans="1:12" ht="30.95" customHeight="1">
      <c r="F2" s="315" t="s">
        <v>638</v>
      </c>
      <c r="G2" s="315" t="s">
        <v>639</v>
      </c>
      <c r="H2" s="315" t="s">
        <v>640</v>
      </c>
      <c r="I2" s="315" t="s">
        <v>641</v>
      </c>
      <c r="J2" s="315" t="s">
        <v>642</v>
      </c>
      <c r="K2" s="315" t="s">
        <v>643</v>
      </c>
    </row>
    <row r="3" spans="1:12" ht="15.75">
      <c r="A3" s="316" t="s">
        <v>160</v>
      </c>
      <c r="B3" s="310" t="s">
        <v>161</v>
      </c>
    </row>
    <row r="4" spans="1:12">
      <c r="A4" s="314" t="s">
        <v>21</v>
      </c>
      <c r="B4" s="313" t="s">
        <v>22</v>
      </c>
      <c r="F4" s="318">
        <v>304264.42294778448</v>
      </c>
      <c r="G4" s="318">
        <v>9680421.7400000002</v>
      </c>
      <c r="H4" s="317">
        <v>16317880.115869585</v>
      </c>
      <c r="I4" s="317">
        <v>8797648.4868682213</v>
      </c>
      <c r="J4" s="317">
        <v>23510023.60273781</v>
      </c>
      <c r="K4" s="317">
        <v>14712375.115869589</v>
      </c>
      <c r="L4" s="311"/>
    </row>
    <row r="5" spans="1:12">
      <c r="B5" s="313" t="s">
        <v>23</v>
      </c>
      <c r="F5" s="318">
        <v>15468.45</v>
      </c>
      <c r="G5" s="318">
        <v>64395</v>
      </c>
      <c r="H5" s="317">
        <v>730403.71001250006</v>
      </c>
      <c r="I5" s="317">
        <v>415372.4114780316</v>
      </c>
      <c r="J5" s="317">
        <v>1137160.1214905314</v>
      </c>
      <c r="K5" s="317">
        <v>721787.71001249971</v>
      </c>
      <c r="L5" s="311"/>
    </row>
    <row r="6" spans="1:12">
      <c r="B6" s="313" t="s">
        <v>24</v>
      </c>
      <c r="F6" s="318">
        <v>34031</v>
      </c>
      <c r="G6" s="318">
        <v>176733</v>
      </c>
      <c r="H6" s="317">
        <v>1757575.1400000001</v>
      </c>
      <c r="I6" s="317">
        <v>915814.26537706621</v>
      </c>
      <c r="J6" s="317">
        <v>2163658.4853770658</v>
      </c>
      <c r="K6" s="317">
        <v>1247844.2199999997</v>
      </c>
      <c r="L6" s="311"/>
    </row>
    <row r="7" spans="1:12">
      <c r="A7" s="314" t="s">
        <v>25</v>
      </c>
      <c r="B7" s="313" t="s">
        <v>26</v>
      </c>
      <c r="F7" s="318">
        <v>93185.5</v>
      </c>
      <c r="G7" s="318">
        <v>107449</v>
      </c>
      <c r="H7" s="317">
        <v>6750632.3055739673</v>
      </c>
      <c r="I7" s="317">
        <v>3859688.9416142344</v>
      </c>
      <c r="J7" s="317">
        <v>9791550.127188202</v>
      </c>
      <c r="K7" s="317">
        <v>5931861.1855739672</v>
      </c>
      <c r="L7" s="311"/>
    </row>
    <row r="8" spans="1:12">
      <c r="B8" s="313" t="s">
        <v>27</v>
      </c>
      <c r="F8" s="318">
        <v>27804.17</v>
      </c>
      <c r="G8" s="318">
        <v>84051</v>
      </c>
      <c r="H8" s="317">
        <v>1791117.8629871299</v>
      </c>
      <c r="I8" s="317">
        <v>951783.60108192079</v>
      </c>
      <c r="J8" s="317">
        <v>2575275.8140690508</v>
      </c>
      <c r="K8" s="317">
        <v>1623492.21298713</v>
      </c>
      <c r="L8" s="311"/>
    </row>
    <row r="9" spans="1:12">
      <c r="B9" s="313" t="s">
        <v>644</v>
      </c>
      <c r="F9" s="318">
        <v>6904.6660000000002</v>
      </c>
      <c r="G9" s="318">
        <v>33894</v>
      </c>
      <c r="H9" s="317">
        <v>611901.30501799996</v>
      </c>
      <c r="I9" s="317">
        <v>310524.08808922989</v>
      </c>
      <c r="J9" s="317">
        <v>754049.39310722984</v>
      </c>
      <c r="K9" s="317">
        <v>443525.30501799996</v>
      </c>
      <c r="L9" s="311"/>
    </row>
    <row r="10" spans="1:12">
      <c r="B10" s="313" t="s">
        <v>29</v>
      </c>
      <c r="F10" s="318">
        <v>4175.5</v>
      </c>
      <c r="G10" s="318">
        <v>17498</v>
      </c>
      <c r="H10" s="317">
        <v>156602.43</v>
      </c>
      <c r="I10" s="317">
        <v>94984.668146927768</v>
      </c>
      <c r="J10" s="317">
        <v>251587.09814692778</v>
      </c>
      <c r="K10" s="317">
        <v>156602.43</v>
      </c>
      <c r="L10" s="311"/>
    </row>
    <row r="11" spans="1:12">
      <c r="B11" s="313" t="s">
        <v>30</v>
      </c>
      <c r="F11" s="318">
        <v>15308.5</v>
      </c>
      <c r="G11" s="318">
        <v>6248</v>
      </c>
      <c r="H11" s="317">
        <v>758660</v>
      </c>
      <c r="I11" s="317">
        <v>384279.69727312587</v>
      </c>
      <c r="J11" s="317">
        <v>1142939.6972731261</v>
      </c>
      <c r="K11" s="317">
        <v>758660.00000000023</v>
      </c>
      <c r="L11" s="311"/>
    </row>
    <row r="12" spans="1:12">
      <c r="A12" s="314" t="s">
        <v>31</v>
      </c>
      <c r="B12" s="313" t="s">
        <v>32</v>
      </c>
      <c r="F12" s="318">
        <v>117971.65000000001</v>
      </c>
      <c r="G12" s="318">
        <v>189903.53361113081</v>
      </c>
      <c r="H12" s="317">
        <v>12084435.291743841</v>
      </c>
      <c r="I12" s="317">
        <v>6677538.0041436935</v>
      </c>
      <c r="J12" s="317">
        <v>17148310.47588753</v>
      </c>
      <c r="K12" s="317">
        <v>10470772.471743837</v>
      </c>
      <c r="L12" s="311"/>
    </row>
    <row r="13" spans="1:12">
      <c r="A13" s="314" t="s">
        <v>33</v>
      </c>
      <c r="B13" s="313" t="s">
        <v>645</v>
      </c>
      <c r="F13" s="318">
        <v>46069.65</v>
      </c>
      <c r="G13" s="318">
        <v>123581.87846254397</v>
      </c>
      <c r="H13" s="317">
        <v>2772195.3145348299</v>
      </c>
      <c r="I13" s="317">
        <v>1570526.3298005506</v>
      </c>
      <c r="J13" s="317">
        <v>4068976.5843353816</v>
      </c>
      <c r="K13" s="317">
        <v>2498450.2545348313</v>
      </c>
      <c r="L13" s="311"/>
    </row>
    <row r="14" spans="1:12">
      <c r="E14" s="320"/>
      <c r="L14" s="321"/>
    </row>
    <row r="15" spans="1:12">
      <c r="B15" s="313" t="s">
        <v>646</v>
      </c>
      <c r="E15" s="320"/>
      <c r="F15" s="309">
        <v>665183.50894778455</v>
      </c>
      <c r="G15" s="309">
        <v>10484175.152073674</v>
      </c>
      <c r="H15" s="312">
        <v>43731403.475739852</v>
      </c>
      <c r="I15" s="312">
        <v>23978160.493873</v>
      </c>
      <c r="J15" s="312">
        <v>62543531.399612851</v>
      </c>
      <c r="K15" s="312">
        <v>38565370.905739851</v>
      </c>
      <c r="L15" s="311"/>
    </row>
    <row r="18" spans="1:12" ht="23.25">
      <c r="A18" s="316" t="s">
        <v>162</v>
      </c>
      <c r="B18" s="310" t="s">
        <v>163</v>
      </c>
      <c r="F18" s="315" t="s">
        <v>638</v>
      </c>
      <c r="G18" s="315" t="s">
        <v>639</v>
      </c>
      <c r="H18" s="315" t="s">
        <v>640</v>
      </c>
      <c r="I18" s="315" t="s">
        <v>641</v>
      </c>
      <c r="J18" s="315" t="s">
        <v>642</v>
      </c>
      <c r="K18" s="315" t="s">
        <v>643</v>
      </c>
    </row>
    <row r="19" spans="1:12">
      <c r="A19" s="314" t="s">
        <v>44</v>
      </c>
      <c r="B19" s="313" t="s">
        <v>45</v>
      </c>
      <c r="F19" s="318">
        <v>3791387.6270122556</v>
      </c>
      <c r="G19" s="318">
        <v>55572.944642843024</v>
      </c>
      <c r="H19" s="317">
        <v>179725385.96185362</v>
      </c>
      <c r="I19" s="317">
        <v>57712079.114063963</v>
      </c>
      <c r="J19" s="317">
        <v>237436416.74591759</v>
      </c>
      <c r="K19" s="317">
        <v>179724337.63185364</v>
      </c>
      <c r="L19" s="311"/>
    </row>
    <row r="20" spans="1:12">
      <c r="A20" s="319" t="s">
        <v>46</v>
      </c>
      <c r="B20" s="313" t="s">
        <v>47</v>
      </c>
      <c r="F20" s="318">
        <v>10964.08</v>
      </c>
      <c r="G20" s="318">
        <v>5500</v>
      </c>
      <c r="H20" s="317">
        <v>2531567.0804350004</v>
      </c>
      <c r="I20" s="317">
        <v>99057.432187150465</v>
      </c>
      <c r="J20" s="317">
        <v>2630624.5126221511</v>
      </c>
      <c r="K20" s="317">
        <v>2531567.0804350004</v>
      </c>
      <c r="L20" s="311"/>
    </row>
    <row r="21" spans="1:12">
      <c r="A21" s="319" t="s">
        <v>48</v>
      </c>
      <c r="B21" s="313" t="s">
        <v>49</v>
      </c>
      <c r="F21" s="318">
        <v>311228.77</v>
      </c>
      <c r="G21" s="318">
        <v>115828.06993876783</v>
      </c>
      <c r="H21" s="317">
        <v>11057506.926509945</v>
      </c>
      <c r="I21" s="317">
        <v>2782043.9451434873</v>
      </c>
      <c r="J21" s="317">
        <v>13803169.201653434</v>
      </c>
      <c r="K21" s="317">
        <v>11021125.256509947</v>
      </c>
      <c r="L21" s="311"/>
    </row>
    <row r="22" spans="1:12">
      <c r="A22" s="314" t="s">
        <v>50</v>
      </c>
      <c r="B22" s="313" t="s">
        <v>51</v>
      </c>
      <c r="F22" s="318">
        <v>37499.86</v>
      </c>
      <c r="G22" s="318">
        <v>10829.899269209338</v>
      </c>
      <c r="H22" s="317">
        <v>1338748.0317549999</v>
      </c>
      <c r="I22" s="317">
        <v>478727.0965631819</v>
      </c>
      <c r="J22" s="317">
        <v>1715253.1583181818</v>
      </c>
      <c r="K22" s="317">
        <v>1236526.0617549999</v>
      </c>
      <c r="L22" s="311"/>
    </row>
    <row r="23" spans="1:12">
      <c r="A23" s="319" t="s">
        <v>52</v>
      </c>
      <c r="B23" s="313" t="s">
        <v>53</v>
      </c>
      <c r="F23" s="318">
        <v>134507.32</v>
      </c>
      <c r="G23" s="318">
        <v>59336.817292286913</v>
      </c>
      <c r="H23" s="317">
        <v>4893514.5078414995</v>
      </c>
      <c r="I23" s="317">
        <v>968910.84072839108</v>
      </c>
      <c r="J23" s="317">
        <v>5807224.0085698906</v>
      </c>
      <c r="K23" s="317">
        <v>4838313.1678414997</v>
      </c>
      <c r="L23" s="311"/>
    </row>
    <row r="24" spans="1:12">
      <c r="A24" s="319" t="s">
        <v>54</v>
      </c>
      <c r="B24" s="313" t="s">
        <v>647</v>
      </c>
      <c r="F24" s="318">
        <v>47454.66</v>
      </c>
      <c r="G24" s="318">
        <v>37042.020000000004</v>
      </c>
      <c r="H24" s="317">
        <v>1400764.8044040001</v>
      </c>
      <c r="I24" s="317">
        <v>449004.11312432744</v>
      </c>
      <c r="J24" s="317">
        <v>1841341.9775283271</v>
      </c>
      <c r="K24" s="317">
        <v>1392337.8644039996</v>
      </c>
      <c r="L24" s="311"/>
    </row>
    <row r="25" spans="1:12">
      <c r="A25" s="319"/>
      <c r="E25" s="320"/>
      <c r="L25" s="311"/>
    </row>
    <row r="26" spans="1:12">
      <c r="A26" s="319"/>
      <c r="B26" s="313" t="s">
        <v>648</v>
      </c>
      <c r="E26" s="320"/>
      <c r="F26" s="309">
        <v>4333042.317012256</v>
      </c>
      <c r="G26" s="309">
        <v>284109.75114310713</v>
      </c>
      <c r="H26" s="312">
        <v>200947487.31279907</v>
      </c>
      <c r="I26" s="312">
        <v>62489822.541810498</v>
      </c>
      <c r="J26" s="312">
        <v>263234029.60460958</v>
      </c>
      <c r="K26" s="312">
        <v>200744207.0627991</v>
      </c>
      <c r="L26" s="311"/>
    </row>
    <row r="27" spans="1:12">
      <c r="A27" s="314"/>
      <c r="F27" s="308"/>
    </row>
    <row r="28" spans="1:12">
      <c r="A28" s="314"/>
      <c r="F28" s="308"/>
    </row>
    <row r="29" spans="1:12" ht="23.25">
      <c r="A29" s="316" t="s">
        <v>164</v>
      </c>
      <c r="B29" s="310" t="s">
        <v>649</v>
      </c>
      <c r="F29" s="315" t="s">
        <v>638</v>
      </c>
      <c r="G29" s="315" t="s">
        <v>639</v>
      </c>
      <c r="H29" s="315" t="s">
        <v>640</v>
      </c>
      <c r="I29" s="315" t="s">
        <v>641</v>
      </c>
      <c r="J29" s="315" t="s">
        <v>642</v>
      </c>
      <c r="K29" s="315" t="s">
        <v>643</v>
      </c>
    </row>
    <row r="30" spans="1:12">
      <c r="F30" s="309">
        <v>1917105.2233024251</v>
      </c>
      <c r="G30" s="309">
        <v>1049970.6097306085</v>
      </c>
      <c r="H30" s="312">
        <v>243694435.30225393</v>
      </c>
      <c r="I30" s="312">
        <v>53060784.588873342</v>
      </c>
      <c r="J30" s="312">
        <v>191461782.11455223</v>
      </c>
      <c r="K30" s="312">
        <v>138400997.52567887</v>
      </c>
      <c r="L30" s="311"/>
    </row>
    <row r="31" spans="1:12">
      <c r="F31" s="308"/>
      <c r="G31" s="308"/>
      <c r="H31" s="308"/>
      <c r="I31" s="308"/>
      <c r="J31" s="311"/>
      <c r="K31" s="311"/>
      <c r="L31" s="311"/>
    </row>
    <row r="33" spans="1:12" ht="23.25">
      <c r="A33" s="316" t="s">
        <v>166</v>
      </c>
      <c r="B33" s="310" t="s">
        <v>167</v>
      </c>
      <c r="F33" s="315" t="s">
        <v>638</v>
      </c>
      <c r="G33" s="315" t="s">
        <v>639</v>
      </c>
      <c r="H33" s="315" t="s">
        <v>640</v>
      </c>
      <c r="I33" s="315" t="s">
        <v>641</v>
      </c>
      <c r="J33" s="315" t="s">
        <v>642</v>
      </c>
      <c r="K33" s="315" t="s">
        <v>643</v>
      </c>
    </row>
    <row r="34" spans="1:12">
      <c r="A34" s="314" t="s">
        <v>80</v>
      </c>
      <c r="B34" s="313" t="s">
        <v>650</v>
      </c>
      <c r="F34" s="318">
        <v>66877</v>
      </c>
      <c r="G34" s="318">
        <v>21804.9558379964</v>
      </c>
      <c r="H34" s="317">
        <v>6549029.3480000002</v>
      </c>
      <c r="I34" s="317">
        <v>1638912.1254259406</v>
      </c>
      <c r="J34" s="317">
        <v>5996248.4734259406</v>
      </c>
      <c r="K34" s="317">
        <v>4357336.3480000002</v>
      </c>
      <c r="L34" s="311"/>
    </row>
    <row r="35" spans="1:12">
      <c r="A35" s="319" t="s">
        <v>82</v>
      </c>
      <c r="B35" s="313" t="s">
        <v>83</v>
      </c>
      <c r="F35" s="318">
        <v>1131</v>
      </c>
      <c r="G35" s="318">
        <v>150</v>
      </c>
      <c r="H35" s="317">
        <v>79349.58</v>
      </c>
      <c r="I35" s="317">
        <v>2696.7395999999999</v>
      </c>
      <c r="J35" s="317">
        <v>82046.319600000003</v>
      </c>
      <c r="K35" s="317">
        <v>79349.58</v>
      </c>
      <c r="L35" s="311"/>
    </row>
    <row r="36" spans="1:12">
      <c r="A36" s="319" t="s">
        <v>84</v>
      </c>
      <c r="B36" s="313" t="s">
        <v>645</v>
      </c>
      <c r="F36" s="318">
        <v>10501</v>
      </c>
      <c r="G36" s="318">
        <v>377</v>
      </c>
      <c r="H36" s="317">
        <v>2853912</v>
      </c>
      <c r="I36" s="317">
        <v>0</v>
      </c>
      <c r="J36" s="317">
        <v>2853912</v>
      </c>
      <c r="K36" s="317">
        <v>2853912</v>
      </c>
      <c r="L36" s="311"/>
    </row>
    <row r="37" spans="1:12">
      <c r="E37" s="320"/>
      <c r="L37" s="311"/>
    </row>
    <row r="38" spans="1:12">
      <c r="B38" s="313" t="s">
        <v>648</v>
      </c>
      <c r="E38" s="320"/>
      <c r="F38" s="309">
        <v>78509</v>
      </c>
      <c r="G38" s="309">
        <v>22331.9558379964</v>
      </c>
      <c r="H38" s="312">
        <v>9482290.9279999994</v>
      </c>
      <c r="I38" s="312">
        <v>1641608.8650259406</v>
      </c>
      <c r="J38" s="312">
        <v>8932206.7930259407</v>
      </c>
      <c r="K38" s="312">
        <v>7290597.9280000003</v>
      </c>
      <c r="L38" s="311"/>
    </row>
    <row r="39" spans="1:12">
      <c r="E39" s="320"/>
      <c r="F39" s="308"/>
      <c r="G39" s="308"/>
      <c r="H39" s="311"/>
      <c r="I39" s="311"/>
      <c r="J39" s="311"/>
      <c r="K39" s="311"/>
      <c r="L39" s="311"/>
    </row>
    <row r="41" spans="1:12" ht="23.25">
      <c r="A41" s="316" t="s">
        <v>168</v>
      </c>
      <c r="B41" s="310" t="s">
        <v>169</v>
      </c>
      <c r="F41" s="315" t="s">
        <v>638</v>
      </c>
      <c r="G41" s="315" t="s">
        <v>639</v>
      </c>
      <c r="H41" s="315" t="s">
        <v>640</v>
      </c>
      <c r="I41" s="315" t="s">
        <v>641</v>
      </c>
      <c r="J41" s="315" t="s">
        <v>642</v>
      </c>
      <c r="K41" s="315" t="s">
        <v>643</v>
      </c>
    </row>
    <row r="42" spans="1:12">
      <c r="A42" s="314" t="s">
        <v>91</v>
      </c>
      <c r="B42" s="313" t="s">
        <v>92</v>
      </c>
      <c r="F42" s="318">
        <v>1924</v>
      </c>
      <c r="G42" s="318">
        <v>6738</v>
      </c>
      <c r="H42" s="317">
        <v>5740424.619829</v>
      </c>
      <c r="I42" s="317">
        <v>1078055.0991683754</v>
      </c>
      <c r="J42" s="317">
        <v>6481177.7189973742</v>
      </c>
      <c r="K42" s="317">
        <v>5403122.619828999</v>
      </c>
      <c r="L42" s="311"/>
    </row>
    <row r="43" spans="1:12">
      <c r="A43" s="319" t="s">
        <v>93</v>
      </c>
      <c r="B43" s="313" t="s">
        <v>94</v>
      </c>
      <c r="F43" s="318">
        <v>0</v>
      </c>
      <c r="G43" s="318">
        <v>0</v>
      </c>
      <c r="H43" s="317">
        <v>641413</v>
      </c>
      <c r="I43" s="317">
        <v>0</v>
      </c>
      <c r="J43" s="317">
        <v>353184</v>
      </c>
      <c r="K43" s="317">
        <v>353184</v>
      </c>
      <c r="L43" s="311"/>
    </row>
    <row r="44" spans="1:12">
      <c r="A44" s="314" t="s">
        <v>95</v>
      </c>
      <c r="B44" s="313" t="s">
        <v>96</v>
      </c>
      <c r="F44" s="318">
        <v>30515.5</v>
      </c>
      <c r="G44" s="318">
        <v>140356.75</v>
      </c>
      <c r="H44" s="317">
        <v>4357602.208737012</v>
      </c>
      <c r="I44" s="317">
        <v>363421.53949247045</v>
      </c>
      <c r="J44" s="317">
        <v>4612058.7482294822</v>
      </c>
      <c r="K44" s="317">
        <v>4248637.208737012</v>
      </c>
      <c r="L44" s="311"/>
    </row>
    <row r="45" spans="1:12">
      <c r="A45" s="314" t="s">
        <v>360</v>
      </c>
      <c r="B45" s="313" t="s">
        <v>97</v>
      </c>
      <c r="F45" s="318">
        <v>3637</v>
      </c>
      <c r="G45" s="318">
        <v>2390</v>
      </c>
      <c r="H45" s="317">
        <v>449174.56100000005</v>
      </c>
      <c r="I45" s="317">
        <v>64134.184320858687</v>
      </c>
      <c r="J45" s="317">
        <v>513308.74532085867</v>
      </c>
      <c r="K45" s="317">
        <v>449174.56099999999</v>
      </c>
      <c r="L45" s="311"/>
    </row>
    <row r="46" spans="1:12">
      <c r="A46" s="319" t="s">
        <v>651</v>
      </c>
      <c r="B46" s="313" t="s">
        <v>652</v>
      </c>
      <c r="F46" s="318">
        <v>0</v>
      </c>
      <c r="G46" s="318">
        <v>0</v>
      </c>
      <c r="H46" s="317">
        <v>5889000</v>
      </c>
      <c r="I46" s="317">
        <v>0</v>
      </c>
      <c r="J46" s="317">
        <v>5889000</v>
      </c>
      <c r="K46" s="317">
        <v>5889000</v>
      </c>
      <c r="L46" s="311"/>
    </row>
    <row r="47" spans="1:12">
      <c r="A47" s="319"/>
      <c r="B47" s="313"/>
      <c r="E47" s="320"/>
      <c r="L47" s="311"/>
    </row>
    <row r="48" spans="1:12">
      <c r="B48" s="313" t="s">
        <v>648</v>
      </c>
      <c r="E48" s="320"/>
      <c r="F48" s="309">
        <v>36076.5</v>
      </c>
      <c r="G48" s="309">
        <v>149484.75</v>
      </c>
      <c r="H48" s="312">
        <v>17077614.389566012</v>
      </c>
      <c r="I48" s="312">
        <v>1505610.8229817045</v>
      </c>
      <c r="J48" s="312">
        <v>17848729.212547712</v>
      </c>
      <c r="K48" s="312">
        <v>16343118.389566008</v>
      </c>
      <c r="L48" s="311"/>
    </row>
    <row r="52" spans="1:12" ht="23.25">
      <c r="A52" s="316" t="s">
        <v>170</v>
      </c>
      <c r="B52" s="310" t="s">
        <v>171</v>
      </c>
      <c r="F52" s="315" t="s">
        <v>638</v>
      </c>
      <c r="G52" s="315" t="s">
        <v>639</v>
      </c>
      <c r="H52" s="315" t="s">
        <v>640</v>
      </c>
      <c r="I52" s="315" t="s">
        <v>641</v>
      </c>
      <c r="J52" s="315" t="s">
        <v>642</v>
      </c>
      <c r="K52" s="315" t="s">
        <v>643</v>
      </c>
    </row>
    <row r="53" spans="1:12">
      <c r="A53" s="314" t="s">
        <v>100</v>
      </c>
      <c r="B53" s="313" t="s">
        <v>101</v>
      </c>
      <c r="F53" s="318">
        <v>1386</v>
      </c>
      <c r="G53" s="318">
        <v>184339.3956043956</v>
      </c>
      <c r="H53" s="317">
        <v>2028416.9321930001</v>
      </c>
      <c r="I53" s="317">
        <v>404304.85160623665</v>
      </c>
      <c r="J53" s="317">
        <v>2432721.7837992366</v>
      </c>
      <c r="K53" s="317">
        <v>2028416.9321929999</v>
      </c>
      <c r="L53" s="311"/>
    </row>
    <row r="54" spans="1:12">
      <c r="A54" s="319" t="s">
        <v>102</v>
      </c>
      <c r="B54" s="313" t="s">
        <v>103</v>
      </c>
      <c r="F54" s="318">
        <v>18753.3</v>
      </c>
      <c r="G54" s="318">
        <v>5812</v>
      </c>
      <c r="H54" s="317">
        <v>1236194.6419829999</v>
      </c>
      <c r="I54" s="317">
        <v>759605.48246609222</v>
      </c>
      <c r="J54" s="317">
        <v>1614400.1244490924</v>
      </c>
      <c r="K54" s="317">
        <v>854794.64198300021</v>
      </c>
      <c r="L54" s="311"/>
    </row>
    <row r="55" spans="1:12">
      <c r="A55" s="314" t="s">
        <v>104</v>
      </c>
      <c r="B55" s="313" t="s">
        <v>105</v>
      </c>
      <c r="F55" s="318">
        <v>47042</v>
      </c>
      <c r="G55" s="318">
        <v>21686.857778292706</v>
      </c>
      <c r="H55" s="317">
        <v>2284976.003602</v>
      </c>
      <c r="I55" s="317">
        <v>1285084.7675392062</v>
      </c>
      <c r="J55" s="317">
        <v>3294622.7711412059</v>
      </c>
      <c r="K55" s="317">
        <v>2009538.0036019997</v>
      </c>
      <c r="L55" s="311"/>
    </row>
    <row r="56" spans="1:12">
      <c r="A56" s="314" t="s">
        <v>653</v>
      </c>
      <c r="B56" s="313" t="s">
        <v>107</v>
      </c>
      <c r="F56" s="318">
        <v>9686</v>
      </c>
      <c r="G56" s="318">
        <v>224</v>
      </c>
      <c r="H56" s="317">
        <v>262537.40000000002</v>
      </c>
      <c r="I56" s="317">
        <v>147468.30931749815</v>
      </c>
      <c r="J56" s="317">
        <v>410005.70931749808</v>
      </c>
      <c r="K56" s="317">
        <v>262537.39999999991</v>
      </c>
      <c r="L56" s="311"/>
    </row>
    <row r="57" spans="1:12">
      <c r="A57" s="319" t="s">
        <v>108</v>
      </c>
      <c r="B57" s="313" t="s">
        <v>109</v>
      </c>
      <c r="F57" s="318">
        <v>12219</v>
      </c>
      <c r="G57" s="318">
        <v>8054</v>
      </c>
      <c r="H57" s="317">
        <v>636937</v>
      </c>
      <c r="I57" s="317">
        <v>322796.09082470892</v>
      </c>
      <c r="J57" s="317">
        <v>955858.09082470881</v>
      </c>
      <c r="K57" s="317">
        <v>633061.99999999988</v>
      </c>
      <c r="L57" s="311"/>
    </row>
    <row r="58" spans="1:12">
      <c r="A58" s="314" t="s">
        <v>110</v>
      </c>
      <c r="B58" s="313" t="s">
        <v>111</v>
      </c>
      <c r="F58" s="318">
        <v>7228</v>
      </c>
      <c r="G58" s="318">
        <v>8874</v>
      </c>
      <c r="H58" s="317">
        <v>687975.5</v>
      </c>
      <c r="I58" s="317">
        <v>370406.13082140184</v>
      </c>
      <c r="J58" s="317">
        <v>1058359.630821402</v>
      </c>
      <c r="K58" s="317">
        <v>687953.50000000012</v>
      </c>
      <c r="L58" s="311"/>
    </row>
    <row r="59" spans="1:12">
      <c r="A59" s="314" t="s">
        <v>112</v>
      </c>
      <c r="B59" s="313" t="s">
        <v>113</v>
      </c>
      <c r="F59" s="318">
        <v>9762.5</v>
      </c>
      <c r="G59" s="318">
        <v>31005</v>
      </c>
      <c r="H59" s="317">
        <v>902273.63993244758</v>
      </c>
      <c r="I59" s="317">
        <v>397313.68330415606</v>
      </c>
      <c r="J59" s="317">
        <v>1195702.3232366038</v>
      </c>
      <c r="K59" s="317">
        <v>798388.6399324477</v>
      </c>
      <c r="L59" s="311"/>
    </row>
    <row r="60" spans="1:12">
      <c r="A60" s="319" t="s">
        <v>114</v>
      </c>
      <c r="B60" s="313" t="s">
        <v>115</v>
      </c>
      <c r="F60" s="318">
        <v>20975</v>
      </c>
      <c r="G60" s="318">
        <v>13552</v>
      </c>
      <c r="H60" s="317">
        <v>2558915.5947199995</v>
      </c>
      <c r="I60" s="317">
        <v>1344315.3543133629</v>
      </c>
      <c r="J60" s="317">
        <v>3699667.9490333628</v>
      </c>
      <c r="K60" s="317">
        <v>2355352.5947199999</v>
      </c>
      <c r="L60" s="311"/>
    </row>
    <row r="61" spans="1:12">
      <c r="A61" s="314" t="s">
        <v>116</v>
      </c>
      <c r="B61" s="313" t="s">
        <v>645</v>
      </c>
      <c r="F61" s="318">
        <v>55736</v>
      </c>
      <c r="G61" s="318">
        <v>21172.768131631328</v>
      </c>
      <c r="H61" s="317">
        <v>1921024.0219999999</v>
      </c>
      <c r="I61" s="317">
        <v>361601.06857548875</v>
      </c>
      <c r="J61" s="317">
        <v>2261579.0005754884</v>
      </c>
      <c r="K61" s="317">
        <v>1899977.9319999996</v>
      </c>
      <c r="L61" s="311"/>
    </row>
    <row r="62" spans="1:12">
      <c r="L62" s="311"/>
    </row>
    <row r="63" spans="1:12">
      <c r="B63" s="313" t="s">
        <v>648</v>
      </c>
      <c r="F63" s="309">
        <v>182787.8</v>
      </c>
      <c r="G63" s="309">
        <v>294720.02151431958</v>
      </c>
      <c r="H63" s="312">
        <v>12519250.734430447</v>
      </c>
      <c r="I63" s="312">
        <v>5392895.738768151</v>
      </c>
      <c r="J63" s="312">
        <v>16922917.383198597</v>
      </c>
      <c r="K63" s="312">
        <v>11530021.644430446</v>
      </c>
      <c r="L63" s="311"/>
    </row>
    <row r="65" spans="1:12" ht="23.25">
      <c r="A65" s="316" t="s">
        <v>172</v>
      </c>
      <c r="B65" s="310" t="s">
        <v>173</v>
      </c>
      <c r="F65" s="315" t="s">
        <v>638</v>
      </c>
      <c r="G65" s="315" t="s">
        <v>639</v>
      </c>
      <c r="H65" s="315" t="s">
        <v>640</v>
      </c>
      <c r="I65" s="315" t="s">
        <v>641</v>
      </c>
      <c r="J65" s="315" t="s">
        <v>642</v>
      </c>
      <c r="K65" s="315" t="s">
        <v>643</v>
      </c>
    </row>
    <row r="66" spans="1:12">
      <c r="A66" s="314" t="s">
        <v>119</v>
      </c>
      <c r="B66" s="313" t="s">
        <v>120</v>
      </c>
      <c r="F66" s="318">
        <v>44370.6</v>
      </c>
      <c r="G66" s="318">
        <v>128223</v>
      </c>
      <c r="H66" s="317">
        <v>2151385.4237325001</v>
      </c>
      <c r="I66" s="317">
        <v>1164760.1124072631</v>
      </c>
      <c r="J66" s="317">
        <v>3250183.5361397634</v>
      </c>
      <c r="K66" s="317">
        <v>2085423.4237325003</v>
      </c>
      <c r="L66" s="311"/>
    </row>
    <row r="67" spans="1:12">
      <c r="A67" s="319" t="s">
        <v>121</v>
      </c>
      <c r="B67" s="313" t="s">
        <v>654</v>
      </c>
      <c r="F67" s="318">
        <v>1743.2</v>
      </c>
      <c r="G67" s="318">
        <v>254</v>
      </c>
      <c r="H67" s="317">
        <v>106556.885398</v>
      </c>
      <c r="I67" s="317">
        <v>60916.319455015153</v>
      </c>
      <c r="J67" s="317">
        <v>167473.20485301514</v>
      </c>
      <c r="K67" s="317">
        <v>106556.88539799998</v>
      </c>
      <c r="L67" s="311"/>
    </row>
    <row r="68" spans="1:12">
      <c r="A68" s="314" t="s">
        <v>123</v>
      </c>
      <c r="B68" s="313" t="s">
        <v>655</v>
      </c>
      <c r="F68" s="318">
        <v>7054</v>
      </c>
      <c r="G68" s="318">
        <v>61524.753393324972</v>
      </c>
      <c r="H68" s="317">
        <v>2194884.341945</v>
      </c>
      <c r="I68" s="317">
        <v>1323549.168500524</v>
      </c>
      <c r="J68" s="317">
        <v>3518433.510445524</v>
      </c>
      <c r="K68" s="317">
        <v>2194884.341945</v>
      </c>
      <c r="L68" s="311"/>
    </row>
    <row r="69" spans="1:12">
      <c r="L69" s="311"/>
    </row>
    <row r="70" spans="1:12">
      <c r="F70" s="309">
        <v>53167.799999999996</v>
      </c>
      <c r="G70" s="309">
        <v>190001.75339332497</v>
      </c>
      <c r="H70" s="312">
        <v>4452826.6510755001</v>
      </c>
      <c r="I70" s="312">
        <v>2549225.6003628024</v>
      </c>
      <c r="J70" s="312">
        <v>6936090.2514383029</v>
      </c>
      <c r="K70" s="312">
        <v>4386864.651075501</v>
      </c>
      <c r="L70" s="311"/>
    </row>
    <row r="73" spans="1:12" ht="15.75">
      <c r="A73" s="316" t="s">
        <v>174</v>
      </c>
      <c r="B73" s="310" t="s">
        <v>656</v>
      </c>
      <c r="F73" s="312">
        <v>286323867.3682</v>
      </c>
      <c r="G73" s="315"/>
      <c r="H73" s="315"/>
      <c r="I73" s="315"/>
      <c r="J73" s="315"/>
      <c r="K73" s="315"/>
    </row>
    <row r="76" spans="1:12" ht="23.25">
      <c r="A76" s="316" t="s">
        <v>147</v>
      </c>
      <c r="B76" s="310" t="s">
        <v>148</v>
      </c>
      <c r="F76" s="315" t="s">
        <v>638</v>
      </c>
      <c r="G76" s="315" t="s">
        <v>639</v>
      </c>
      <c r="H76" s="315" t="s">
        <v>640</v>
      </c>
      <c r="I76" s="315" t="s">
        <v>641</v>
      </c>
      <c r="J76" s="315" t="s">
        <v>642</v>
      </c>
      <c r="K76" s="315" t="s">
        <v>643</v>
      </c>
    </row>
    <row r="77" spans="1:12">
      <c r="A77" s="314" t="s">
        <v>149</v>
      </c>
      <c r="B77" s="313" t="s">
        <v>150</v>
      </c>
      <c r="F77" s="318">
        <v>59797</v>
      </c>
      <c r="G77" s="318">
        <v>5627</v>
      </c>
      <c r="H77" s="317">
        <v>6307840</v>
      </c>
      <c r="I77" s="317">
        <v>341650.78104732325</v>
      </c>
      <c r="J77" s="317">
        <v>5759357.7810473237</v>
      </c>
      <c r="K77" s="317">
        <v>5417707</v>
      </c>
      <c r="L77" s="311"/>
    </row>
    <row r="78" spans="1:12">
      <c r="A78" s="319" t="s">
        <v>151</v>
      </c>
      <c r="B78" s="313" t="s">
        <v>152</v>
      </c>
      <c r="F78" s="318">
        <v>6537</v>
      </c>
      <c r="G78" s="318">
        <v>2540</v>
      </c>
      <c r="H78" s="317">
        <v>1606478</v>
      </c>
      <c r="I78" s="317">
        <v>18049.949999999997</v>
      </c>
      <c r="J78" s="317">
        <v>1101993.95</v>
      </c>
      <c r="K78" s="317">
        <v>1083944</v>
      </c>
      <c r="L78" s="311"/>
    </row>
    <row r="79" spans="1:12">
      <c r="A79" s="314" t="s">
        <v>153</v>
      </c>
      <c r="B79" s="313" t="s">
        <v>34</v>
      </c>
      <c r="F79" s="318">
        <v>0</v>
      </c>
      <c r="G79" s="318">
        <v>11</v>
      </c>
      <c r="H79" s="317">
        <v>19964.580000000002</v>
      </c>
      <c r="I79" s="317">
        <v>2927.424096076646</v>
      </c>
      <c r="J79" s="317">
        <v>22892.004096076646</v>
      </c>
      <c r="K79" s="317">
        <v>19964.579999999998</v>
      </c>
      <c r="L79" s="311"/>
    </row>
    <row r="80" spans="1:12">
      <c r="L80" s="311"/>
    </row>
    <row r="81" spans="1:12">
      <c r="B81" s="313" t="s">
        <v>648</v>
      </c>
      <c r="F81" s="309">
        <v>66334</v>
      </c>
      <c r="G81" s="309">
        <v>8178</v>
      </c>
      <c r="H81" s="312">
        <v>7934282.5800000001</v>
      </c>
      <c r="I81" s="312">
        <v>362628.1551433999</v>
      </c>
      <c r="J81" s="312">
        <v>6884243.7351434007</v>
      </c>
      <c r="K81" s="312">
        <v>6521615.580000001</v>
      </c>
      <c r="L81" s="311"/>
    </row>
    <row r="82" spans="1:12">
      <c r="H82" s="311"/>
      <c r="I82" s="311"/>
      <c r="J82" s="311"/>
    </row>
    <row r="83" spans="1:12" ht="23.25">
      <c r="A83" s="316" t="s">
        <v>158</v>
      </c>
      <c r="B83" s="310" t="s">
        <v>657</v>
      </c>
      <c r="F83" s="315" t="s">
        <v>638</v>
      </c>
      <c r="G83" s="315" t="s">
        <v>639</v>
      </c>
      <c r="H83" s="315" t="s">
        <v>640</v>
      </c>
      <c r="I83" s="315" t="s">
        <v>641</v>
      </c>
      <c r="J83" s="315" t="s">
        <v>642</v>
      </c>
      <c r="K83" s="315" t="s">
        <v>643</v>
      </c>
    </row>
    <row r="84" spans="1:12">
      <c r="A84" s="314" t="s">
        <v>160</v>
      </c>
      <c r="B84" s="313" t="s">
        <v>161</v>
      </c>
      <c r="F84" s="309">
        <v>665183.50894778443</v>
      </c>
      <c r="G84" s="309">
        <v>10484175.152073674</v>
      </c>
      <c r="H84" s="312">
        <v>43731403.475739852</v>
      </c>
      <c r="I84" s="312">
        <v>23978160.493873</v>
      </c>
      <c r="J84" s="312">
        <v>62543531.399612844</v>
      </c>
      <c r="K84" s="312">
        <v>38565370.905739844</v>
      </c>
      <c r="L84" s="311"/>
    </row>
    <row r="85" spans="1:12">
      <c r="A85" s="314" t="s">
        <v>162</v>
      </c>
      <c r="B85" s="313" t="s">
        <v>163</v>
      </c>
      <c r="F85" s="309">
        <v>4333042.3170122551</v>
      </c>
      <c r="G85" s="309">
        <v>284109.75114310713</v>
      </c>
      <c r="H85" s="312">
        <v>200947487.3127991</v>
      </c>
      <c r="I85" s="312">
        <v>62489822.541810505</v>
      </c>
      <c r="J85" s="312">
        <v>263234029.60460955</v>
      </c>
      <c r="K85" s="312">
        <v>200744207.06279904</v>
      </c>
      <c r="L85" s="311"/>
    </row>
    <row r="86" spans="1:12">
      <c r="A86" s="314" t="s">
        <v>164</v>
      </c>
      <c r="B86" s="313" t="s">
        <v>165</v>
      </c>
      <c r="F86" s="309">
        <v>1917105.2233024251</v>
      </c>
      <c r="G86" s="309">
        <v>1049970.6097306085</v>
      </c>
      <c r="H86" s="312">
        <v>243694435.30225393</v>
      </c>
      <c r="I86" s="312">
        <v>53060784.588873342</v>
      </c>
      <c r="J86" s="312">
        <v>191461782.11455223</v>
      </c>
      <c r="K86" s="312">
        <v>138400997.52567887</v>
      </c>
      <c r="L86" s="311"/>
    </row>
    <row r="87" spans="1:12">
      <c r="A87" s="314" t="s">
        <v>166</v>
      </c>
      <c r="B87" s="313" t="s">
        <v>167</v>
      </c>
      <c r="F87" s="309">
        <v>78509</v>
      </c>
      <c r="G87" s="309">
        <v>22331.9558379964</v>
      </c>
      <c r="H87" s="312">
        <v>9482290.9279999994</v>
      </c>
      <c r="I87" s="312">
        <v>1641608.8650259406</v>
      </c>
      <c r="J87" s="312">
        <v>8932206.7930259388</v>
      </c>
      <c r="K87" s="312">
        <v>7290597.9279999984</v>
      </c>
      <c r="L87" s="311"/>
    </row>
    <row r="88" spans="1:12">
      <c r="A88" s="314" t="s">
        <v>168</v>
      </c>
      <c r="B88" s="313" t="s">
        <v>658</v>
      </c>
      <c r="F88" s="309">
        <v>36076.5</v>
      </c>
      <c r="G88" s="309">
        <v>149484.75</v>
      </c>
      <c r="H88" s="312">
        <v>17077614.389566012</v>
      </c>
      <c r="I88" s="312">
        <v>1505610.8229817047</v>
      </c>
      <c r="J88" s="312">
        <v>17848729.212547719</v>
      </c>
      <c r="K88" s="312">
        <v>16343118.389566015</v>
      </c>
      <c r="L88" s="311"/>
    </row>
    <row r="89" spans="1:12">
      <c r="A89" s="314" t="s">
        <v>170</v>
      </c>
      <c r="B89" s="313" t="s">
        <v>171</v>
      </c>
      <c r="F89" s="309">
        <v>182787.8</v>
      </c>
      <c r="G89" s="309">
        <v>294720.02151431964</v>
      </c>
      <c r="H89" s="312">
        <v>12519250.734430451</v>
      </c>
      <c r="I89" s="312">
        <v>5392895.7387681538</v>
      </c>
      <c r="J89" s="312">
        <v>16922917.3831986</v>
      </c>
      <c r="K89" s="312">
        <v>11530021.644430447</v>
      </c>
      <c r="L89" s="311"/>
    </row>
    <row r="90" spans="1:12">
      <c r="A90" s="314" t="s">
        <v>172</v>
      </c>
      <c r="B90" s="313" t="s">
        <v>173</v>
      </c>
      <c r="F90" s="309">
        <v>53167.799999999996</v>
      </c>
      <c r="G90" s="309">
        <v>190001.75339332497</v>
      </c>
      <c r="H90" s="312">
        <v>4452826.6510755001</v>
      </c>
      <c r="I90" s="312">
        <v>2549225.6003628029</v>
      </c>
      <c r="J90" s="312">
        <v>6936090.2514383011</v>
      </c>
      <c r="K90" s="312">
        <v>4386864.6510754982</v>
      </c>
      <c r="L90" s="311"/>
    </row>
    <row r="91" spans="1:12">
      <c r="A91" s="314" t="s">
        <v>174</v>
      </c>
      <c r="B91" s="313" t="s">
        <v>175</v>
      </c>
      <c r="F91" s="309">
        <v>0</v>
      </c>
      <c r="G91" s="309">
        <v>0</v>
      </c>
      <c r="H91" s="312">
        <v>0</v>
      </c>
      <c r="I91" s="312">
        <v>0</v>
      </c>
      <c r="J91" s="312">
        <v>286323867.3682</v>
      </c>
      <c r="K91" s="312">
        <v>286323867.3682</v>
      </c>
      <c r="L91" s="311"/>
    </row>
    <row r="92" spans="1:12">
      <c r="A92" s="314" t="s">
        <v>147</v>
      </c>
      <c r="B92" s="313" t="s">
        <v>177</v>
      </c>
      <c r="F92" s="309">
        <v>66334</v>
      </c>
      <c r="G92" s="309">
        <v>8178</v>
      </c>
      <c r="H92" s="312">
        <v>7934282.5800000001</v>
      </c>
      <c r="I92" s="312">
        <v>362628.15514339996</v>
      </c>
      <c r="J92" s="312">
        <v>6884243.7351433998</v>
      </c>
      <c r="K92" s="312">
        <v>6521615.5800000001</v>
      </c>
      <c r="L92" s="311"/>
    </row>
    <row r="94" spans="1:12" ht="15.75">
      <c r="B94" s="310" t="s">
        <v>659</v>
      </c>
      <c r="F94" s="309">
        <v>7332206.1492624637</v>
      </c>
      <c r="G94" s="309">
        <v>12482971.99369303</v>
      </c>
      <c r="H94" s="309">
        <v>539839591.37386477</v>
      </c>
      <c r="I94" s="309">
        <v>150980736.80683887</v>
      </c>
      <c r="J94" s="309">
        <v>861087397.86232853</v>
      </c>
      <c r="K94" s="309">
        <v>710106661.05548966</v>
      </c>
      <c r="L94" s="308"/>
    </row>
    <row r="95" spans="1:12">
      <c r="K95" s="308"/>
    </row>
    <row r="96" spans="1:12">
      <c r="B96" s="228" t="s">
        <v>660</v>
      </c>
      <c r="C96" s="229">
        <v>11920248871.512999</v>
      </c>
    </row>
    <row r="97" spans="2:3">
      <c r="B97" s="230"/>
      <c r="C97" s="230"/>
    </row>
    <row r="98" spans="2:3">
      <c r="B98" s="228" t="s">
        <v>661</v>
      </c>
      <c r="C98" s="231">
        <v>7.2237367452969423E-2</v>
      </c>
    </row>
    <row r="99" spans="2:3">
      <c r="B99" s="230"/>
      <c r="C99" s="230"/>
    </row>
    <row r="100" spans="2:3">
      <c r="B100" s="228" t="s">
        <v>662</v>
      </c>
      <c r="C100" s="232">
        <v>5.957146270263719E-2</v>
      </c>
    </row>
  </sheetData>
  <pageMargins left="0.7" right="0.7" top="0.75" bottom="0.75" header="0.3" footer="0.3"/>
  <pageSetup scale="70" orientation="landscape" r:id="rId1"/>
  <rowBreaks count="2" manualBreakCount="2">
    <brk id="32" max="16383" man="1"/>
    <brk id="73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413</v>
      </c>
      <c r="D5" s="363"/>
      <c r="E5" s="363"/>
      <c r="F5" s="363"/>
      <c r="G5" s="364"/>
    </row>
    <row r="6" spans="1:11" ht="18" customHeight="1">
      <c r="B6" s="6" t="s">
        <v>4</v>
      </c>
      <c r="C6" s="365">
        <v>55</v>
      </c>
      <c r="D6" s="366"/>
      <c r="E6" s="366"/>
      <c r="F6" s="366"/>
      <c r="G6" s="367"/>
    </row>
    <row r="7" spans="1:11" ht="18" customHeight="1">
      <c r="B7" s="6" t="s">
        <v>5</v>
      </c>
      <c r="C7" s="368">
        <v>562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412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411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410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1028.5</v>
      </c>
      <c r="G18" s="11">
        <v>1483</v>
      </c>
      <c r="H18" s="12">
        <v>33144</v>
      </c>
      <c r="I18" s="13">
        <f t="shared" ref="I18:I32" si="0">H18*F$116</f>
        <v>20217.84</v>
      </c>
      <c r="J18" s="12">
        <v>233</v>
      </c>
      <c r="K18" s="14">
        <f t="shared" ref="K18:K32" si="1">(H18+I18)-J18</f>
        <v>53128.84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251</v>
      </c>
      <c r="G21" s="11">
        <v>1147</v>
      </c>
      <c r="H21" s="12">
        <v>10939</v>
      </c>
      <c r="I21" s="13">
        <f t="shared" si="0"/>
        <v>6672.79</v>
      </c>
      <c r="J21" s="12">
        <v>983</v>
      </c>
      <c r="K21" s="14">
        <f t="shared" si="1"/>
        <v>16628.79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87</v>
      </c>
      <c r="G26" s="11">
        <v>588</v>
      </c>
      <c r="H26" s="12">
        <v>2883</v>
      </c>
      <c r="I26" s="13">
        <f t="shared" si="0"/>
        <v>1758.6299999999999</v>
      </c>
      <c r="J26" s="12"/>
      <c r="K26" s="14">
        <f t="shared" si="1"/>
        <v>4641.63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1366.5</v>
      </c>
      <c r="G34" s="19">
        <f t="shared" si="2"/>
        <v>3218</v>
      </c>
      <c r="H34" s="14">
        <f t="shared" si="2"/>
        <v>46966</v>
      </c>
      <c r="I34" s="14">
        <f t="shared" si="2"/>
        <v>28649.260000000002</v>
      </c>
      <c r="J34" s="14">
        <f t="shared" si="2"/>
        <v>1216</v>
      </c>
      <c r="K34" s="14">
        <f t="shared" si="2"/>
        <v>74399.260000000009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950</v>
      </c>
      <c r="G41" s="11">
        <v>300</v>
      </c>
      <c r="H41" s="12">
        <v>26923</v>
      </c>
      <c r="I41" s="13">
        <f>H41*F$116</f>
        <v>16423.03</v>
      </c>
      <c r="J41" s="12"/>
      <c r="K41" s="14">
        <f t="shared" si="3"/>
        <v>43346.03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950</v>
      </c>
      <c r="G48" s="25">
        <f t="shared" si="4"/>
        <v>300</v>
      </c>
      <c r="H48" s="14">
        <f t="shared" si="4"/>
        <v>26923</v>
      </c>
      <c r="I48" s="14">
        <f t="shared" si="4"/>
        <v>16423.03</v>
      </c>
      <c r="J48" s="14">
        <f t="shared" si="4"/>
        <v>0</v>
      </c>
      <c r="K48" s="14">
        <f t="shared" si="4"/>
        <v>43346.03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409</v>
      </c>
      <c r="C52" s="385"/>
      <c r="D52" s="359"/>
      <c r="F52" s="11"/>
      <c r="G52" s="11"/>
      <c r="H52" s="12">
        <v>5189500</v>
      </c>
      <c r="I52" s="13">
        <f>H52*F$116</f>
        <v>3165595</v>
      </c>
      <c r="J52" s="12"/>
      <c r="K52" s="14">
        <f t="shared" ref="K52:K61" si="5">(H52+I52)-J52</f>
        <v>8355095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5189500</v>
      </c>
      <c r="I63" s="14">
        <f t="shared" si="6"/>
        <v>3165595</v>
      </c>
      <c r="J63" s="14">
        <f t="shared" si="6"/>
        <v>0</v>
      </c>
      <c r="K63" s="14">
        <f t="shared" si="6"/>
        <v>8355095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0</v>
      </c>
      <c r="I82" s="45">
        <f t="shared" si="9"/>
        <v>0</v>
      </c>
      <c r="J82" s="45">
        <f t="shared" si="9"/>
        <v>0</v>
      </c>
      <c r="K82" s="45">
        <f t="shared" si="9"/>
        <v>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0</v>
      </c>
      <c r="G99" s="19">
        <f t="shared" si="12"/>
        <v>0</v>
      </c>
      <c r="H99" s="19">
        <f t="shared" si="12"/>
        <v>0</v>
      </c>
      <c r="I99" s="19">
        <f t="shared" si="12"/>
        <v>0</v>
      </c>
      <c r="J99" s="19">
        <f t="shared" si="12"/>
        <v>0</v>
      </c>
      <c r="K99" s="19">
        <f t="shared" si="12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338565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77769000</v>
      </c>
    </row>
    <row r="120" spans="1:6" ht="18" customHeight="1">
      <c r="B120" s="2" t="s">
        <v>137</v>
      </c>
      <c r="F120" s="12">
        <v>751100</v>
      </c>
    </row>
    <row r="121" spans="1:6" ht="18" customHeight="1">
      <c r="A121" s="6"/>
      <c r="B121" s="5" t="s">
        <v>138</v>
      </c>
      <c r="F121" s="12">
        <f>F119+F120</f>
        <v>78520100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90274400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-11754300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63300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-11691000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1366.5</v>
      </c>
      <c r="G144" s="54">
        <f t="shared" si="18"/>
        <v>3218</v>
      </c>
      <c r="H144" s="54">
        <f t="shared" si="18"/>
        <v>46966</v>
      </c>
      <c r="I144" s="54">
        <f t="shared" si="18"/>
        <v>28649.260000000002</v>
      </c>
      <c r="J144" s="54">
        <f t="shared" si="18"/>
        <v>1216</v>
      </c>
      <c r="K144" s="54">
        <f t="shared" si="18"/>
        <v>74399.260000000009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950</v>
      </c>
      <c r="G145" s="54">
        <f t="shared" si="19"/>
        <v>300</v>
      </c>
      <c r="H145" s="54">
        <f t="shared" si="19"/>
        <v>26923</v>
      </c>
      <c r="I145" s="54">
        <f t="shared" si="19"/>
        <v>16423.03</v>
      </c>
      <c r="J145" s="54">
        <f t="shared" si="19"/>
        <v>0</v>
      </c>
      <c r="K145" s="54">
        <f t="shared" si="19"/>
        <v>43346.03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5189500</v>
      </c>
      <c r="I146" s="54">
        <f t="shared" si="20"/>
        <v>3165595</v>
      </c>
      <c r="J146" s="54">
        <f t="shared" si="20"/>
        <v>0</v>
      </c>
      <c r="K146" s="54">
        <f t="shared" si="20"/>
        <v>8355095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0</v>
      </c>
      <c r="I148" s="54">
        <f t="shared" si="22"/>
        <v>0</v>
      </c>
      <c r="J148" s="54">
        <f t="shared" si="22"/>
        <v>0</v>
      </c>
      <c r="K148" s="54">
        <f t="shared" si="22"/>
        <v>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0</v>
      </c>
      <c r="G149" s="54">
        <f t="shared" si="23"/>
        <v>0</v>
      </c>
      <c r="H149" s="54">
        <f t="shared" si="23"/>
        <v>0</v>
      </c>
      <c r="I149" s="54">
        <f t="shared" si="23"/>
        <v>0</v>
      </c>
      <c r="J149" s="54">
        <f t="shared" si="23"/>
        <v>0</v>
      </c>
      <c r="K149" s="54">
        <f t="shared" si="23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338565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2316.5</v>
      </c>
      <c r="G154" s="60">
        <f t="shared" si="26"/>
        <v>3518</v>
      </c>
      <c r="H154" s="60">
        <f t="shared" si="26"/>
        <v>5263389</v>
      </c>
      <c r="I154" s="60">
        <f t="shared" si="26"/>
        <v>3210667.29</v>
      </c>
      <c r="J154" s="60">
        <f t="shared" si="26"/>
        <v>1216</v>
      </c>
      <c r="K154" s="61">
        <f t="shared" si="26"/>
        <v>8811405.2899999991</v>
      </c>
    </row>
    <row r="156" spans="1:11" ht="18" customHeight="1">
      <c r="B156" s="5" t="s">
        <v>178</v>
      </c>
      <c r="F156" s="233">
        <f>K154/F123</f>
        <v>9.7606910597024171E-2</v>
      </c>
    </row>
    <row r="157" spans="1:11" ht="18" customHeight="1">
      <c r="B157" s="5" t="s">
        <v>179</v>
      </c>
      <c r="F157" s="233">
        <f>K154/F129</f>
        <v>-0.75369132580617559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P158"/>
  <sheetViews>
    <sheetView view="pageBreakPreview" topLeftCell="C128" zoomScale="90" zoomScaleNormal="100" zoomScaleSheetLayoutView="90" workbookViewId="0">
      <selection activeCell="B3" sqref="B3"/>
    </sheetView>
  </sheetViews>
  <sheetFormatPr defaultRowHeight="18" customHeight="1"/>
  <cols>
    <col min="1" max="1" width="4.7109375" style="68" customWidth="1"/>
    <col min="2" max="2" width="35.7109375" style="66" customWidth="1"/>
    <col min="3" max="3" width="9.85546875" style="66" customWidth="1"/>
    <col min="4" max="4" width="3.140625" style="66" customWidth="1"/>
    <col min="5" max="5" width="9" style="66" customWidth="1"/>
    <col min="6" max="6" width="14.85546875" style="70" customWidth="1"/>
    <col min="7" max="7" width="19" style="70" customWidth="1"/>
    <col min="8" max="8" width="16.140625" style="66" customWidth="1"/>
    <col min="9" max="9" width="17.42578125" style="66" customWidth="1"/>
    <col min="10" max="10" width="18.140625" style="66" customWidth="1"/>
    <col min="11" max="11" width="20.42578125" style="66" customWidth="1"/>
    <col min="12" max="12" width="9.140625" style="66"/>
    <col min="13" max="16" width="9.140625" style="82"/>
    <col min="17" max="16384" width="9.140625" style="66"/>
  </cols>
  <sheetData>
    <row r="1" spans="1:16" ht="15.75">
      <c r="C1" s="218" t="s">
        <v>0</v>
      </c>
      <c r="D1" s="218"/>
      <c r="E1" s="218"/>
      <c r="F1" s="66"/>
      <c r="G1" s="217"/>
      <c r="H1" s="217"/>
      <c r="I1" s="217"/>
      <c r="J1" s="217"/>
      <c r="M1" s="66"/>
      <c r="N1" s="66"/>
      <c r="O1" s="66"/>
      <c r="P1" s="66"/>
    </row>
    <row r="2" spans="1:16" ht="12.75">
      <c r="B2" s="69" t="s">
        <v>1</v>
      </c>
      <c r="F2" s="66"/>
      <c r="G2" s="66"/>
      <c r="M2" s="66"/>
      <c r="N2" s="66"/>
      <c r="O2" s="66"/>
      <c r="P2" s="66"/>
    </row>
    <row r="3" spans="1:16" ht="12.75">
      <c r="F3" s="66"/>
      <c r="G3" s="66"/>
      <c r="M3" s="66"/>
      <c r="N3" s="66"/>
      <c r="O3" s="66"/>
      <c r="P3" s="66"/>
    </row>
    <row r="4" spans="1:16" ht="12.75">
      <c r="F4" s="66"/>
      <c r="G4" s="66"/>
      <c r="M4" s="66"/>
      <c r="N4" s="66"/>
      <c r="O4" s="66"/>
      <c r="P4" s="66"/>
    </row>
    <row r="5" spans="1:16" ht="12.75">
      <c r="B5" s="74" t="s">
        <v>2</v>
      </c>
      <c r="C5" s="428" t="s">
        <v>423</v>
      </c>
      <c r="D5" s="427"/>
      <c r="E5" s="427"/>
      <c r="F5" s="429"/>
      <c r="G5" s="429"/>
      <c r="H5" s="429"/>
      <c r="I5" s="430"/>
      <c r="M5" s="66"/>
      <c r="N5" s="66"/>
      <c r="O5" s="66"/>
      <c r="P5" s="66"/>
    </row>
    <row r="6" spans="1:16" ht="12.75">
      <c r="B6" s="74" t="s">
        <v>4</v>
      </c>
      <c r="C6" s="431" t="s">
        <v>422</v>
      </c>
      <c r="D6" s="432"/>
      <c r="E6" s="432"/>
      <c r="F6" s="433"/>
      <c r="G6" s="433"/>
      <c r="H6" s="433"/>
      <c r="I6" s="434"/>
      <c r="M6" s="66"/>
      <c r="N6" s="66"/>
      <c r="O6" s="66"/>
      <c r="P6" s="66"/>
    </row>
    <row r="7" spans="1:16" ht="12.75">
      <c r="B7" s="74" t="s">
        <v>5</v>
      </c>
      <c r="C7" s="431" t="s">
        <v>421</v>
      </c>
      <c r="D7" s="432"/>
      <c r="E7" s="432"/>
      <c r="F7" s="433"/>
      <c r="G7" s="433"/>
      <c r="H7" s="433"/>
      <c r="I7" s="434"/>
      <c r="M7" s="66"/>
      <c r="N7" s="66"/>
      <c r="O7" s="66"/>
      <c r="P7" s="66"/>
    </row>
    <row r="8" spans="1:16" ht="18" customHeight="1">
      <c r="B8" s="242"/>
      <c r="F8" s="66"/>
      <c r="G8" s="66"/>
      <c r="M8" s="66"/>
      <c r="N8" s="66"/>
      <c r="O8" s="66"/>
      <c r="P8" s="66"/>
    </row>
    <row r="9" spans="1:16" ht="12.75">
      <c r="B9" s="74" t="s">
        <v>6</v>
      </c>
      <c r="C9" s="428" t="s">
        <v>420</v>
      </c>
      <c r="D9" s="427"/>
      <c r="E9" s="427"/>
      <c r="F9" s="429"/>
      <c r="G9" s="429"/>
      <c r="H9" s="429"/>
      <c r="I9" s="430"/>
      <c r="M9" s="66"/>
      <c r="N9" s="66"/>
      <c r="O9" s="66"/>
      <c r="P9" s="66"/>
    </row>
    <row r="10" spans="1:16" ht="12.75">
      <c r="B10" s="74" t="s">
        <v>8</v>
      </c>
      <c r="C10" s="422" t="s">
        <v>419</v>
      </c>
      <c r="D10" s="423"/>
      <c r="E10" s="423"/>
      <c r="F10" s="424"/>
      <c r="G10" s="424"/>
      <c r="H10" s="424"/>
      <c r="I10" s="425"/>
      <c r="M10" s="66"/>
      <c r="N10" s="66"/>
      <c r="O10" s="66"/>
      <c r="P10" s="66"/>
    </row>
    <row r="11" spans="1:16" ht="12.75">
      <c r="B11" s="74" t="s">
        <v>10</v>
      </c>
      <c r="C11" s="419" t="s">
        <v>418</v>
      </c>
      <c r="D11" s="426"/>
      <c r="E11" s="426"/>
      <c r="F11" s="427"/>
      <c r="G11" s="427"/>
      <c r="H11" s="427"/>
      <c r="I11" s="427"/>
      <c r="M11" s="66"/>
      <c r="N11" s="66"/>
      <c r="O11" s="66"/>
      <c r="P11" s="66"/>
    </row>
    <row r="12" spans="1:16" ht="12.75">
      <c r="B12" s="74"/>
      <c r="C12" s="236"/>
      <c r="D12" s="236"/>
      <c r="E12" s="236"/>
      <c r="F12" s="237"/>
      <c r="G12" s="237"/>
      <c r="H12" s="237"/>
      <c r="I12" s="237"/>
      <c r="M12" s="66"/>
      <c r="N12" s="66"/>
      <c r="O12" s="66"/>
      <c r="P12" s="66"/>
    </row>
    <row r="13" spans="1:16" ht="12.75">
      <c r="B13" s="74"/>
      <c r="C13" s="236"/>
      <c r="D13" s="236"/>
      <c r="E13" s="236"/>
      <c r="F13" s="237"/>
      <c r="G13" s="237"/>
      <c r="H13" s="237"/>
      <c r="I13" s="237"/>
      <c r="M13" s="66"/>
      <c r="N13" s="66"/>
      <c r="O13" s="66"/>
      <c r="P13" s="66"/>
    </row>
    <row r="14" spans="1:16" ht="18" customHeight="1">
      <c r="B14" s="74"/>
      <c r="C14" s="74"/>
      <c r="D14" s="74"/>
      <c r="E14" s="74"/>
      <c r="F14" s="75"/>
      <c r="G14" s="75"/>
      <c r="O14" s="66"/>
      <c r="P14" s="66"/>
    </row>
    <row r="15" spans="1:16" ht="18" customHeight="1">
      <c r="B15" s="74"/>
      <c r="C15" s="74"/>
      <c r="D15" s="74"/>
      <c r="E15" s="74"/>
      <c r="F15" s="75"/>
      <c r="G15" s="75"/>
      <c r="O15" s="66"/>
      <c r="P15" s="66"/>
    </row>
    <row r="16" spans="1:16" ht="23.25" customHeight="1">
      <c r="A16" s="71" t="s">
        <v>12</v>
      </c>
      <c r="B16" s="76"/>
      <c r="C16" s="74"/>
      <c r="D16" s="74"/>
      <c r="E16" s="74"/>
      <c r="F16" s="77" t="s">
        <v>13</v>
      </c>
      <c r="G16" s="77" t="s">
        <v>14</v>
      </c>
      <c r="H16" s="77" t="s">
        <v>15</v>
      </c>
      <c r="I16" s="77" t="s">
        <v>16</v>
      </c>
      <c r="J16" s="77" t="s">
        <v>17</v>
      </c>
      <c r="K16" s="77" t="s">
        <v>18</v>
      </c>
      <c r="O16" s="66"/>
      <c r="P16" s="66"/>
    </row>
    <row r="17" spans="1:16" ht="17.25" customHeight="1">
      <c r="A17" s="71" t="s">
        <v>19</v>
      </c>
      <c r="B17" s="69" t="s">
        <v>20</v>
      </c>
      <c r="C17" s="76"/>
      <c r="D17" s="76"/>
      <c r="E17" s="76"/>
      <c r="F17" s="77"/>
      <c r="G17" s="77"/>
      <c r="H17" s="77"/>
      <c r="I17" s="77"/>
      <c r="J17" s="77"/>
      <c r="K17" s="77"/>
      <c r="O17" s="66"/>
      <c r="P17" s="66"/>
    </row>
    <row r="18" spans="1:16" ht="18" customHeight="1">
      <c r="A18" s="74" t="s">
        <v>21</v>
      </c>
      <c r="B18" s="66" t="s">
        <v>22</v>
      </c>
      <c r="F18" s="78">
        <v>329</v>
      </c>
      <c r="G18" s="78">
        <v>5321</v>
      </c>
      <c r="H18" s="238">
        <v>10834</v>
      </c>
      <c r="I18" s="239">
        <f t="shared" ref="I18:I30" si="0">H18*F$116</f>
        <v>6177.5468000000001</v>
      </c>
      <c r="J18" s="238">
        <v>0</v>
      </c>
      <c r="K18" s="240">
        <f t="shared" ref="K18:K30" si="1">(H18+I18)-J18</f>
        <v>17011.5468</v>
      </c>
      <c r="O18" s="66"/>
      <c r="P18" s="66"/>
    </row>
    <row r="19" spans="1:16" ht="18" customHeight="1">
      <c r="A19" s="74"/>
      <c r="B19" s="66" t="s">
        <v>23</v>
      </c>
      <c r="F19" s="78"/>
      <c r="G19" s="78"/>
      <c r="H19" s="238"/>
      <c r="I19" s="239">
        <f t="shared" si="0"/>
        <v>0</v>
      </c>
      <c r="J19" s="238">
        <v>0</v>
      </c>
      <c r="K19" s="240">
        <f t="shared" si="1"/>
        <v>0</v>
      </c>
      <c r="O19" s="66"/>
      <c r="P19" s="66"/>
    </row>
    <row r="20" spans="1:16" ht="18" customHeight="1">
      <c r="A20" s="74"/>
      <c r="B20" s="66" t="s">
        <v>24</v>
      </c>
      <c r="F20" s="78"/>
      <c r="G20" s="78"/>
      <c r="H20" s="238"/>
      <c r="I20" s="239">
        <f t="shared" si="0"/>
        <v>0</v>
      </c>
      <c r="J20" s="238">
        <v>0</v>
      </c>
      <c r="K20" s="240">
        <f t="shared" si="1"/>
        <v>0</v>
      </c>
      <c r="O20" s="66"/>
      <c r="P20" s="66"/>
    </row>
    <row r="21" spans="1:16" ht="18" customHeight="1">
      <c r="A21" s="74" t="s">
        <v>25</v>
      </c>
      <c r="B21" s="66" t="s">
        <v>26</v>
      </c>
      <c r="F21" s="78">
        <v>2710</v>
      </c>
      <c r="G21" s="78">
        <v>12855</v>
      </c>
      <c r="H21" s="238">
        <v>100483</v>
      </c>
      <c r="I21" s="239">
        <f t="shared" si="0"/>
        <v>57295.406600000002</v>
      </c>
      <c r="J21" s="238">
        <v>0</v>
      </c>
      <c r="K21" s="240">
        <f t="shared" si="1"/>
        <v>157778.40659999999</v>
      </c>
      <c r="O21" s="66"/>
      <c r="P21" s="66"/>
    </row>
    <row r="22" spans="1:16" ht="18" customHeight="1">
      <c r="A22" s="74"/>
      <c r="B22" s="66" t="s">
        <v>27</v>
      </c>
      <c r="F22" s="78"/>
      <c r="G22" s="78"/>
      <c r="H22" s="238"/>
      <c r="I22" s="239">
        <f t="shared" si="0"/>
        <v>0</v>
      </c>
      <c r="J22" s="238">
        <v>0</v>
      </c>
      <c r="K22" s="240">
        <f t="shared" si="1"/>
        <v>0</v>
      </c>
      <c r="M22" s="66"/>
      <c r="N22" s="66"/>
      <c r="O22" s="66"/>
      <c r="P22" s="66"/>
    </row>
    <row r="23" spans="1:16" ht="18" customHeight="1">
      <c r="A23" s="74"/>
      <c r="B23" s="66" t="s">
        <v>28</v>
      </c>
      <c r="F23" s="78"/>
      <c r="G23" s="78"/>
      <c r="H23" s="238"/>
      <c r="I23" s="239">
        <f t="shared" si="0"/>
        <v>0</v>
      </c>
      <c r="J23" s="238">
        <v>0</v>
      </c>
      <c r="K23" s="240">
        <f t="shared" si="1"/>
        <v>0</v>
      </c>
      <c r="M23" s="66"/>
      <c r="N23" s="66"/>
      <c r="O23" s="66"/>
      <c r="P23" s="66"/>
    </row>
    <row r="24" spans="1:16" ht="18.75" customHeight="1">
      <c r="A24" s="74"/>
      <c r="B24" s="66" t="s">
        <v>29</v>
      </c>
      <c r="F24" s="78"/>
      <c r="G24" s="78"/>
      <c r="H24" s="238"/>
      <c r="I24" s="239">
        <f t="shared" si="0"/>
        <v>0</v>
      </c>
      <c r="J24" s="238">
        <v>0</v>
      </c>
      <c r="K24" s="240">
        <f t="shared" si="1"/>
        <v>0</v>
      </c>
      <c r="M24" s="66"/>
      <c r="N24" s="66"/>
      <c r="O24" s="66"/>
      <c r="P24" s="66"/>
    </row>
    <row r="25" spans="1:16" ht="18.75" customHeight="1">
      <c r="A25" s="74"/>
      <c r="B25" s="66" t="s">
        <v>30</v>
      </c>
      <c r="F25" s="78"/>
      <c r="G25" s="78"/>
      <c r="H25" s="238"/>
      <c r="I25" s="239">
        <f t="shared" si="0"/>
        <v>0</v>
      </c>
      <c r="J25" s="238">
        <v>0</v>
      </c>
      <c r="K25" s="240">
        <f t="shared" si="1"/>
        <v>0</v>
      </c>
      <c r="M25" s="66"/>
      <c r="N25" s="66"/>
      <c r="O25" s="66"/>
      <c r="P25" s="66"/>
    </row>
    <row r="26" spans="1:16" ht="18" customHeight="1">
      <c r="A26" s="74" t="s">
        <v>31</v>
      </c>
      <c r="B26" s="66" t="s">
        <v>32</v>
      </c>
      <c r="F26" s="78">
        <v>18440</v>
      </c>
      <c r="G26" s="78">
        <v>11906</v>
      </c>
      <c r="H26" s="238">
        <v>412988</v>
      </c>
      <c r="I26" s="239">
        <f t="shared" si="0"/>
        <v>235485.75760000001</v>
      </c>
      <c r="J26" s="238">
        <v>0</v>
      </c>
      <c r="K26" s="240">
        <f t="shared" si="1"/>
        <v>648473.75760000001</v>
      </c>
      <c r="M26" s="66"/>
      <c r="N26" s="66"/>
      <c r="O26" s="66"/>
      <c r="P26" s="66"/>
    </row>
    <row r="27" spans="1:16" ht="18" customHeight="1">
      <c r="A27" s="74" t="s">
        <v>33</v>
      </c>
      <c r="B27" s="66" t="s">
        <v>34</v>
      </c>
      <c r="F27" s="78"/>
      <c r="G27" s="78"/>
      <c r="H27" s="238"/>
      <c r="I27" s="239">
        <f t="shared" si="0"/>
        <v>0</v>
      </c>
      <c r="J27" s="238">
        <v>0</v>
      </c>
      <c r="K27" s="240">
        <f t="shared" si="1"/>
        <v>0</v>
      </c>
      <c r="M27" s="66"/>
      <c r="N27" s="66"/>
      <c r="O27" s="66"/>
      <c r="P27" s="66"/>
    </row>
    <row r="28" spans="1:16" ht="18" customHeight="1">
      <c r="A28" s="74" t="s">
        <v>35</v>
      </c>
      <c r="B28" s="83" t="s">
        <v>417</v>
      </c>
      <c r="F28" s="78">
        <v>100</v>
      </c>
      <c r="G28" s="78"/>
      <c r="H28" s="238">
        <v>2696</v>
      </c>
      <c r="I28" s="239">
        <f t="shared" si="0"/>
        <v>1537.2592000000002</v>
      </c>
      <c r="J28" s="238">
        <v>0</v>
      </c>
      <c r="K28" s="240">
        <f t="shared" si="1"/>
        <v>4233.2592000000004</v>
      </c>
      <c r="M28" s="66"/>
      <c r="N28" s="66"/>
      <c r="O28" s="66"/>
      <c r="P28" s="66"/>
    </row>
    <row r="29" spans="1:16" ht="18" customHeight="1">
      <c r="A29" s="74" t="s">
        <v>37</v>
      </c>
      <c r="B29" s="83" t="s">
        <v>416</v>
      </c>
      <c r="F29" s="78">
        <v>2080</v>
      </c>
      <c r="G29" s="78"/>
      <c r="H29" s="238">
        <v>76128</v>
      </c>
      <c r="I29" s="239">
        <f t="shared" si="0"/>
        <v>43408.185600000004</v>
      </c>
      <c r="J29" s="238">
        <v>0</v>
      </c>
      <c r="K29" s="240">
        <f t="shared" si="1"/>
        <v>119536.1856</v>
      </c>
      <c r="M29" s="66"/>
      <c r="N29" s="66"/>
      <c r="O29" s="66"/>
      <c r="P29" s="66"/>
    </row>
    <row r="30" spans="1:16" ht="18" customHeight="1">
      <c r="A30" s="74" t="s">
        <v>38</v>
      </c>
      <c r="B30" s="83" t="s">
        <v>415</v>
      </c>
      <c r="F30" s="78">
        <v>2571</v>
      </c>
      <c r="G30" s="78">
        <v>2676</v>
      </c>
      <c r="H30" s="238">
        <v>14289</v>
      </c>
      <c r="I30" s="239">
        <f t="shared" si="0"/>
        <v>8147.5878000000002</v>
      </c>
      <c r="J30" s="238">
        <v>0</v>
      </c>
      <c r="K30" s="240">
        <f t="shared" si="1"/>
        <v>22436.587800000001</v>
      </c>
      <c r="M30" s="66"/>
      <c r="N30" s="66"/>
      <c r="O30" s="66"/>
      <c r="P30" s="66"/>
    </row>
    <row r="31" spans="1:16" ht="18" customHeight="1">
      <c r="A31" s="74" t="s">
        <v>39</v>
      </c>
      <c r="B31" s="83"/>
      <c r="F31" s="78"/>
      <c r="G31" s="78"/>
      <c r="H31" s="238"/>
      <c r="I31" s="239"/>
      <c r="J31" s="238"/>
      <c r="K31" s="240"/>
      <c r="M31" s="66"/>
      <c r="N31" s="66"/>
      <c r="O31" s="66"/>
      <c r="P31" s="66"/>
    </row>
    <row r="32" spans="1:16" ht="18" customHeight="1">
      <c r="A32" s="74" t="s">
        <v>40</v>
      </c>
      <c r="B32" s="83"/>
      <c r="F32" s="78"/>
      <c r="G32" s="78"/>
      <c r="H32" s="238"/>
      <c r="I32" s="239"/>
      <c r="J32" s="238"/>
      <c r="K32" s="240"/>
      <c r="M32" s="66"/>
      <c r="N32" s="66"/>
      <c r="O32" s="66"/>
      <c r="P32" s="66"/>
    </row>
    <row r="33" spans="1:16" ht="18" customHeight="1">
      <c r="H33" s="84"/>
      <c r="I33" s="84"/>
      <c r="J33" s="84"/>
      <c r="K33" s="85"/>
      <c r="M33" s="66"/>
      <c r="N33" s="66"/>
      <c r="O33" s="66"/>
      <c r="P33" s="66"/>
    </row>
    <row r="34" spans="1:16" ht="18" customHeight="1">
      <c r="C34" s="69" t="s">
        <v>41</v>
      </c>
      <c r="D34" s="69"/>
      <c r="E34" s="69"/>
      <c r="F34" s="86">
        <f t="shared" ref="F34:K34" si="2">SUM(F18:F30)</f>
        <v>26230</v>
      </c>
      <c r="G34" s="86">
        <f t="shared" si="2"/>
        <v>32758</v>
      </c>
      <c r="H34" s="240">
        <f t="shared" si="2"/>
        <v>617418</v>
      </c>
      <c r="I34" s="240">
        <f t="shared" si="2"/>
        <v>352051.74359999999</v>
      </c>
      <c r="J34" s="240">
        <f t="shared" si="2"/>
        <v>0</v>
      </c>
      <c r="K34" s="240">
        <f t="shared" si="2"/>
        <v>969469.74359999993</v>
      </c>
      <c r="M34" s="66"/>
      <c r="N34" s="66"/>
      <c r="O34" s="66"/>
      <c r="P34" s="66"/>
    </row>
    <row r="35" spans="1:16" ht="18" customHeight="1" thickBot="1">
      <c r="A35" s="87"/>
      <c r="B35" s="88"/>
      <c r="C35" s="89"/>
      <c r="D35" s="89"/>
      <c r="E35" s="89"/>
      <c r="F35" s="90"/>
      <c r="G35" s="90"/>
      <c r="H35" s="91"/>
      <c r="I35" s="91"/>
      <c r="J35" s="91"/>
      <c r="K35" s="243"/>
      <c r="L35" s="244"/>
      <c r="M35" s="66"/>
      <c r="N35" s="66"/>
      <c r="O35" s="66"/>
      <c r="P35" s="66"/>
    </row>
    <row r="36" spans="1:16" ht="21.75">
      <c r="F36" s="77" t="s">
        <v>13</v>
      </c>
      <c r="G36" s="77" t="s">
        <v>14</v>
      </c>
      <c r="H36" s="77" t="s">
        <v>15</v>
      </c>
      <c r="I36" s="77" t="s">
        <v>16</v>
      </c>
      <c r="J36" s="77" t="s">
        <v>17</v>
      </c>
      <c r="K36" s="77" t="s">
        <v>18</v>
      </c>
      <c r="M36" s="66"/>
      <c r="N36" s="66"/>
      <c r="O36" s="66"/>
      <c r="P36" s="66"/>
    </row>
    <row r="37" spans="1:16" ht="18" customHeight="1">
      <c r="A37" s="71" t="s">
        <v>42</v>
      </c>
      <c r="B37" s="69" t="s">
        <v>43</v>
      </c>
      <c r="M37" s="66"/>
      <c r="N37" s="66"/>
      <c r="O37" s="66"/>
      <c r="P37" s="66"/>
    </row>
    <row r="38" spans="1:16" ht="18" customHeight="1">
      <c r="A38" s="74" t="s">
        <v>44</v>
      </c>
      <c r="B38" s="66" t="s">
        <v>45</v>
      </c>
      <c r="F38" s="78">
        <v>17312</v>
      </c>
      <c r="G38" s="78"/>
      <c r="H38" s="238">
        <v>3885779</v>
      </c>
      <c r="I38" s="239">
        <f t="shared" ref="I38:I46" si="3">H38*F$116</f>
        <v>2215671.1858000001</v>
      </c>
      <c r="J38" s="238">
        <v>0</v>
      </c>
      <c r="K38" s="240">
        <f t="shared" ref="K38:K46" si="4">(H38+I38)-J38</f>
        <v>6101450.1858000001</v>
      </c>
      <c r="M38" s="66"/>
      <c r="N38" s="66"/>
      <c r="O38" s="66"/>
      <c r="P38" s="66"/>
    </row>
    <row r="39" spans="1:16" ht="18.75" customHeight="1">
      <c r="A39" s="74" t="s">
        <v>46</v>
      </c>
      <c r="B39" s="93" t="s">
        <v>47</v>
      </c>
      <c r="F39" s="78"/>
      <c r="G39" s="78"/>
      <c r="H39" s="238"/>
      <c r="I39" s="239">
        <f t="shared" si="3"/>
        <v>0</v>
      </c>
      <c r="J39" s="238">
        <v>0</v>
      </c>
      <c r="K39" s="240">
        <f t="shared" si="4"/>
        <v>0</v>
      </c>
      <c r="M39" s="66"/>
      <c r="N39" s="66"/>
      <c r="O39" s="66"/>
      <c r="P39" s="66"/>
    </row>
    <row r="40" spans="1:16" ht="18" customHeight="1">
      <c r="A40" s="74" t="s">
        <v>48</v>
      </c>
      <c r="B40" s="66" t="s">
        <v>49</v>
      </c>
      <c r="F40" s="78"/>
      <c r="G40" s="78"/>
      <c r="H40" s="238"/>
      <c r="I40" s="239">
        <f t="shared" si="3"/>
        <v>0</v>
      </c>
      <c r="J40" s="238">
        <v>0</v>
      </c>
      <c r="K40" s="240">
        <f t="shared" si="4"/>
        <v>0</v>
      </c>
      <c r="M40" s="66"/>
      <c r="N40" s="66"/>
      <c r="O40" s="66"/>
      <c r="P40" s="66"/>
    </row>
    <row r="41" spans="1:16" ht="18" customHeight="1">
      <c r="A41" s="74" t="s">
        <v>50</v>
      </c>
      <c r="B41" s="82" t="s">
        <v>51</v>
      </c>
      <c r="F41" s="78">
        <v>1920</v>
      </c>
      <c r="G41" s="78"/>
      <c r="H41" s="238">
        <v>42163</v>
      </c>
      <c r="I41" s="239">
        <f t="shared" si="3"/>
        <v>24041.3426</v>
      </c>
      <c r="J41" s="238">
        <v>0</v>
      </c>
      <c r="K41" s="240">
        <f t="shared" si="4"/>
        <v>66204.342600000004</v>
      </c>
      <c r="M41" s="66"/>
      <c r="N41" s="66"/>
      <c r="O41" s="66"/>
      <c r="P41" s="66"/>
    </row>
    <row r="42" spans="1:16" ht="18" customHeight="1">
      <c r="A42" s="74" t="s">
        <v>52</v>
      </c>
      <c r="B42" s="66" t="s">
        <v>53</v>
      </c>
      <c r="F42" s="78">
        <v>3015</v>
      </c>
      <c r="G42" s="78">
        <v>522</v>
      </c>
      <c r="H42" s="238">
        <v>110349</v>
      </c>
      <c r="I42" s="239">
        <f t="shared" si="3"/>
        <v>62920.999800000005</v>
      </c>
      <c r="J42" s="238">
        <v>600</v>
      </c>
      <c r="K42" s="240">
        <f t="shared" si="4"/>
        <v>172669.99979999999</v>
      </c>
      <c r="M42" s="66"/>
      <c r="N42" s="66"/>
      <c r="O42" s="66"/>
      <c r="P42" s="66"/>
    </row>
    <row r="43" spans="1:16" ht="18" customHeight="1">
      <c r="A43" s="74" t="s">
        <v>54</v>
      </c>
      <c r="B43" s="66" t="s">
        <v>34</v>
      </c>
      <c r="F43" s="78"/>
      <c r="G43" s="78"/>
      <c r="H43" s="238"/>
      <c r="I43" s="239">
        <f t="shared" si="3"/>
        <v>0</v>
      </c>
      <c r="J43" s="238">
        <v>0</v>
      </c>
      <c r="K43" s="240">
        <f t="shared" si="4"/>
        <v>0</v>
      </c>
      <c r="M43" s="66"/>
      <c r="N43" s="66"/>
      <c r="O43" s="66"/>
      <c r="P43" s="66"/>
    </row>
    <row r="44" spans="1:16" ht="18" customHeight="1">
      <c r="A44" s="74" t="s">
        <v>55</v>
      </c>
      <c r="B44" s="83" t="s">
        <v>239</v>
      </c>
      <c r="F44" s="78">
        <v>2080</v>
      </c>
      <c r="G44" s="78">
        <v>500</v>
      </c>
      <c r="H44" s="238">
        <v>69937</v>
      </c>
      <c r="I44" s="239">
        <f t="shared" si="3"/>
        <v>39878.077400000002</v>
      </c>
      <c r="J44" s="238">
        <v>0</v>
      </c>
      <c r="K44" s="240">
        <f t="shared" si="4"/>
        <v>109815.07740000001</v>
      </c>
      <c r="M44" s="66"/>
      <c r="N44" s="66"/>
      <c r="O44" s="66"/>
      <c r="P44" s="66"/>
    </row>
    <row r="45" spans="1:16" ht="18" customHeight="1">
      <c r="A45" s="74" t="s">
        <v>57</v>
      </c>
      <c r="B45" s="94"/>
      <c r="F45" s="78"/>
      <c r="G45" s="78"/>
      <c r="H45" s="238"/>
      <c r="I45" s="239">
        <f t="shared" si="3"/>
        <v>0</v>
      </c>
      <c r="J45" s="238">
        <v>0</v>
      </c>
      <c r="K45" s="240">
        <f t="shared" si="4"/>
        <v>0</v>
      </c>
      <c r="M45" s="66"/>
      <c r="N45" s="66"/>
      <c r="O45" s="66"/>
      <c r="P45" s="66"/>
    </row>
    <row r="46" spans="1:16" ht="17.25" customHeight="1">
      <c r="A46" s="74" t="s">
        <v>58</v>
      </c>
      <c r="B46" s="94"/>
      <c r="F46" s="78"/>
      <c r="G46" s="78"/>
      <c r="H46" s="238"/>
      <c r="I46" s="239">
        <f t="shared" si="3"/>
        <v>0</v>
      </c>
      <c r="J46" s="238">
        <v>0</v>
      </c>
      <c r="K46" s="240">
        <f t="shared" si="4"/>
        <v>0</v>
      </c>
      <c r="M46" s="66"/>
      <c r="N46" s="66"/>
      <c r="O46" s="66"/>
      <c r="P46" s="66"/>
    </row>
    <row r="47" spans="1:16" ht="18" customHeight="1">
      <c r="F47" s="95"/>
      <c r="G47" s="95"/>
      <c r="H47" s="84"/>
      <c r="I47" s="84"/>
      <c r="J47" s="84"/>
      <c r="K47" s="84"/>
      <c r="M47" s="66"/>
      <c r="N47" s="66"/>
      <c r="O47" s="66"/>
      <c r="P47" s="66"/>
    </row>
    <row r="48" spans="1:16" ht="18" customHeight="1">
      <c r="C48" s="69" t="s">
        <v>41</v>
      </c>
      <c r="D48" s="69"/>
      <c r="E48" s="69"/>
      <c r="F48" s="78">
        <f t="shared" ref="F48:K48" si="5">SUM(F38:F46)</f>
        <v>24327</v>
      </c>
      <c r="G48" s="78">
        <f t="shared" si="5"/>
        <v>1022</v>
      </c>
      <c r="H48" s="238">
        <f t="shared" si="5"/>
        <v>4108228</v>
      </c>
      <c r="I48" s="239">
        <f t="shared" si="5"/>
        <v>2342511.6055999999</v>
      </c>
      <c r="J48" s="238">
        <f t="shared" si="5"/>
        <v>600</v>
      </c>
      <c r="K48" s="240">
        <f t="shared" si="5"/>
        <v>6450139.6056000004</v>
      </c>
      <c r="M48" s="66"/>
      <c r="N48" s="66"/>
      <c r="O48" s="66"/>
      <c r="P48" s="66"/>
    </row>
    <row r="49" spans="1:16" ht="18" customHeight="1" thickBot="1">
      <c r="A49" s="87"/>
      <c r="B49" s="89"/>
      <c r="C49" s="89"/>
      <c r="D49" s="89"/>
      <c r="E49" s="89"/>
      <c r="F49" s="96"/>
      <c r="G49" s="97"/>
      <c r="H49" s="98"/>
      <c r="I49" s="98"/>
      <c r="J49" s="98"/>
      <c r="K49" s="98"/>
      <c r="M49" s="66"/>
      <c r="N49" s="66"/>
      <c r="O49" s="66"/>
      <c r="P49" s="66"/>
    </row>
    <row r="50" spans="1:16" ht="39.75" customHeight="1">
      <c r="F50" s="77" t="s">
        <v>13</v>
      </c>
      <c r="G50" s="77" t="s">
        <v>14</v>
      </c>
      <c r="H50" s="77" t="s">
        <v>15</v>
      </c>
      <c r="I50" s="77" t="s">
        <v>16</v>
      </c>
      <c r="J50" s="77" t="s">
        <v>17</v>
      </c>
      <c r="K50" s="77" t="s">
        <v>18</v>
      </c>
      <c r="M50" s="66"/>
      <c r="N50" s="66"/>
      <c r="O50" s="66"/>
      <c r="P50" s="66"/>
    </row>
    <row r="51" spans="1:16" ht="26.25" customHeight="1">
      <c r="A51" s="71" t="s">
        <v>59</v>
      </c>
      <c r="B51" s="99" t="s">
        <v>60</v>
      </c>
      <c r="F51" s="77"/>
      <c r="G51" s="77"/>
      <c r="H51" s="77"/>
      <c r="I51" s="77"/>
      <c r="J51" s="77"/>
      <c r="K51" s="77"/>
      <c r="M51" s="66"/>
      <c r="N51" s="66"/>
      <c r="O51" s="66"/>
      <c r="P51" s="66"/>
    </row>
    <row r="52" spans="1:16" ht="18" customHeight="1">
      <c r="A52" s="74" t="s">
        <v>61</v>
      </c>
      <c r="B52" s="83" t="s">
        <v>414</v>
      </c>
      <c r="F52" s="78">
        <v>9758</v>
      </c>
      <c r="G52" s="78">
        <v>18272</v>
      </c>
      <c r="H52" s="238">
        <v>220376</v>
      </c>
      <c r="I52" s="239">
        <f>H52*F$116</f>
        <v>125658.39520000001</v>
      </c>
      <c r="J52" s="238">
        <v>0</v>
      </c>
      <c r="K52" s="240">
        <f>(H52+I52)-J52</f>
        <v>346034.39520000003</v>
      </c>
      <c r="M52" s="66"/>
      <c r="N52" s="66"/>
      <c r="O52" s="66"/>
      <c r="P52" s="66"/>
    </row>
    <row r="53" spans="1:16" ht="18" customHeight="1">
      <c r="A53" s="74" t="s">
        <v>63</v>
      </c>
      <c r="B53" s="83"/>
      <c r="F53" s="78"/>
      <c r="G53" s="78"/>
      <c r="H53" s="238"/>
      <c r="I53" s="239"/>
      <c r="J53" s="238"/>
      <c r="K53" s="240"/>
      <c r="M53" s="66"/>
      <c r="N53" s="66"/>
      <c r="O53" s="66"/>
      <c r="P53" s="66"/>
    </row>
    <row r="54" spans="1:16" ht="18" customHeight="1">
      <c r="A54" s="74" t="s">
        <v>65</v>
      </c>
      <c r="B54" s="83"/>
      <c r="F54" s="78"/>
      <c r="G54" s="78"/>
      <c r="H54" s="238"/>
      <c r="I54" s="239"/>
      <c r="J54" s="238"/>
      <c r="K54" s="240"/>
      <c r="M54" s="66"/>
      <c r="N54" s="66"/>
      <c r="O54" s="66"/>
      <c r="P54" s="66"/>
    </row>
    <row r="55" spans="1:16" ht="18" customHeight="1">
      <c r="A55" s="74" t="s">
        <v>67</v>
      </c>
      <c r="B55" s="83"/>
      <c r="F55" s="78"/>
      <c r="G55" s="78"/>
      <c r="H55" s="238"/>
      <c r="I55" s="239"/>
      <c r="J55" s="238"/>
      <c r="K55" s="240"/>
      <c r="M55" s="66"/>
      <c r="N55" s="66"/>
      <c r="O55" s="66"/>
      <c r="P55" s="66"/>
    </row>
    <row r="56" spans="1:16" ht="18" customHeight="1">
      <c r="A56" s="74" t="s">
        <v>69</v>
      </c>
      <c r="B56" s="83"/>
      <c r="F56" s="78"/>
      <c r="G56" s="78"/>
      <c r="H56" s="238"/>
      <c r="I56" s="239"/>
      <c r="J56" s="238"/>
      <c r="K56" s="240"/>
      <c r="M56" s="66"/>
      <c r="N56" s="66"/>
      <c r="O56" s="66"/>
      <c r="P56" s="66"/>
    </row>
    <row r="57" spans="1:16" ht="18" customHeight="1">
      <c r="A57" s="74" t="s">
        <v>71</v>
      </c>
      <c r="B57" s="83"/>
      <c r="F57" s="78"/>
      <c r="G57" s="78"/>
      <c r="H57" s="238"/>
      <c r="I57" s="239">
        <f>H57*F$116</f>
        <v>0</v>
      </c>
      <c r="J57" s="238">
        <v>0</v>
      </c>
      <c r="K57" s="240">
        <f>(H57+I57)-J57</f>
        <v>0</v>
      </c>
      <c r="M57" s="66"/>
      <c r="N57" s="66"/>
      <c r="O57" s="66"/>
      <c r="P57" s="66"/>
    </row>
    <row r="58" spans="1:16" ht="18" customHeight="1">
      <c r="A58" s="74" t="s">
        <v>73</v>
      </c>
      <c r="B58" s="83"/>
      <c r="F58" s="78"/>
      <c r="G58" s="78"/>
      <c r="H58" s="238"/>
      <c r="I58" s="239"/>
      <c r="J58" s="238"/>
      <c r="K58" s="240"/>
      <c r="M58" s="66"/>
      <c r="N58" s="66"/>
      <c r="O58" s="66"/>
      <c r="P58" s="66"/>
    </row>
    <row r="59" spans="1:16" ht="18" customHeight="1">
      <c r="A59" s="74" t="s">
        <v>75</v>
      </c>
      <c r="B59" s="83"/>
      <c r="F59" s="78"/>
      <c r="G59" s="78"/>
      <c r="H59" s="238"/>
      <c r="I59" s="239"/>
      <c r="J59" s="238"/>
      <c r="K59" s="240"/>
      <c r="M59" s="66"/>
      <c r="N59" s="66"/>
      <c r="O59" s="66"/>
      <c r="P59" s="66"/>
    </row>
    <row r="60" spans="1:16" ht="18" customHeight="1">
      <c r="A60" s="74" t="s">
        <v>76</v>
      </c>
      <c r="B60" s="83"/>
      <c r="F60" s="78"/>
      <c r="G60" s="78"/>
      <c r="H60" s="238"/>
      <c r="I60" s="239"/>
      <c r="J60" s="238"/>
      <c r="K60" s="240"/>
      <c r="M60" s="66"/>
      <c r="N60" s="66"/>
      <c r="O60" s="66"/>
      <c r="P60" s="66"/>
    </row>
    <row r="61" spans="1:16" ht="18" customHeight="1">
      <c r="A61" s="74" t="s">
        <v>77</v>
      </c>
      <c r="B61" s="83"/>
      <c r="F61" s="78"/>
      <c r="G61" s="78"/>
      <c r="H61" s="238"/>
      <c r="I61" s="239">
        <f>H61*F$116</f>
        <v>0</v>
      </c>
      <c r="J61" s="238">
        <v>0</v>
      </c>
      <c r="K61" s="240">
        <f>(H61+I61)-J61</f>
        <v>0</v>
      </c>
      <c r="M61" s="66"/>
      <c r="N61" s="66"/>
      <c r="O61" s="66"/>
      <c r="P61" s="66"/>
    </row>
    <row r="62" spans="1:16" ht="18" customHeight="1">
      <c r="A62" s="74"/>
      <c r="B62" s="72"/>
      <c r="F62" s="245"/>
      <c r="G62" s="245"/>
      <c r="H62" s="246"/>
      <c r="I62" s="247"/>
      <c r="J62" s="246"/>
      <c r="K62" s="241"/>
      <c r="M62" s="66"/>
      <c r="N62" s="66"/>
      <c r="O62" s="66"/>
      <c r="P62" s="66"/>
    </row>
    <row r="63" spans="1:16" ht="42.75" customHeight="1">
      <c r="A63" s="74"/>
      <c r="C63" s="66" t="s">
        <v>664</v>
      </c>
      <c r="F63" s="78">
        <f t="shared" ref="F63:K63" si="6">SUM(F52:F57)</f>
        <v>9758</v>
      </c>
      <c r="G63" s="78">
        <f t="shared" si="6"/>
        <v>18272</v>
      </c>
      <c r="H63" s="238">
        <f t="shared" si="6"/>
        <v>220376</v>
      </c>
      <c r="I63" s="239">
        <f t="shared" si="6"/>
        <v>125658.39520000001</v>
      </c>
      <c r="J63" s="238">
        <f t="shared" si="6"/>
        <v>0</v>
      </c>
      <c r="K63" s="240">
        <f t="shared" si="6"/>
        <v>346034.39520000003</v>
      </c>
      <c r="M63" s="66"/>
      <c r="N63" s="66"/>
      <c r="O63" s="66"/>
      <c r="P63" s="66"/>
    </row>
    <row r="64" spans="1:16" ht="19.5" customHeight="1" thickBot="1">
      <c r="A64" s="74"/>
      <c r="C64" s="74"/>
      <c r="E64" s="74"/>
      <c r="F64" s="97"/>
      <c r="G64" s="97"/>
      <c r="H64" s="98"/>
      <c r="I64" s="98"/>
      <c r="J64" s="98"/>
      <c r="K64" s="98"/>
      <c r="M64" s="66"/>
      <c r="N64" s="66"/>
      <c r="O64" s="66"/>
      <c r="P64" s="66"/>
    </row>
    <row r="65" spans="1:16" ht="31.5" customHeight="1">
      <c r="F65" s="77" t="s">
        <v>13</v>
      </c>
      <c r="G65" s="77" t="s">
        <v>14</v>
      </c>
      <c r="H65" s="77" t="s">
        <v>15</v>
      </c>
      <c r="I65" s="77" t="s">
        <v>16</v>
      </c>
      <c r="J65" s="77" t="s">
        <v>17</v>
      </c>
      <c r="K65" s="77" t="s">
        <v>18</v>
      </c>
      <c r="M65" s="66"/>
      <c r="N65" s="66"/>
      <c r="O65" s="66"/>
      <c r="P65" s="66"/>
    </row>
    <row r="66" spans="1:16" ht="18" customHeight="1">
      <c r="A66" s="71" t="s">
        <v>78</v>
      </c>
      <c r="B66" s="69" t="s">
        <v>79</v>
      </c>
      <c r="F66" s="101"/>
      <c r="G66" s="101"/>
      <c r="H66" s="82"/>
      <c r="I66" s="82"/>
      <c r="J66" s="82"/>
      <c r="K66" s="82"/>
      <c r="M66" s="66"/>
      <c r="N66" s="66"/>
      <c r="O66" s="66"/>
      <c r="P66" s="66"/>
    </row>
    <row r="67" spans="1:16" ht="18" customHeight="1">
      <c r="A67" s="74" t="s">
        <v>80</v>
      </c>
      <c r="B67" s="66" t="s">
        <v>81</v>
      </c>
      <c r="F67" s="78"/>
      <c r="G67" s="78"/>
      <c r="H67" s="79"/>
      <c r="I67" s="79">
        <f t="shared" ref="I67:I72" si="7">H67*F$116</f>
        <v>0</v>
      </c>
      <c r="J67" s="79">
        <v>0</v>
      </c>
      <c r="K67" s="81">
        <f t="shared" ref="K67:K72" si="8">(H67+I67)-J67</f>
        <v>0</v>
      </c>
      <c r="M67" s="66"/>
      <c r="N67" s="66"/>
      <c r="O67" s="66"/>
      <c r="P67" s="66"/>
    </row>
    <row r="68" spans="1:16" ht="18" customHeight="1">
      <c r="A68" s="74" t="s">
        <v>82</v>
      </c>
      <c r="B68" s="66" t="s">
        <v>83</v>
      </c>
      <c r="F68" s="78"/>
      <c r="G68" s="78"/>
      <c r="H68" s="79"/>
      <c r="I68" s="80">
        <f t="shared" si="7"/>
        <v>0</v>
      </c>
      <c r="J68" s="79">
        <v>0</v>
      </c>
      <c r="K68" s="81">
        <f t="shared" si="8"/>
        <v>0</v>
      </c>
      <c r="M68" s="66"/>
      <c r="N68" s="66"/>
      <c r="O68" s="66"/>
      <c r="P68" s="66"/>
    </row>
    <row r="69" spans="1:16" ht="17.25" customHeight="1">
      <c r="A69" s="74" t="s">
        <v>84</v>
      </c>
      <c r="B69" s="66" t="s">
        <v>85</v>
      </c>
      <c r="F69" s="78"/>
      <c r="G69" s="78"/>
      <c r="H69" s="79"/>
      <c r="I69" s="80">
        <f t="shared" si="7"/>
        <v>0</v>
      </c>
      <c r="J69" s="79">
        <v>0</v>
      </c>
      <c r="K69" s="81">
        <f t="shared" si="8"/>
        <v>0</v>
      </c>
      <c r="M69" s="66"/>
      <c r="N69" s="66"/>
      <c r="O69" s="66"/>
      <c r="P69" s="66"/>
    </row>
    <row r="70" spans="1:16" ht="18" customHeight="1">
      <c r="A70" s="74" t="s">
        <v>86</v>
      </c>
      <c r="B70" s="83"/>
      <c r="C70" s="69"/>
      <c r="D70" s="69"/>
      <c r="E70" s="69"/>
      <c r="F70" s="78"/>
      <c r="G70" s="78"/>
      <c r="H70" s="79"/>
      <c r="I70" s="80">
        <f t="shared" si="7"/>
        <v>0</v>
      </c>
      <c r="J70" s="102">
        <v>0</v>
      </c>
      <c r="K70" s="81">
        <f t="shared" si="8"/>
        <v>0</v>
      </c>
      <c r="M70" s="66"/>
      <c r="N70" s="66"/>
      <c r="O70" s="66"/>
      <c r="P70" s="66"/>
    </row>
    <row r="71" spans="1:16" ht="18" customHeight="1">
      <c r="A71" s="74" t="s">
        <v>87</v>
      </c>
      <c r="B71" s="83"/>
      <c r="C71" s="69"/>
      <c r="D71" s="69"/>
      <c r="E71" s="69"/>
      <c r="F71" s="78"/>
      <c r="G71" s="78"/>
      <c r="H71" s="79"/>
      <c r="I71" s="80">
        <f t="shared" si="7"/>
        <v>0</v>
      </c>
      <c r="J71" s="102">
        <v>0</v>
      </c>
      <c r="K71" s="81">
        <f t="shared" si="8"/>
        <v>0</v>
      </c>
      <c r="M71" s="66"/>
      <c r="N71" s="66"/>
      <c r="O71" s="66"/>
      <c r="P71" s="66"/>
    </row>
    <row r="72" spans="1:16" ht="18.75" customHeight="1">
      <c r="A72" s="74" t="s">
        <v>88</v>
      </c>
      <c r="B72" s="83"/>
      <c r="C72" s="69"/>
      <c r="D72" s="69"/>
      <c r="E72" s="69"/>
      <c r="F72" s="78"/>
      <c r="G72" s="78"/>
      <c r="H72" s="79"/>
      <c r="I72" s="80">
        <f t="shared" si="7"/>
        <v>0</v>
      </c>
      <c r="J72" s="79">
        <v>0</v>
      </c>
      <c r="K72" s="81">
        <f t="shared" si="8"/>
        <v>0</v>
      </c>
      <c r="M72" s="66"/>
      <c r="N72" s="66"/>
      <c r="O72" s="66"/>
      <c r="P72" s="66"/>
    </row>
    <row r="73" spans="1:16" ht="18" customHeight="1">
      <c r="A73" s="74"/>
      <c r="C73" s="69"/>
      <c r="D73" s="69"/>
      <c r="E73" s="69"/>
      <c r="F73" s="103"/>
      <c r="G73" s="103"/>
      <c r="H73" s="104"/>
      <c r="I73" s="105"/>
      <c r="J73" s="104"/>
      <c r="K73" s="106"/>
      <c r="M73" s="66"/>
      <c r="N73" s="66"/>
      <c r="O73" s="66"/>
      <c r="P73" s="66"/>
    </row>
    <row r="74" spans="1:16" ht="22.5" customHeight="1">
      <c r="C74" s="69" t="s">
        <v>41</v>
      </c>
      <c r="D74" s="69"/>
      <c r="E74" s="69"/>
      <c r="F74" s="86">
        <f t="shared" ref="F74:K74" si="9">SUM(F67:F72)</f>
        <v>0</v>
      </c>
      <c r="G74" s="86">
        <f t="shared" si="9"/>
        <v>0</v>
      </c>
      <c r="H74" s="81">
        <f t="shared" si="9"/>
        <v>0</v>
      </c>
      <c r="I74" s="81">
        <f t="shared" si="9"/>
        <v>0</v>
      </c>
      <c r="J74" s="81">
        <f t="shared" si="9"/>
        <v>0</v>
      </c>
      <c r="K74" s="81">
        <f t="shared" si="9"/>
        <v>0</v>
      </c>
      <c r="M74" s="66"/>
      <c r="N74" s="66"/>
      <c r="O74" s="66"/>
      <c r="P74" s="66"/>
    </row>
    <row r="75" spans="1:16" ht="24.75" customHeight="1">
      <c r="F75" s="77" t="s">
        <v>13</v>
      </c>
      <c r="G75" s="77" t="s">
        <v>14</v>
      </c>
      <c r="H75" s="77" t="s">
        <v>15</v>
      </c>
      <c r="I75" s="77" t="s">
        <v>16</v>
      </c>
      <c r="J75" s="77" t="s">
        <v>17</v>
      </c>
      <c r="K75" s="77" t="s">
        <v>18</v>
      </c>
      <c r="M75" s="66"/>
      <c r="N75" s="66"/>
      <c r="O75" s="66"/>
      <c r="P75" s="66"/>
    </row>
    <row r="76" spans="1:16" ht="18" customHeight="1">
      <c r="A76" s="71" t="s">
        <v>89</v>
      </c>
      <c r="B76" s="69" t="s">
        <v>90</v>
      </c>
      <c r="M76" s="66"/>
      <c r="N76" s="66"/>
      <c r="O76" s="66"/>
      <c r="P76" s="66"/>
    </row>
    <row r="77" spans="1:16" ht="18" customHeight="1">
      <c r="A77" s="74" t="s">
        <v>91</v>
      </c>
      <c r="B77" s="66" t="s">
        <v>92</v>
      </c>
      <c r="F77" s="78"/>
      <c r="G77" s="78"/>
      <c r="H77" s="79"/>
      <c r="I77" s="80">
        <f>H77*F$116</f>
        <v>0</v>
      </c>
      <c r="J77" s="79">
        <v>0</v>
      </c>
      <c r="K77" s="81">
        <f>(H77+I77)-J77</f>
        <v>0</v>
      </c>
      <c r="M77" s="66"/>
      <c r="N77" s="66"/>
      <c r="O77" s="66"/>
      <c r="P77" s="66"/>
    </row>
    <row r="78" spans="1:16" ht="18" customHeight="1">
      <c r="A78" s="74" t="s">
        <v>93</v>
      </c>
      <c r="B78" s="66" t="s">
        <v>94</v>
      </c>
      <c r="F78" s="78"/>
      <c r="G78" s="78"/>
      <c r="H78" s="79"/>
      <c r="I78" s="80">
        <f>H78*F$116</f>
        <v>0</v>
      </c>
      <c r="J78" s="79">
        <v>0</v>
      </c>
      <c r="K78" s="81">
        <f>(H78+I78)-J78</f>
        <v>0</v>
      </c>
      <c r="M78" s="66"/>
      <c r="N78" s="66"/>
      <c r="O78" s="66"/>
      <c r="P78" s="66"/>
    </row>
    <row r="79" spans="1:16" ht="18" customHeight="1">
      <c r="A79" s="74" t="s">
        <v>95</v>
      </c>
      <c r="B79" s="66" t="s">
        <v>96</v>
      </c>
      <c r="F79" s="78"/>
      <c r="G79" s="78"/>
      <c r="H79" s="79"/>
      <c r="I79" s="80">
        <f>H79*F$116</f>
        <v>0</v>
      </c>
      <c r="J79" s="79">
        <v>0</v>
      </c>
      <c r="K79" s="81">
        <f>(H79+I79)-J79</f>
        <v>0</v>
      </c>
      <c r="M79" s="66"/>
      <c r="N79" s="66"/>
      <c r="O79" s="66"/>
      <c r="P79" s="66"/>
    </row>
    <row r="80" spans="1:16" ht="18" customHeight="1">
      <c r="A80" s="74" t="s">
        <v>93</v>
      </c>
      <c r="B80" s="66" t="s">
        <v>97</v>
      </c>
      <c r="F80" s="78"/>
      <c r="G80" s="78"/>
      <c r="H80" s="79"/>
      <c r="I80" s="80">
        <f>H80*F$116</f>
        <v>0</v>
      </c>
      <c r="J80" s="79">
        <v>0</v>
      </c>
      <c r="K80" s="81">
        <f>(H80+I80)-J80</f>
        <v>0</v>
      </c>
      <c r="M80" s="66"/>
      <c r="N80" s="66"/>
      <c r="O80" s="66"/>
      <c r="P80" s="66"/>
    </row>
    <row r="81" spans="1:16" ht="18" customHeight="1">
      <c r="A81" s="74"/>
      <c r="F81" s="95"/>
      <c r="G81" s="95"/>
      <c r="H81" s="84"/>
      <c r="I81" s="84"/>
      <c r="J81" s="84"/>
      <c r="K81" s="106"/>
      <c r="M81" s="66"/>
      <c r="N81" s="66"/>
      <c r="O81" s="66"/>
      <c r="P81" s="66"/>
    </row>
    <row r="82" spans="1:16" ht="18" customHeight="1" thickBot="1">
      <c r="A82" s="74"/>
      <c r="C82" s="69" t="s">
        <v>41</v>
      </c>
      <c r="D82" s="69"/>
      <c r="E82" s="69"/>
      <c r="F82" s="107">
        <f t="shared" ref="F82:K82" si="10">SUM(F77:F80)</f>
        <v>0</v>
      </c>
      <c r="G82" s="107">
        <f t="shared" si="10"/>
        <v>0</v>
      </c>
      <c r="H82" s="100">
        <f t="shared" si="10"/>
        <v>0</v>
      </c>
      <c r="I82" s="100">
        <f t="shared" si="10"/>
        <v>0</v>
      </c>
      <c r="J82" s="100">
        <f t="shared" si="10"/>
        <v>0</v>
      </c>
      <c r="K82" s="100">
        <f t="shared" si="10"/>
        <v>0</v>
      </c>
      <c r="L82" s="89"/>
      <c r="M82" s="66"/>
      <c r="N82" s="66"/>
      <c r="O82" s="66"/>
      <c r="P82" s="66"/>
    </row>
    <row r="83" spans="1:16" ht="13.5" thickBot="1">
      <c r="A83" s="108"/>
      <c r="B83" s="89"/>
      <c r="C83" s="89"/>
      <c r="D83" s="89"/>
      <c r="E83" s="89"/>
      <c r="F83" s="97"/>
      <c r="G83" s="97"/>
      <c r="H83" s="98"/>
      <c r="I83" s="98"/>
      <c r="J83" s="98"/>
      <c r="K83" s="98"/>
      <c r="M83" s="66"/>
      <c r="N83" s="66"/>
      <c r="O83" s="66"/>
      <c r="P83" s="66"/>
    </row>
    <row r="84" spans="1:16" ht="23.25" customHeight="1">
      <c r="F84" s="77" t="s">
        <v>13</v>
      </c>
      <c r="G84" s="77" t="s">
        <v>14</v>
      </c>
      <c r="H84" s="77" t="s">
        <v>15</v>
      </c>
      <c r="I84" s="77" t="s">
        <v>16</v>
      </c>
      <c r="J84" s="77" t="s">
        <v>17</v>
      </c>
      <c r="K84" s="77" t="s">
        <v>18</v>
      </c>
      <c r="M84" s="66"/>
      <c r="N84" s="66"/>
      <c r="O84" s="66"/>
      <c r="P84" s="66"/>
    </row>
    <row r="85" spans="1:16" ht="18" customHeight="1">
      <c r="A85" s="71" t="s">
        <v>98</v>
      </c>
      <c r="B85" s="69" t="s">
        <v>99</v>
      </c>
      <c r="M85" s="66"/>
      <c r="N85" s="66"/>
      <c r="O85" s="66"/>
      <c r="P85" s="66"/>
    </row>
    <row r="86" spans="1:16" ht="18" customHeight="1">
      <c r="A86" s="74" t="s">
        <v>100</v>
      </c>
      <c r="B86" s="66" t="s">
        <v>101</v>
      </c>
      <c r="F86" s="78"/>
      <c r="G86" s="78"/>
      <c r="H86" s="79"/>
      <c r="I86" s="80">
        <f t="shared" ref="I86:I97" si="11">H86*F$116</f>
        <v>0</v>
      </c>
      <c r="J86" s="79">
        <v>0</v>
      </c>
      <c r="K86" s="81">
        <f t="shared" ref="K86:K97" si="12">(H86+I86)-J86</f>
        <v>0</v>
      </c>
      <c r="M86" s="66"/>
      <c r="N86" s="66"/>
      <c r="O86" s="66"/>
      <c r="P86" s="66"/>
    </row>
    <row r="87" spans="1:16" ht="18" customHeight="1">
      <c r="A87" s="74" t="s">
        <v>102</v>
      </c>
      <c r="B87" s="66" t="s">
        <v>103</v>
      </c>
      <c r="F87" s="78"/>
      <c r="G87" s="78"/>
      <c r="H87" s="79"/>
      <c r="I87" s="80">
        <f t="shared" si="11"/>
        <v>0</v>
      </c>
      <c r="J87" s="79">
        <v>0</v>
      </c>
      <c r="K87" s="81">
        <f t="shared" si="12"/>
        <v>0</v>
      </c>
      <c r="M87" s="66"/>
      <c r="N87" s="66"/>
      <c r="O87" s="66"/>
      <c r="P87" s="66"/>
    </row>
    <row r="88" spans="1:16" ht="18" customHeight="1">
      <c r="A88" s="74" t="s">
        <v>104</v>
      </c>
      <c r="B88" s="66" t="s">
        <v>105</v>
      </c>
      <c r="F88" s="78"/>
      <c r="G88" s="78"/>
      <c r="H88" s="79"/>
      <c r="I88" s="80">
        <f t="shared" si="11"/>
        <v>0</v>
      </c>
      <c r="J88" s="79">
        <v>0</v>
      </c>
      <c r="K88" s="81">
        <f t="shared" si="12"/>
        <v>0</v>
      </c>
      <c r="M88" s="66"/>
      <c r="N88" s="66"/>
      <c r="O88" s="66"/>
      <c r="P88" s="66"/>
    </row>
    <row r="89" spans="1:16" ht="20.25" customHeight="1">
      <c r="A89" s="74" t="s">
        <v>106</v>
      </c>
      <c r="B89" s="66" t="s">
        <v>107</v>
      </c>
      <c r="F89" s="78"/>
      <c r="G89" s="78"/>
      <c r="H89" s="79"/>
      <c r="I89" s="80">
        <f t="shared" si="11"/>
        <v>0</v>
      </c>
      <c r="J89" s="79">
        <v>0</v>
      </c>
      <c r="K89" s="81">
        <f t="shared" si="12"/>
        <v>0</v>
      </c>
      <c r="M89" s="66"/>
      <c r="N89" s="66"/>
      <c r="O89" s="66"/>
      <c r="P89" s="66"/>
    </row>
    <row r="90" spans="1:16" ht="18" customHeight="1">
      <c r="A90" s="74" t="s">
        <v>108</v>
      </c>
      <c r="B90" s="93" t="s">
        <v>109</v>
      </c>
      <c r="F90" s="78"/>
      <c r="G90" s="78"/>
      <c r="H90" s="79"/>
      <c r="I90" s="80">
        <f t="shared" si="11"/>
        <v>0</v>
      </c>
      <c r="J90" s="79">
        <v>0</v>
      </c>
      <c r="K90" s="81">
        <f t="shared" si="12"/>
        <v>0</v>
      </c>
      <c r="M90" s="66"/>
      <c r="N90" s="66"/>
      <c r="O90" s="66"/>
      <c r="P90" s="66"/>
    </row>
    <row r="91" spans="1:16" ht="18" customHeight="1">
      <c r="A91" s="74" t="s">
        <v>110</v>
      </c>
      <c r="B91" s="66" t="s">
        <v>111</v>
      </c>
      <c r="F91" s="78"/>
      <c r="G91" s="78"/>
      <c r="H91" s="79"/>
      <c r="I91" s="80">
        <f t="shared" si="11"/>
        <v>0</v>
      </c>
      <c r="J91" s="79">
        <v>0</v>
      </c>
      <c r="K91" s="81">
        <f t="shared" si="12"/>
        <v>0</v>
      </c>
      <c r="M91" s="66"/>
      <c r="N91" s="66"/>
      <c r="O91" s="66"/>
      <c r="P91" s="66"/>
    </row>
    <row r="92" spans="1:16" ht="18" customHeight="1">
      <c r="A92" s="74" t="s">
        <v>112</v>
      </c>
      <c r="B92" s="66" t="s">
        <v>113</v>
      </c>
      <c r="F92" s="78"/>
      <c r="G92" s="78"/>
      <c r="H92" s="79"/>
      <c r="I92" s="80">
        <f t="shared" si="11"/>
        <v>0</v>
      </c>
      <c r="J92" s="109">
        <v>0</v>
      </c>
      <c r="K92" s="81">
        <f t="shared" si="12"/>
        <v>0</v>
      </c>
      <c r="M92" s="66"/>
      <c r="N92" s="66"/>
      <c r="O92" s="66"/>
      <c r="P92" s="66"/>
    </row>
    <row r="93" spans="1:16" ht="18" customHeight="1">
      <c r="A93" s="74" t="s">
        <v>114</v>
      </c>
      <c r="B93" s="66" t="s">
        <v>115</v>
      </c>
      <c r="F93" s="78"/>
      <c r="G93" s="78"/>
      <c r="H93" s="79"/>
      <c r="I93" s="80">
        <f t="shared" si="11"/>
        <v>0</v>
      </c>
      <c r="J93" s="79">
        <v>0</v>
      </c>
      <c r="K93" s="81">
        <f t="shared" si="12"/>
        <v>0</v>
      </c>
      <c r="M93" s="66"/>
      <c r="N93" s="66"/>
      <c r="O93" s="66"/>
      <c r="P93" s="66"/>
    </row>
    <row r="94" spans="1:16" ht="18" customHeight="1">
      <c r="A94" s="74" t="s">
        <v>116</v>
      </c>
      <c r="B94" s="66" t="s">
        <v>85</v>
      </c>
      <c r="F94" s="78"/>
      <c r="G94" s="78"/>
      <c r="H94" s="79"/>
      <c r="I94" s="80">
        <f t="shared" si="11"/>
        <v>0</v>
      </c>
      <c r="J94" s="79">
        <v>0</v>
      </c>
      <c r="K94" s="81">
        <f t="shared" si="12"/>
        <v>0</v>
      </c>
      <c r="M94" s="66"/>
      <c r="N94" s="66"/>
      <c r="O94" s="66"/>
      <c r="P94" s="66"/>
    </row>
    <row r="95" spans="1:16" ht="18" customHeight="1">
      <c r="A95" s="74"/>
      <c r="B95" s="83"/>
      <c r="F95" s="78"/>
      <c r="G95" s="78"/>
      <c r="H95" s="79"/>
      <c r="I95" s="80">
        <f t="shared" si="11"/>
        <v>0</v>
      </c>
      <c r="J95" s="79">
        <v>0</v>
      </c>
      <c r="K95" s="81">
        <f t="shared" si="12"/>
        <v>0</v>
      </c>
      <c r="M95" s="66"/>
      <c r="N95" s="66"/>
      <c r="O95" s="66"/>
      <c r="P95" s="66"/>
    </row>
    <row r="96" spans="1:16" ht="18" customHeight="1">
      <c r="A96" s="74"/>
      <c r="B96" s="83"/>
      <c r="F96" s="78"/>
      <c r="G96" s="78"/>
      <c r="H96" s="79"/>
      <c r="I96" s="80">
        <f t="shared" si="11"/>
        <v>0</v>
      </c>
      <c r="J96" s="79">
        <v>0</v>
      </c>
      <c r="K96" s="81">
        <f t="shared" si="12"/>
        <v>0</v>
      </c>
      <c r="M96" s="66"/>
      <c r="N96" s="66"/>
      <c r="O96" s="66"/>
      <c r="P96" s="66"/>
    </row>
    <row r="97" spans="1:16" ht="18" customHeight="1">
      <c r="A97" s="74"/>
      <c r="B97" s="83"/>
      <c r="F97" s="78"/>
      <c r="G97" s="78"/>
      <c r="H97" s="79"/>
      <c r="I97" s="80">
        <f t="shared" si="11"/>
        <v>0</v>
      </c>
      <c r="J97" s="79">
        <v>0</v>
      </c>
      <c r="K97" s="81">
        <f t="shared" si="12"/>
        <v>0</v>
      </c>
      <c r="M97" s="66"/>
      <c r="N97" s="66"/>
      <c r="O97" s="66"/>
      <c r="P97" s="66"/>
    </row>
    <row r="98" spans="1:16" ht="18" customHeight="1">
      <c r="A98" s="74"/>
      <c r="F98" s="95"/>
      <c r="G98" s="95"/>
      <c r="H98" s="84"/>
      <c r="I98" s="84"/>
      <c r="J98" s="84"/>
      <c r="K98" s="84"/>
      <c r="M98" s="66"/>
      <c r="N98" s="66"/>
      <c r="O98" s="66"/>
      <c r="P98" s="66"/>
    </row>
    <row r="99" spans="1:16" ht="18" customHeight="1" thickBot="1">
      <c r="C99" s="69" t="s">
        <v>41</v>
      </c>
      <c r="D99" s="69"/>
      <c r="E99" s="69"/>
      <c r="F99" s="86">
        <f t="shared" ref="F99:K99" si="13">SUM(F86:F97)</f>
        <v>0</v>
      </c>
      <c r="G99" s="86">
        <f t="shared" si="13"/>
        <v>0</v>
      </c>
      <c r="H99" s="81">
        <f t="shared" si="13"/>
        <v>0</v>
      </c>
      <c r="I99" s="81">
        <f t="shared" si="13"/>
        <v>0</v>
      </c>
      <c r="J99" s="81">
        <f t="shared" si="13"/>
        <v>0</v>
      </c>
      <c r="K99" s="81">
        <f t="shared" si="13"/>
        <v>0</v>
      </c>
      <c r="L99" s="89"/>
      <c r="M99" s="66"/>
      <c r="N99" s="66"/>
      <c r="O99" s="66"/>
      <c r="P99" s="66"/>
    </row>
    <row r="100" spans="1:16" ht="13.5" thickBot="1">
      <c r="A100" s="87"/>
      <c r="B100" s="88"/>
      <c r="C100" s="89"/>
      <c r="D100" s="89"/>
      <c r="E100" s="89"/>
      <c r="F100" s="97"/>
      <c r="G100" s="97"/>
      <c r="H100" s="98"/>
      <c r="I100" s="98"/>
      <c r="J100" s="98"/>
      <c r="K100" s="98"/>
      <c r="M100" s="66"/>
      <c r="N100" s="66"/>
      <c r="O100" s="66"/>
      <c r="P100" s="66"/>
    </row>
    <row r="101" spans="1:16" ht="24" customHeight="1">
      <c r="F101" s="77" t="s">
        <v>13</v>
      </c>
      <c r="G101" s="77" t="s">
        <v>14</v>
      </c>
      <c r="H101" s="77" t="s">
        <v>15</v>
      </c>
      <c r="I101" s="77" t="s">
        <v>16</v>
      </c>
      <c r="J101" s="77" t="s">
        <v>17</v>
      </c>
      <c r="K101" s="77" t="s">
        <v>18</v>
      </c>
      <c r="M101" s="66"/>
      <c r="N101" s="66"/>
      <c r="O101" s="66"/>
      <c r="P101" s="66"/>
    </row>
    <row r="102" spans="1:16" ht="18" customHeight="1">
      <c r="A102" s="71" t="s">
        <v>117</v>
      </c>
      <c r="B102" s="69" t="s">
        <v>118</v>
      </c>
      <c r="M102" s="66"/>
      <c r="N102" s="66"/>
      <c r="O102" s="66"/>
      <c r="P102" s="66"/>
    </row>
    <row r="103" spans="1:16" ht="18" customHeight="1">
      <c r="A103" s="74" t="s">
        <v>119</v>
      </c>
      <c r="B103" s="66" t="s">
        <v>120</v>
      </c>
      <c r="F103" s="78">
        <v>552</v>
      </c>
      <c r="G103" s="78"/>
      <c r="H103" s="238">
        <v>12122</v>
      </c>
      <c r="I103" s="239">
        <f t="shared" ref="I103:I108" si="14">H103*F$116</f>
        <v>6911.9644000000008</v>
      </c>
      <c r="J103" s="238">
        <v>0</v>
      </c>
      <c r="K103" s="240">
        <f t="shared" ref="K103:K108" si="15">(H103+I103)-J103</f>
        <v>19033.964400000001</v>
      </c>
      <c r="M103" s="66"/>
      <c r="N103" s="66"/>
      <c r="O103" s="66"/>
      <c r="P103" s="66"/>
    </row>
    <row r="104" spans="1:16" ht="18" customHeight="1">
      <c r="A104" s="74" t="s">
        <v>121</v>
      </c>
      <c r="B104" s="93" t="s">
        <v>122</v>
      </c>
      <c r="F104" s="78"/>
      <c r="G104" s="78"/>
      <c r="H104" s="238"/>
      <c r="I104" s="239">
        <f t="shared" si="14"/>
        <v>0</v>
      </c>
      <c r="J104" s="238">
        <v>0</v>
      </c>
      <c r="K104" s="240">
        <f t="shared" si="15"/>
        <v>0</v>
      </c>
      <c r="M104" s="66"/>
      <c r="N104" s="66"/>
      <c r="O104" s="66"/>
      <c r="P104" s="66"/>
    </row>
    <row r="105" spans="1:16" ht="18" customHeight="1">
      <c r="A105" s="74" t="s">
        <v>123</v>
      </c>
      <c r="B105" s="66" t="s">
        <v>124</v>
      </c>
      <c r="F105" s="78"/>
      <c r="G105" s="78"/>
      <c r="H105" s="238"/>
      <c r="I105" s="239">
        <f t="shared" si="14"/>
        <v>0</v>
      </c>
      <c r="J105" s="238">
        <v>0</v>
      </c>
      <c r="K105" s="240">
        <f t="shared" si="15"/>
        <v>0</v>
      </c>
      <c r="M105" s="66"/>
      <c r="N105" s="66"/>
      <c r="O105" s="66"/>
      <c r="P105" s="66"/>
    </row>
    <row r="106" spans="1:16" ht="18" customHeight="1">
      <c r="A106" s="74" t="s">
        <v>125</v>
      </c>
      <c r="B106" s="94"/>
      <c r="F106" s="78"/>
      <c r="G106" s="78"/>
      <c r="H106" s="238"/>
      <c r="I106" s="239">
        <f t="shared" si="14"/>
        <v>0</v>
      </c>
      <c r="J106" s="238">
        <v>0</v>
      </c>
      <c r="K106" s="240">
        <f t="shared" si="15"/>
        <v>0</v>
      </c>
      <c r="M106" s="66"/>
      <c r="N106" s="66"/>
      <c r="O106" s="66"/>
      <c r="P106" s="66"/>
    </row>
    <row r="107" spans="1:16" ht="18" customHeight="1">
      <c r="A107" s="74" t="s">
        <v>126</v>
      </c>
      <c r="B107" s="83"/>
      <c r="F107" s="78"/>
      <c r="G107" s="78"/>
      <c r="H107" s="238"/>
      <c r="I107" s="239">
        <f t="shared" si="14"/>
        <v>0</v>
      </c>
      <c r="J107" s="238">
        <v>0</v>
      </c>
      <c r="K107" s="240">
        <f t="shared" si="15"/>
        <v>0</v>
      </c>
      <c r="M107" s="66"/>
      <c r="N107" s="66"/>
      <c r="O107" s="66"/>
      <c r="P107" s="66"/>
    </row>
    <row r="108" spans="1:16" ht="18" customHeight="1">
      <c r="A108" s="74" t="s">
        <v>127</v>
      </c>
      <c r="B108" s="83"/>
      <c r="F108" s="78"/>
      <c r="G108" s="78"/>
      <c r="H108" s="238"/>
      <c r="I108" s="239">
        <f t="shared" si="14"/>
        <v>0</v>
      </c>
      <c r="J108" s="238">
        <v>0</v>
      </c>
      <c r="K108" s="240">
        <f t="shared" si="15"/>
        <v>0</v>
      </c>
      <c r="M108" s="66"/>
      <c r="N108" s="66"/>
      <c r="O108" s="66"/>
      <c r="P108" s="66"/>
    </row>
    <row r="109" spans="1:16" ht="18" customHeight="1">
      <c r="B109" s="69"/>
      <c r="F109" s="95"/>
      <c r="G109" s="95"/>
      <c r="H109" s="84"/>
      <c r="I109" s="84"/>
      <c r="J109" s="84"/>
      <c r="K109" s="84"/>
      <c r="L109" s="82"/>
      <c r="M109" s="66"/>
      <c r="N109" s="66"/>
      <c r="O109" s="66"/>
      <c r="P109" s="66"/>
    </row>
    <row r="110" spans="1:16" ht="18" customHeight="1" thickBot="1">
      <c r="B110" s="82"/>
      <c r="C110" s="69" t="s">
        <v>41</v>
      </c>
      <c r="D110" s="69"/>
      <c r="E110" s="69"/>
      <c r="F110" s="78">
        <f t="shared" ref="F110:K110" si="16">SUM(F103:F108)</f>
        <v>552</v>
      </c>
      <c r="G110" s="78">
        <f t="shared" si="16"/>
        <v>0</v>
      </c>
      <c r="H110" s="238">
        <f t="shared" si="16"/>
        <v>12122</v>
      </c>
      <c r="I110" s="239">
        <f t="shared" si="16"/>
        <v>6911.9644000000008</v>
      </c>
      <c r="J110" s="238">
        <f t="shared" si="16"/>
        <v>0</v>
      </c>
      <c r="K110" s="240">
        <f t="shared" si="16"/>
        <v>19033.964400000001</v>
      </c>
      <c r="L110" s="89"/>
      <c r="M110" s="66"/>
      <c r="N110" s="66"/>
      <c r="O110" s="66"/>
      <c r="P110" s="66"/>
    </row>
    <row r="111" spans="1:16" ht="18" customHeight="1" thickBot="1">
      <c r="A111" s="87"/>
      <c r="B111" s="88"/>
      <c r="C111" s="89"/>
      <c r="D111" s="89"/>
      <c r="E111" s="89"/>
      <c r="F111" s="97"/>
      <c r="G111" s="97"/>
      <c r="H111" s="98"/>
      <c r="I111" s="98"/>
      <c r="J111" s="98"/>
      <c r="K111" s="98"/>
      <c r="L111" s="82"/>
      <c r="M111" s="66"/>
      <c r="N111" s="66"/>
      <c r="O111" s="66"/>
      <c r="P111" s="66"/>
    </row>
    <row r="112" spans="1:16" ht="18" customHeight="1">
      <c r="A112" s="71" t="s">
        <v>128</v>
      </c>
      <c r="B112" s="69" t="s">
        <v>129</v>
      </c>
      <c r="M112" s="66"/>
      <c r="N112" s="66"/>
      <c r="O112" s="66"/>
      <c r="P112" s="66"/>
    </row>
    <row r="113" spans="1:16" ht="18" customHeight="1">
      <c r="B113" s="69"/>
      <c r="C113" s="69" t="s">
        <v>41</v>
      </c>
      <c r="D113" s="69"/>
      <c r="E113" s="69"/>
      <c r="F113" s="110">
        <v>4830000</v>
      </c>
      <c r="M113" s="66"/>
      <c r="N113" s="66"/>
      <c r="O113" s="66"/>
      <c r="P113" s="66"/>
    </row>
    <row r="114" spans="1:16" ht="18" customHeight="1">
      <c r="B114" s="69"/>
      <c r="C114" s="69"/>
      <c r="D114" s="69"/>
      <c r="E114" s="69"/>
      <c r="F114" s="111"/>
      <c r="M114" s="66"/>
      <c r="N114" s="66"/>
      <c r="O114" s="66"/>
      <c r="P114" s="66"/>
    </row>
    <row r="115" spans="1:16" ht="18" customHeight="1">
      <c r="A115" s="71" t="s">
        <v>130</v>
      </c>
      <c r="B115" s="69" t="s">
        <v>131</v>
      </c>
      <c r="M115" s="66"/>
      <c r="N115" s="66"/>
      <c r="O115" s="66"/>
      <c r="P115" s="66"/>
    </row>
    <row r="116" spans="1:16" ht="18" customHeight="1">
      <c r="A116" s="74" t="s">
        <v>132</v>
      </c>
      <c r="B116" s="66" t="s">
        <v>133</v>
      </c>
      <c r="F116" s="112">
        <v>0.57020000000000004</v>
      </c>
      <c r="M116" s="66"/>
      <c r="N116" s="66"/>
      <c r="O116" s="66"/>
      <c r="P116" s="66"/>
    </row>
    <row r="117" spans="1:16" ht="18" customHeight="1">
      <c r="A117" s="74"/>
      <c r="B117" s="69"/>
      <c r="M117" s="66"/>
      <c r="N117" s="66"/>
      <c r="O117" s="66"/>
      <c r="P117" s="66"/>
    </row>
    <row r="118" spans="1:16" ht="18" customHeight="1">
      <c r="A118" s="74" t="s">
        <v>134</v>
      </c>
      <c r="B118" s="69" t="s">
        <v>135</v>
      </c>
      <c r="M118" s="66"/>
      <c r="N118" s="66"/>
      <c r="O118" s="66"/>
      <c r="P118" s="66"/>
    </row>
    <row r="119" spans="1:16" ht="19.5" customHeight="1">
      <c r="A119" s="74"/>
      <c r="B119" s="66" t="s">
        <v>136</v>
      </c>
      <c r="F119" s="110">
        <v>184427000</v>
      </c>
      <c r="M119" s="66"/>
      <c r="N119" s="66"/>
      <c r="O119" s="66"/>
      <c r="P119" s="66"/>
    </row>
    <row r="120" spans="1:16" ht="18" customHeight="1">
      <c r="B120" s="66" t="s">
        <v>137</v>
      </c>
      <c r="F120" s="110">
        <v>2229000</v>
      </c>
      <c r="M120" s="66"/>
      <c r="N120" s="66"/>
      <c r="O120" s="66"/>
      <c r="P120" s="66"/>
    </row>
    <row r="121" spans="1:16" ht="18" customHeight="1">
      <c r="A121" s="74"/>
      <c r="B121" s="69" t="s">
        <v>138</v>
      </c>
      <c r="F121" s="110">
        <f>SUM(F119:F120)</f>
        <v>186656000</v>
      </c>
      <c r="M121" s="66"/>
      <c r="N121" s="66"/>
      <c r="O121" s="66"/>
      <c r="P121" s="66"/>
    </row>
    <row r="122" spans="1:16" ht="18" customHeight="1">
      <c r="A122" s="74"/>
      <c r="B122" s="69"/>
      <c r="M122" s="66"/>
      <c r="N122" s="66"/>
      <c r="O122" s="66"/>
      <c r="P122" s="66"/>
    </row>
    <row r="123" spans="1:16" ht="18" customHeight="1">
      <c r="A123" s="74" t="s">
        <v>139</v>
      </c>
      <c r="B123" s="69" t="s">
        <v>140</v>
      </c>
      <c r="F123" s="110">
        <v>183911000</v>
      </c>
      <c r="M123" s="66"/>
      <c r="N123" s="66"/>
      <c r="O123" s="66"/>
      <c r="P123" s="66"/>
    </row>
    <row r="124" spans="1:16" ht="18" customHeight="1">
      <c r="A124" s="74"/>
      <c r="M124" s="66"/>
      <c r="N124" s="66"/>
      <c r="O124" s="66"/>
      <c r="P124" s="66"/>
    </row>
    <row r="125" spans="1:16" ht="18" customHeight="1">
      <c r="A125" s="74" t="s">
        <v>141</v>
      </c>
      <c r="B125" s="69" t="s">
        <v>142</v>
      </c>
      <c r="F125" s="110">
        <f>F121-F123</f>
        <v>2745000</v>
      </c>
      <c r="M125" s="66"/>
      <c r="N125" s="66"/>
      <c r="O125" s="66"/>
      <c r="P125" s="66"/>
    </row>
    <row r="126" spans="1:16" ht="18" customHeight="1">
      <c r="A126" s="74"/>
      <c r="M126" s="66"/>
      <c r="N126" s="66"/>
      <c r="O126" s="66"/>
      <c r="P126" s="66"/>
    </row>
    <row r="127" spans="1:16" ht="18" customHeight="1">
      <c r="A127" s="74" t="s">
        <v>143</v>
      </c>
      <c r="B127" s="69" t="s">
        <v>144</v>
      </c>
      <c r="F127" s="110">
        <v>-4109000</v>
      </c>
      <c r="G127" s="248"/>
      <c r="M127" s="66"/>
      <c r="N127" s="66"/>
      <c r="O127" s="66"/>
      <c r="P127" s="66"/>
    </row>
    <row r="128" spans="1:16" ht="18" customHeight="1">
      <c r="A128" s="74"/>
      <c r="M128" s="66"/>
      <c r="N128" s="66"/>
      <c r="O128" s="66"/>
      <c r="P128" s="66"/>
    </row>
    <row r="129" spans="1:16" ht="18" customHeight="1">
      <c r="A129" s="74" t="s">
        <v>145</v>
      </c>
      <c r="B129" s="69" t="s">
        <v>146</v>
      </c>
      <c r="F129" s="110">
        <f>SUM(F125:F127)</f>
        <v>-1364000</v>
      </c>
      <c r="M129" s="66"/>
      <c r="N129" s="66"/>
      <c r="O129" s="66"/>
      <c r="P129" s="66"/>
    </row>
    <row r="130" spans="1:16" ht="42.75" customHeight="1">
      <c r="A130" s="74"/>
      <c r="M130" s="66"/>
      <c r="N130" s="66"/>
      <c r="O130" s="66"/>
      <c r="P130" s="66"/>
    </row>
    <row r="131" spans="1:16" ht="30.75" customHeight="1">
      <c r="F131" s="77" t="s">
        <v>13</v>
      </c>
      <c r="G131" s="77" t="s">
        <v>14</v>
      </c>
      <c r="H131" s="77" t="s">
        <v>15</v>
      </c>
      <c r="I131" s="77" t="s">
        <v>16</v>
      </c>
      <c r="J131" s="77" t="s">
        <v>17</v>
      </c>
      <c r="K131" s="77" t="s">
        <v>18</v>
      </c>
      <c r="M131" s="66"/>
      <c r="N131" s="66"/>
      <c r="O131" s="66"/>
      <c r="P131" s="66"/>
    </row>
    <row r="132" spans="1:16" ht="18" customHeight="1">
      <c r="A132" s="71" t="s">
        <v>147</v>
      </c>
      <c r="B132" s="69" t="s">
        <v>148</v>
      </c>
      <c r="M132" s="66"/>
      <c r="N132" s="66"/>
      <c r="O132" s="66"/>
      <c r="P132" s="66"/>
    </row>
    <row r="133" spans="1:16" ht="18" customHeight="1">
      <c r="A133" s="74" t="s">
        <v>149</v>
      </c>
      <c r="B133" s="66" t="s">
        <v>150</v>
      </c>
      <c r="F133" s="78"/>
      <c r="G133" s="78"/>
      <c r="H133" s="79"/>
      <c r="I133" s="80">
        <f t="shared" ref="I133:I138" si="17">H133*F$116</f>
        <v>0</v>
      </c>
      <c r="J133" s="79">
        <v>0</v>
      </c>
      <c r="K133" s="81">
        <f t="shared" ref="K133:K138" si="18">(H133+I133)-J133</f>
        <v>0</v>
      </c>
      <c r="M133" s="66"/>
      <c r="N133" s="66"/>
      <c r="O133" s="66"/>
      <c r="P133" s="66"/>
    </row>
    <row r="134" spans="1:16" ht="18" customHeight="1">
      <c r="A134" s="74" t="s">
        <v>151</v>
      </c>
      <c r="B134" s="66" t="s">
        <v>152</v>
      </c>
      <c r="F134" s="78"/>
      <c r="G134" s="78"/>
      <c r="H134" s="79"/>
      <c r="I134" s="80">
        <f t="shared" si="17"/>
        <v>0</v>
      </c>
      <c r="J134" s="79">
        <v>0</v>
      </c>
      <c r="K134" s="81">
        <f t="shared" si="18"/>
        <v>0</v>
      </c>
      <c r="M134" s="66"/>
      <c r="N134" s="66"/>
      <c r="O134" s="66"/>
      <c r="P134" s="66"/>
    </row>
    <row r="135" spans="1:16" ht="18" customHeight="1">
      <c r="A135" s="74" t="s">
        <v>153</v>
      </c>
      <c r="B135" s="66" t="s">
        <v>34</v>
      </c>
      <c r="F135" s="78"/>
      <c r="G135" s="78"/>
      <c r="H135" s="79"/>
      <c r="I135" s="80">
        <f t="shared" si="17"/>
        <v>0</v>
      </c>
      <c r="J135" s="79">
        <v>0</v>
      </c>
      <c r="K135" s="81">
        <f t="shared" si="18"/>
        <v>0</v>
      </c>
      <c r="M135" s="66"/>
      <c r="N135" s="66"/>
      <c r="O135" s="66"/>
      <c r="P135" s="66"/>
    </row>
    <row r="136" spans="1:16" ht="18" customHeight="1">
      <c r="A136" s="74" t="s">
        <v>154</v>
      </c>
      <c r="B136" s="113"/>
      <c r="F136" s="78"/>
      <c r="G136" s="78"/>
      <c r="H136" s="79"/>
      <c r="I136" s="80">
        <f t="shared" si="17"/>
        <v>0</v>
      </c>
      <c r="J136" s="79">
        <v>0</v>
      </c>
      <c r="K136" s="81">
        <f t="shared" si="18"/>
        <v>0</v>
      </c>
      <c r="M136" s="66"/>
      <c r="N136" s="66"/>
      <c r="O136" s="66"/>
      <c r="P136" s="66"/>
    </row>
    <row r="137" spans="1:16" ht="18" customHeight="1">
      <c r="A137" s="74" t="s">
        <v>155</v>
      </c>
      <c r="B137" s="114"/>
      <c r="F137" s="78"/>
      <c r="G137" s="78"/>
      <c r="H137" s="79"/>
      <c r="I137" s="80">
        <f t="shared" si="17"/>
        <v>0</v>
      </c>
      <c r="J137" s="79">
        <v>0</v>
      </c>
      <c r="K137" s="81">
        <f t="shared" si="18"/>
        <v>0</v>
      </c>
      <c r="M137" s="66"/>
      <c r="N137" s="66"/>
      <c r="O137" s="66"/>
      <c r="P137" s="66"/>
    </row>
    <row r="138" spans="1:16" ht="18" customHeight="1">
      <c r="A138" s="74" t="s">
        <v>156</v>
      </c>
      <c r="B138" s="114"/>
      <c r="F138" s="78"/>
      <c r="G138" s="78"/>
      <c r="H138" s="79"/>
      <c r="I138" s="80">
        <f t="shared" si="17"/>
        <v>0</v>
      </c>
      <c r="J138" s="79">
        <v>0</v>
      </c>
      <c r="K138" s="81">
        <f t="shared" si="18"/>
        <v>0</v>
      </c>
      <c r="M138" s="66"/>
      <c r="N138" s="66"/>
      <c r="O138" s="66"/>
      <c r="P138" s="66"/>
    </row>
    <row r="139" spans="1:16" ht="18" customHeight="1">
      <c r="A139" s="71"/>
      <c r="F139" s="95"/>
      <c r="G139" s="95"/>
      <c r="H139" s="84"/>
      <c r="I139" s="84"/>
      <c r="J139" s="84"/>
      <c r="K139" s="84"/>
      <c r="M139" s="66"/>
      <c r="N139" s="66"/>
      <c r="O139" s="66"/>
      <c r="P139" s="66"/>
    </row>
    <row r="140" spans="1:16" ht="18" customHeight="1">
      <c r="B140" s="69" t="s">
        <v>157</v>
      </c>
      <c r="F140" s="86">
        <f t="shared" ref="F140:K140" si="19">SUM(F133:F138)</f>
        <v>0</v>
      </c>
      <c r="G140" s="86">
        <f t="shared" si="19"/>
        <v>0</v>
      </c>
      <c r="H140" s="81">
        <f t="shared" si="19"/>
        <v>0</v>
      </c>
      <c r="I140" s="81">
        <f t="shared" si="19"/>
        <v>0</v>
      </c>
      <c r="J140" s="81">
        <f t="shared" si="19"/>
        <v>0</v>
      </c>
      <c r="K140" s="81">
        <f t="shared" si="19"/>
        <v>0</v>
      </c>
      <c r="M140" s="66"/>
      <c r="N140" s="66"/>
      <c r="O140" s="66"/>
      <c r="P140" s="66"/>
    </row>
    <row r="141" spans="1:16" ht="18" customHeight="1">
      <c r="A141" s="66"/>
      <c r="M141" s="66"/>
      <c r="N141" s="66"/>
      <c r="O141" s="66"/>
      <c r="P141" s="66"/>
    </row>
    <row r="142" spans="1:16" ht="22.5" customHeight="1">
      <c r="F142" s="77" t="s">
        <v>13</v>
      </c>
      <c r="G142" s="77" t="s">
        <v>14</v>
      </c>
      <c r="H142" s="77" t="s">
        <v>15</v>
      </c>
      <c r="I142" s="77" t="s">
        <v>16</v>
      </c>
      <c r="J142" s="77" t="s">
        <v>17</v>
      </c>
      <c r="K142" s="77" t="s">
        <v>18</v>
      </c>
      <c r="M142" s="66"/>
      <c r="N142" s="66"/>
      <c r="O142" s="66"/>
      <c r="P142" s="66"/>
    </row>
    <row r="143" spans="1:16" ht="18" customHeight="1">
      <c r="A143" s="71" t="s">
        <v>158</v>
      </c>
      <c r="B143" s="66" t="s">
        <v>159</v>
      </c>
      <c r="M143" s="66"/>
      <c r="N143" s="66"/>
      <c r="O143" s="66"/>
      <c r="P143" s="66"/>
    </row>
    <row r="144" spans="1:16" ht="18" customHeight="1">
      <c r="A144" s="74" t="s">
        <v>160</v>
      </c>
      <c r="B144" s="69" t="s">
        <v>161</v>
      </c>
      <c r="F144" s="78">
        <f t="shared" ref="F144:K144" si="20">F34</f>
        <v>26230</v>
      </c>
      <c r="G144" s="78">
        <f t="shared" si="20"/>
        <v>32758</v>
      </c>
      <c r="H144" s="79">
        <f t="shared" si="20"/>
        <v>617418</v>
      </c>
      <c r="I144" s="115">
        <f t="shared" si="20"/>
        <v>352051.74359999999</v>
      </c>
      <c r="J144" s="115">
        <f t="shared" si="20"/>
        <v>0</v>
      </c>
      <c r="K144" s="115">
        <f t="shared" si="20"/>
        <v>969469.74359999993</v>
      </c>
      <c r="M144" s="66"/>
      <c r="N144" s="66"/>
      <c r="O144" s="66"/>
      <c r="P144" s="66"/>
    </row>
    <row r="145" spans="1:16" ht="18" customHeight="1">
      <c r="A145" s="74" t="s">
        <v>162</v>
      </c>
      <c r="B145" s="69" t="s">
        <v>163</v>
      </c>
      <c r="F145" s="78">
        <f t="shared" ref="F145:K145" si="21">F48</f>
        <v>24327</v>
      </c>
      <c r="G145" s="78">
        <f t="shared" si="21"/>
        <v>1022</v>
      </c>
      <c r="H145" s="79">
        <f t="shared" si="21"/>
        <v>4108228</v>
      </c>
      <c r="I145" s="115">
        <f t="shared" si="21"/>
        <v>2342511.6055999999</v>
      </c>
      <c r="J145" s="115">
        <f t="shared" si="21"/>
        <v>600</v>
      </c>
      <c r="K145" s="115">
        <f t="shared" si="21"/>
        <v>6450139.6056000004</v>
      </c>
      <c r="M145" s="66"/>
      <c r="N145" s="66"/>
      <c r="O145" s="66"/>
      <c r="P145" s="66"/>
    </row>
    <row r="146" spans="1:16" ht="18" customHeight="1">
      <c r="A146" s="74" t="s">
        <v>164</v>
      </c>
      <c r="B146" s="69" t="s">
        <v>165</v>
      </c>
      <c r="F146" s="78">
        <f t="shared" ref="F146:K146" si="22">F63</f>
        <v>9758</v>
      </c>
      <c r="G146" s="78">
        <f t="shared" si="22"/>
        <v>18272</v>
      </c>
      <c r="H146" s="79">
        <f t="shared" si="22"/>
        <v>220376</v>
      </c>
      <c r="I146" s="115">
        <f t="shared" si="22"/>
        <v>125658.39520000001</v>
      </c>
      <c r="J146" s="115">
        <f t="shared" si="22"/>
        <v>0</v>
      </c>
      <c r="K146" s="115">
        <f t="shared" si="22"/>
        <v>346034.39520000003</v>
      </c>
      <c r="M146" s="66"/>
      <c r="N146" s="66"/>
      <c r="O146" s="66"/>
      <c r="P146" s="66"/>
    </row>
    <row r="147" spans="1:16" ht="18" customHeight="1">
      <c r="A147" s="74" t="s">
        <v>166</v>
      </c>
      <c r="B147" s="69" t="s">
        <v>167</v>
      </c>
      <c r="F147" s="78">
        <f t="shared" ref="F147:K147" si="23">F74</f>
        <v>0</v>
      </c>
      <c r="G147" s="78">
        <f t="shared" si="23"/>
        <v>0</v>
      </c>
      <c r="H147" s="79">
        <f t="shared" si="23"/>
        <v>0</v>
      </c>
      <c r="I147" s="115">
        <f t="shared" si="23"/>
        <v>0</v>
      </c>
      <c r="J147" s="115">
        <f t="shared" si="23"/>
        <v>0</v>
      </c>
      <c r="K147" s="115">
        <f t="shared" si="23"/>
        <v>0</v>
      </c>
      <c r="M147" s="66"/>
      <c r="N147" s="66"/>
      <c r="O147" s="66"/>
      <c r="P147" s="66"/>
    </row>
    <row r="148" spans="1:16" ht="18" customHeight="1">
      <c r="A148" s="74" t="s">
        <v>168</v>
      </c>
      <c r="B148" s="69" t="s">
        <v>169</v>
      </c>
      <c r="F148" s="78">
        <f t="shared" ref="F148:K148" si="24">F82</f>
        <v>0</v>
      </c>
      <c r="G148" s="78">
        <f t="shared" si="24"/>
        <v>0</v>
      </c>
      <c r="H148" s="79">
        <f t="shared" si="24"/>
        <v>0</v>
      </c>
      <c r="I148" s="115">
        <f t="shared" si="24"/>
        <v>0</v>
      </c>
      <c r="J148" s="115">
        <f t="shared" si="24"/>
        <v>0</v>
      </c>
      <c r="K148" s="115">
        <f t="shared" si="24"/>
        <v>0</v>
      </c>
      <c r="M148" s="66"/>
      <c r="N148" s="66"/>
      <c r="O148" s="66"/>
      <c r="P148" s="66"/>
    </row>
    <row r="149" spans="1:16" ht="18" customHeight="1">
      <c r="A149" s="74" t="s">
        <v>170</v>
      </c>
      <c r="B149" s="69" t="s">
        <v>171</v>
      </c>
      <c r="F149" s="78">
        <f t="shared" ref="F149:K149" si="25">F99</f>
        <v>0</v>
      </c>
      <c r="G149" s="78">
        <f t="shared" si="25"/>
        <v>0</v>
      </c>
      <c r="H149" s="79">
        <f t="shared" si="25"/>
        <v>0</v>
      </c>
      <c r="I149" s="115">
        <f t="shared" si="25"/>
        <v>0</v>
      </c>
      <c r="J149" s="115">
        <f t="shared" si="25"/>
        <v>0</v>
      </c>
      <c r="K149" s="115">
        <f t="shared" si="25"/>
        <v>0</v>
      </c>
      <c r="M149" s="66"/>
      <c r="N149" s="66"/>
      <c r="O149" s="66"/>
      <c r="P149" s="66"/>
    </row>
    <row r="150" spans="1:16" ht="18" customHeight="1">
      <c r="A150" s="74" t="s">
        <v>172</v>
      </c>
      <c r="B150" s="69" t="s">
        <v>173</v>
      </c>
      <c r="F150" s="78">
        <f t="shared" ref="F150:K150" si="26">F110</f>
        <v>552</v>
      </c>
      <c r="G150" s="78">
        <f t="shared" si="26"/>
        <v>0</v>
      </c>
      <c r="H150" s="79">
        <f t="shared" si="26"/>
        <v>12122</v>
      </c>
      <c r="I150" s="81">
        <f t="shared" si="26"/>
        <v>6911.9644000000008</v>
      </c>
      <c r="J150" s="81">
        <f t="shared" si="26"/>
        <v>0</v>
      </c>
      <c r="K150" s="81">
        <f t="shared" si="26"/>
        <v>19033.964400000001</v>
      </c>
      <c r="M150" s="66"/>
      <c r="N150" s="66"/>
      <c r="O150" s="66"/>
      <c r="P150" s="66"/>
    </row>
    <row r="151" spans="1:16" ht="18" customHeight="1">
      <c r="A151" s="74" t="s">
        <v>174</v>
      </c>
      <c r="B151" s="69" t="s">
        <v>175</v>
      </c>
      <c r="F151" s="116" t="s">
        <v>176</v>
      </c>
      <c r="G151" s="116" t="s">
        <v>176</v>
      </c>
      <c r="H151" s="117" t="s">
        <v>176</v>
      </c>
      <c r="I151" s="117" t="s">
        <v>176</v>
      </c>
      <c r="J151" s="117" t="s">
        <v>176</v>
      </c>
      <c r="K151" s="115">
        <f>F113</f>
        <v>4830000</v>
      </c>
      <c r="M151" s="66"/>
      <c r="N151" s="66"/>
      <c r="O151" s="66"/>
      <c r="P151" s="66"/>
    </row>
    <row r="152" spans="1:16" ht="18" customHeight="1">
      <c r="A152" s="74" t="s">
        <v>147</v>
      </c>
      <c r="B152" s="69" t="s">
        <v>177</v>
      </c>
      <c r="F152" s="78">
        <f t="shared" ref="F152:K152" si="27">F140</f>
        <v>0</v>
      </c>
      <c r="G152" s="78">
        <f t="shared" si="27"/>
        <v>0</v>
      </c>
      <c r="H152" s="79">
        <f t="shared" si="27"/>
        <v>0</v>
      </c>
      <c r="I152" s="81">
        <f t="shared" si="27"/>
        <v>0</v>
      </c>
      <c r="J152" s="81">
        <f t="shared" si="27"/>
        <v>0</v>
      </c>
      <c r="K152" s="81">
        <f t="shared" si="27"/>
        <v>0</v>
      </c>
      <c r="M152" s="66"/>
      <c r="N152" s="66"/>
      <c r="O152" s="66"/>
      <c r="P152" s="66"/>
    </row>
    <row r="153" spans="1:16" ht="18" customHeight="1">
      <c r="B153" s="69"/>
      <c r="F153" s="118"/>
      <c r="G153" s="118"/>
      <c r="H153" s="119"/>
      <c r="I153" s="119"/>
      <c r="J153" s="119"/>
      <c r="K153" s="119"/>
      <c r="M153" s="66"/>
      <c r="N153" s="66"/>
      <c r="O153" s="66"/>
      <c r="P153" s="66"/>
    </row>
    <row r="154" spans="1:16" ht="18" customHeight="1">
      <c r="A154" s="71"/>
      <c r="B154" s="69" t="s">
        <v>159</v>
      </c>
      <c r="F154" s="120">
        <f t="shared" ref="F154:K154" si="28">SUM(F144:F152)</f>
        <v>60867</v>
      </c>
      <c r="G154" s="121">
        <f t="shared" si="28"/>
        <v>52052</v>
      </c>
      <c r="H154" s="122">
        <f t="shared" si="28"/>
        <v>4958144</v>
      </c>
      <c r="I154" s="122">
        <f t="shared" si="28"/>
        <v>2827133.7088000001</v>
      </c>
      <c r="J154" s="122">
        <f t="shared" si="28"/>
        <v>600</v>
      </c>
      <c r="K154" s="123">
        <f t="shared" si="28"/>
        <v>12614677.708799999</v>
      </c>
    </row>
    <row r="155" spans="1:16" ht="18" customHeight="1">
      <c r="M155" s="66"/>
      <c r="N155" s="66"/>
      <c r="O155" s="66"/>
      <c r="P155" s="66"/>
    </row>
    <row r="156" spans="1:16" ht="18" customHeight="1">
      <c r="A156" s="66"/>
      <c r="B156" s="69" t="s">
        <v>178</v>
      </c>
      <c r="F156" s="124">
        <f>K154/F123</f>
        <v>6.8591208295316758E-2</v>
      </c>
      <c r="M156" s="66"/>
      <c r="N156" s="66"/>
      <c r="O156" s="66"/>
      <c r="P156" s="66"/>
    </row>
    <row r="157" spans="1:16" ht="18" customHeight="1">
      <c r="A157" s="66"/>
      <c r="B157" s="69" t="s">
        <v>179</v>
      </c>
      <c r="F157" s="124">
        <f>K154/F129</f>
        <v>-9.2482974404692069</v>
      </c>
      <c r="G157" s="75"/>
      <c r="M157" s="66"/>
      <c r="N157" s="66"/>
      <c r="O157" s="66"/>
      <c r="P157" s="66"/>
    </row>
    <row r="158" spans="1:16" ht="18" customHeight="1">
      <c r="A158" s="66"/>
      <c r="G158" s="75"/>
    </row>
  </sheetData>
  <sheetProtection password="EF72" sheet="1" objects="1" scenarios="1"/>
  <mergeCells count="6">
    <mergeCell ref="C10:I10"/>
    <mergeCell ref="C11:I11"/>
    <mergeCell ref="C5:I5"/>
    <mergeCell ref="C6:I6"/>
    <mergeCell ref="C7:I7"/>
    <mergeCell ref="C9:I9"/>
  </mergeCells>
  <hyperlinks>
    <hyperlink ref="C11" r:id="rId1"/>
  </hyperlinks>
  <pageMargins left="0" right="0" top="0.75" bottom="0.75" header="0.5" footer="0.5"/>
  <pageSetup scale="65" orientation="landscape" r:id="rId2"/>
  <headerFooter alignWithMargins="0"/>
  <rowBreaks count="4" manualBreakCount="4">
    <brk id="35" max="10" man="1"/>
    <brk id="64" max="10" man="1"/>
    <brk id="100" max="10" man="1"/>
    <brk id="130" max="10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430</v>
      </c>
      <c r="D5" s="363"/>
      <c r="E5" s="363"/>
      <c r="F5" s="363"/>
      <c r="G5" s="364"/>
    </row>
    <row r="6" spans="1:11" ht="18" customHeight="1">
      <c r="B6" s="6" t="s">
        <v>4</v>
      </c>
      <c r="C6" s="365">
        <v>210045</v>
      </c>
      <c r="D6" s="366"/>
      <c r="E6" s="366"/>
      <c r="F6" s="366"/>
      <c r="G6" s="367"/>
    </row>
    <row r="7" spans="1:11" ht="18" customHeight="1">
      <c r="B7" s="6" t="s">
        <v>5</v>
      </c>
      <c r="C7" s="368">
        <v>300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429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428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427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1416.3</v>
      </c>
      <c r="G18" s="11">
        <v>1283</v>
      </c>
      <c r="H18" s="12">
        <v>54285.56</v>
      </c>
      <c r="I18" s="13">
        <f t="shared" ref="I18:I32" si="0">H18*F$116</f>
        <v>30483.250979660006</v>
      </c>
      <c r="J18" s="12">
        <v>0</v>
      </c>
      <c r="K18" s="14">
        <f t="shared" ref="K18:K32" si="1">(H18+I18)-J18</f>
        <v>84768.810979660004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>
        <v>651.32000000000005</v>
      </c>
      <c r="G20" s="11">
        <v>570</v>
      </c>
      <c r="H20" s="12">
        <v>11540.21</v>
      </c>
      <c r="I20" s="13">
        <f t="shared" si="0"/>
        <v>6480.2337451797903</v>
      </c>
      <c r="J20" s="12">
        <v>5967.52</v>
      </c>
      <c r="K20" s="14">
        <f t="shared" si="1"/>
        <v>12052.923745179789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>
        <v>63</v>
      </c>
      <c r="G23" s="11">
        <v>359</v>
      </c>
      <c r="H23" s="12">
        <v>6011.69</v>
      </c>
      <c r="I23" s="13">
        <f t="shared" si="0"/>
        <v>3375.7753458177876</v>
      </c>
      <c r="J23" s="12">
        <v>1795</v>
      </c>
      <c r="K23" s="14">
        <f t="shared" si="1"/>
        <v>7592.4653458177872</v>
      </c>
    </row>
    <row r="24" spans="1:11" ht="18" customHeight="1">
      <c r="A24" s="6"/>
      <c r="B24" s="2" t="s">
        <v>29</v>
      </c>
      <c r="F24" s="11">
        <v>1958.1</v>
      </c>
      <c r="G24" s="11">
        <v>43</v>
      </c>
      <c r="H24" s="12">
        <v>76118.259999999995</v>
      </c>
      <c r="I24" s="13">
        <f t="shared" si="0"/>
        <v>42743.079811924479</v>
      </c>
      <c r="J24" s="12">
        <v>84000</v>
      </c>
      <c r="K24" s="14">
        <f t="shared" si="1"/>
        <v>34861.339811924467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1128.9000000000001</v>
      </c>
      <c r="G26" s="11">
        <v>1756</v>
      </c>
      <c r="H26" s="12">
        <v>18208.54</v>
      </c>
      <c r="I26" s="13">
        <f t="shared" si="0"/>
        <v>10224.735542806935</v>
      </c>
      <c r="J26" s="12">
        <v>0</v>
      </c>
      <c r="K26" s="14">
        <f t="shared" si="1"/>
        <v>28433.275542806936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5217.62</v>
      </c>
      <c r="G34" s="19">
        <f t="shared" si="2"/>
        <v>4011</v>
      </c>
      <c r="H34" s="14">
        <f t="shared" si="2"/>
        <v>166164.25999999998</v>
      </c>
      <c r="I34" s="14">
        <f t="shared" si="2"/>
        <v>93307.075425389019</v>
      </c>
      <c r="J34" s="14">
        <f t="shared" si="2"/>
        <v>91762.52</v>
      </c>
      <c r="K34" s="14">
        <f t="shared" si="2"/>
        <v>167708.81542538898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1</v>
      </c>
      <c r="H39" s="12">
        <v>1000</v>
      </c>
      <c r="I39" s="13">
        <v>0</v>
      </c>
      <c r="J39" s="12">
        <v>0</v>
      </c>
      <c r="K39" s="14">
        <f t="shared" si="3"/>
        <v>1000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270</v>
      </c>
      <c r="G41" s="11">
        <v>3</v>
      </c>
      <c r="H41" s="12">
        <v>6383.58</v>
      </c>
      <c r="I41" s="13">
        <v>0</v>
      </c>
      <c r="J41" s="12">
        <v>0</v>
      </c>
      <c r="K41" s="14">
        <f t="shared" si="3"/>
        <v>6383.58</v>
      </c>
    </row>
    <row r="42" spans="1:11" ht="18" customHeight="1">
      <c r="A42" s="6" t="s">
        <v>52</v>
      </c>
      <c r="B42" s="63" t="s">
        <v>53</v>
      </c>
      <c r="F42" s="11">
        <v>374.25</v>
      </c>
      <c r="G42" s="11">
        <v>42</v>
      </c>
      <c r="H42" s="12">
        <v>41843.39</v>
      </c>
      <c r="I42" s="13">
        <v>0</v>
      </c>
      <c r="J42" s="12">
        <v>0</v>
      </c>
      <c r="K42" s="14">
        <f t="shared" si="3"/>
        <v>41843.39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644.25</v>
      </c>
      <c r="G48" s="25">
        <f t="shared" si="4"/>
        <v>46</v>
      </c>
      <c r="H48" s="14">
        <f t="shared" si="4"/>
        <v>49226.97</v>
      </c>
      <c r="I48" s="14">
        <f t="shared" si="4"/>
        <v>0</v>
      </c>
      <c r="J48" s="14">
        <f t="shared" si="4"/>
        <v>0</v>
      </c>
      <c r="K48" s="14">
        <f t="shared" si="4"/>
        <v>49226.97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426</v>
      </c>
      <c r="C52" s="385"/>
      <c r="D52" s="359"/>
      <c r="F52" s="11">
        <v>248.6</v>
      </c>
      <c r="G52" s="11">
        <v>1494</v>
      </c>
      <c r="H52" s="12">
        <v>9390.85</v>
      </c>
      <c r="I52" s="13">
        <v>0</v>
      </c>
      <c r="J52" s="12">
        <v>0</v>
      </c>
      <c r="K52" s="14">
        <f t="shared" ref="K52:K61" si="5">(H52+I52)-J52</f>
        <v>9390.85</v>
      </c>
    </row>
    <row r="53" spans="1:11" ht="18" customHeight="1">
      <c r="A53" s="6" t="s">
        <v>63</v>
      </c>
      <c r="B53" s="27" t="s">
        <v>425</v>
      </c>
      <c r="C53" s="28"/>
      <c r="D53" s="29"/>
      <c r="F53" s="11">
        <v>1609.5</v>
      </c>
      <c r="G53" s="11">
        <v>797</v>
      </c>
      <c r="H53" s="12">
        <v>68585.81</v>
      </c>
      <c r="I53" s="13">
        <v>1280.23</v>
      </c>
      <c r="J53" s="12">
        <v>61857</v>
      </c>
      <c r="K53" s="14">
        <f t="shared" si="5"/>
        <v>8009.0399999999936</v>
      </c>
    </row>
    <row r="54" spans="1:11" ht="18" customHeight="1">
      <c r="A54" s="6" t="s">
        <v>65</v>
      </c>
      <c r="B54" s="381" t="s">
        <v>424</v>
      </c>
      <c r="C54" s="358"/>
      <c r="D54" s="359"/>
      <c r="F54" s="11">
        <v>2017.3</v>
      </c>
      <c r="G54" s="11">
        <v>156</v>
      </c>
      <c r="H54" s="12">
        <v>42207.09</v>
      </c>
      <c r="I54" s="13">
        <v>396.49</v>
      </c>
      <c r="J54" s="12">
        <v>33617.769999999997</v>
      </c>
      <c r="K54" s="14">
        <f t="shared" si="5"/>
        <v>8985.8099999999977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3875.3999999999996</v>
      </c>
      <c r="G63" s="19">
        <f t="shared" si="6"/>
        <v>2447</v>
      </c>
      <c r="H63" s="14">
        <f t="shared" si="6"/>
        <v>120183.75</v>
      </c>
      <c r="I63" s="14">
        <f t="shared" si="6"/>
        <v>1676.72</v>
      </c>
      <c r="J63" s="14">
        <f t="shared" si="6"/>
        <v>95474.76999999999</v>
      </c>
      <c r="K63" s="14">
        <f t="shared" si="6"/>
        <v>26385.69999999999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0</v>
      </c>
      <c r="G79" s="11">
        <v>0</v>
      </c>
      <c r="H79" s="12">
        <v>4178.5</v>
      </c>
      <c r="I79" s="13">
        <v>0</v>
      </c>
      <c r="J79" s="12">
        <v>0</v>
      </c>
      <c r="K79" s="14">
        <f>(H79+I79)-J79</f>
        <v>4178.5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4178.5</v>
      </c>
      <c r="I82" s="45">
        <f t="shared" si="9"/>
        <v>0</v>
      </c>
      <c r="J82" s="45">
        <f t="shared" si="9"/>
        <v>0</v>
      </c>
      <c r="K82" s="45">
        <f t="shared" si="9"/>
        <v>4178.5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400</v>
      </c>
      <c r="G88" s="11">
        <v>0</v>
      </c>
      <c r="H88" s="12">
        <v>14319.6</v>
      </c>
      <c r="I88" s="13">
        <f t="shared" si="10"/>
        <v>8040.9589719317528</v>
      </c>
      <c r="J88" s="12">
        <v>0</v>
      </c>
      <c r="K88" s="14">
        <f t="shared" si="11"/>
        <v>22360.558971931754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10</v>
      </c>
      <c r="G93" s="11">
        <v>1105</v>
      </c>
      <c r="H93" s="12">
        <v>459.34</v>
      </c>
      <c r="I93" s="13">
        <f t="shared" si="10"/>
        <v>257.93556343523079</v>
      </c>
      <c r="J93" s="12">
        <v>0</v>
      </c>
      <c r="K93" s="14">
        <f t="shared" si="11"/>
        <v>717.27556343523077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410</v>
      </c>
      <c r="G99" s="19">
        <f t="shared" si="12"/>
        <v>1105</v>
      </c>
      <c r="H99" s="19">
        <f t="shared" si="12"/>
        <v>14778.94</v>
      </c>
      <c r="I99" s="19">
        <f t="shared" si="12"/>
        <v>8298.8945353669842</v>
      </c>
      <c r="J99" s="19">
        <f t="shared" si="12"/>
        <v>0</v>
      </c>
      <c r="K99" s="19">
        <f t="shared" si="12"/>
        <v>23077.834535366987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>
        <v>35</v>
      </c>
      <c r="G104" s="11">
        <v>0</v>
      </c>
      <c r="H104" s="12">
        <v>1109.31</v>
      </c>
      <c r="I104" s="13">
        <f t="shared" si="13"/>
        <v>622.91657568323217</v>
      </c>
      <c r="J104" s="12">
        <v>0</v>
      </c>
      <c r="K104" s="14">
        <f t="shared" si="14"/>
        <v>1732.2265756832321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35</v>
      </c>
      <c r="G110" s="19">
        <f t="shared" si="15"/>
        <v>0</v>
      </c>
      <c r="H110" s="14">
        <f t="shared" si="15"/>
        <v>1109.31</v>
      </c>
      <c r="I110" s="14">
        <f t="shared" si="15"/>
        <v>622.91657568323217</v>
      </c>
      <c r="J110" s="14">
        <f t="shared" si="15"/>
        <v>0</v>
      </c>
      <c r="K110" s="14">
        <f t="shared" si="15"/>
        <v>1732.2265756832321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968729.58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0.56153516662000003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16077028</v>
      </c>
    </row>
    <row r="120" spans="1:6" ht="18" customHeight="1">
      <c r="B120" s="2" t="s">
        <v>137</v>
      </c>
      <c r="F120" s="12">
        <v>58299</v>
      </c>
    </row>
    <row r="121" spans="1:6" ht="18" customHeight="1">
      <c r="A121" s="6"/>
      <c r="B121" s="5" t="s">
        <v>138</v>
      </c>
      <c r="F121" s="12">
        <f>F119+F120</f>
        <v>16135327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14619162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1516165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202998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1719163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5217.62</v>
      </c>
      <c r="G144" s="54">
        <f t="shared" si="18"/>
        <v>4011</v>
      </c>
      <c r="H144" s="54">
        <f t="shared" si="18"/>
        <v>166164.25999999998</v>
      </c>
      <c r="I144" s="54">
        <f t="shared" si="18"/>
        <v>93307.075425389019</v>
      </c>
      <c r="J144" s="54">
        <f t="shared" si="18"/>
        <v>91762.52</v>
      </c>
      <c r="K144" s="54">
        <f t="shared" si="18"/>
        <v>167708.81542538898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644.25</v>
      </c>
      <c r="G145" s="54">
        <f t="shared" si="19"/>
        <v>46</v>
      </c>
      <c r="H145" s="54">
        <f t="shared" si="19"/>
        <v>49226.97</v>
      </c>
      <c r="I145" s="54">
        <f t="shared" si="19"/>
        <v>0</v>
      </c>
      <c r="J145" s="54">
        <f t="shared" si="19"/>
        <v>0</v>
      </c>
      <c r="K145" s="54">
        <f t="shared" si="19"/>
        <v>49226.97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3875.3999999999996</v>
      </c>
      <c r="G146" s="54">
        <f t="shared" si="20"/>
        <v>2447</v>
      </c>
      <c r="H146" s="54">
        <f t="shared" si="20"/>
        <v>120183.75</v>
      </c>
      <c r="I146" s="54">
        <f t="shared" si="20"/>
        <v>1676.72</v>
      </c>
      <c r="J146" s="54">
        <f t="shared" si="20"/>
        <v>95474.76999999999</v>
      </c>
      <c r="K146" s="54">
        <f t="shared" si="20"/>
        <v>26385.69999999999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4178.5</v>
      </c>
      <c r="I148" s="54">
        <f t="shared" si="22"/>
        <v>0</v>
      </c>
      <c r="J148" s="54">
        <f t="shared" si="22"/>
        <v>0</v>
      </c>
      <c r="K148" s="54">
        <f t="shared" si="22"/>
        <v>4178.5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410</v>
      </c>
      <c r="G149" s="54">
        <f t="shared" si="23"/>
        <v>1105</v>
      </c>
      <c r="H149" s="54">
        <f t="shared" si="23"/>
        <v>14778.94</v>
      </c>
      <c r="I149" s="54">
        <f t="shared" si="23"/>
        <v>8298.8945353669842</v>
      </c>
      <c r="J149" s="54">
        <f t="shared" si="23"/>
        <v>0</v>
      </c>
      <c r="K149" s="54">
        <f t="shared" si="23"/>
        <v>23077.834535366987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35</v>
      </c>
      <c r="G150" s="19">
        <f t="shared" si="24"/>
        <v>0</v>
      </c>
      <c r="H150" s="19">
        <f t="shared" si="24"/>
        <v>1109.31</v>
      </c>
      <c r="I150" s="19">
        <f t="shared" si="24"/>
        <v>622.91657568323217</v>
      </c>
      <c r="J150" s="19">
        <f t="shared" si="24"/>
        <v>0</v>
      </c>
      <c r="K150" s="19">
        <f t="shared" si="24"/>
        <v>1732.2265756832321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968729.58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10182.27</v>
      </c>
      <c r="G154" s="60">
        <f t="shared" si="26"/>
        <v>7609</v>
      </c>
      <c r="H154" s="60">
        <f t="shared" si="26"/>
        <v>355641.73</v>
      </c>
      <c r="I154" s="60">
        <f t="shared" si="26"/>
        <v>103905.60653643924</v>
      </c>
      <c r="J154" s="60">
        <f t="shared" si="26"/>
        <v>187237.28999999998</v>
      </c>
      <c r="K154" s="61">
        <f t="shared" si="26"/>
        <v>1241039.6265364392</v>
      </c>
    </row>
    <row r="156" spans="1:11" ht="18" customHeight="1">
      <c r="B156" s="5" t="s">
        <v>178</v>
      </c>
      <c r="F156" s="233">
        <f>K154/F123</f>
        <v>8.489129722595859E-2</v>
      </c>
    </row>
    <row r="157" spans="1:11" ht="18" customHeight="1">
      <c r="B157" s="5" t="s">
        <v>179</v>
      </c>
      <c r="F157" s="233">
        <f>K154/F129</f>
        <v>0.72188595644301279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rintOptions horizontalCentered="1"/>
  <pageMargins left="0.17" right="0.16" top="0.35" bottom="0.32" header="0.17" footer="0.17"/>
  <pageSetup scale="58" fitToHeight="7" orientation="landscape" r:id="rId1"/>
  <headerFooter alignWithMargins="0">
    <oddFooter>&amp;L&amp;Z&amp;F.xls&amp;C&amp;P of &amp;N&amp;R&amp;D</oddFooter>
  </headerFooter>
  <rowBreaks count="3" manualBreakCount="3">
    <brk id="48" max="10" man="1"/>
    <brk id="83" max="10" man="1"/>
    <brk id="130" max="10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62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485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484</v>
      </c>
      <c r="D6" s="366"/>
      <c r="E6" s="366"/>
      <c r="F6" s="366"/>
      <c r="G6" s="367"/>
    </row>
    <row r="7" spans="1:11" ht="18" customHeight="1">
      <c r="B7" s="6" t="s">
        <v>5</v>
      </c>
      <c r="C7" s="368">
        <v>3304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483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482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481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37147</v>
      </c>
      <c r="G18" s="11">
        <v>4193</v>
      </c>
      <c r="H18" s="12">
        <v>1445603</v>
      </c>
      <c r="I18" s="13">
        <f t="shared" ref="I18:I32" si="0">H18*F$116</f>
        <v>934004.09829999995</v>
      </c>
      <c r="J18" s="12">
        <v>271964</v>
      </c>
      <c r="K18" s="14">
        <f t="shared" ref="K18:K32" si="1">(H18+I18)-J18</f>
        <v>2107643.0982999997</v>
      </c>
    </row>
    <row r="19" spans="1:11" ht="18" customHeight="1">
      <c r="A19" s="6"/>
      <c r="B19" s="2" t="s">
        <v>23</v>
      </c>
      <c r="F19" s="11">
        <v>1002</v>
      </c>
      <c r="G19" s="11">
        <v>1137</v>
      </c>
      <c r="H19" s="12">
        <v>36583</v>
      </c>
      <c r="I19" s="13">
        <f t="shared" si="0"/>
        <v>23636.276300000001</v>
      </c>
      <c r="J19" s="12"/>
      <c r="K19" s="14">
        <f t="shared" si="1"/>
        <v>60219.276299999998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14171</v>
      </c>
      <c r="G21" s="11">
        <v>325</v>
      </c>
      <c r="H21" s="12">
        <v>1315818</v>
      </c>
      <c r="I21" s="13">
        <f t="shared" si="0"/>
        <v>850150.0098</v>
      </c>
      <c r="J21" s="12"/>
      <c r="K21" s="14">
        <f t="shared" si="1"/>
        <v>2165968.0098000001</v>
      </c>
    </row>
    <row r="22" spans="1:11" ht="18" customHeight="1">
      <c r="A22" s="6"/>
      <c r="B22" s="2" t="s">
        <v>27</v>
      </c>
      <c r="F22" s="11">
        <v>1539</v>
      </c>
      <c r="G22" s="11">
        <v>1352</v>
      </c>
      <c r="H22" s="12">
        <v>90288</v>
      </c>
      <c r="I22" s="13">
        <f t="shared" si="0"/>
        <v>58335.076800000003</v>
      </c>
      <c r="J22" s="12"/>
      <c r="K22" s="14">
        <f t="shared" si="1"/>
        <v>148623.07680000001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>
        <v>916685</v>
      </c>
      <c r="I26" s="13">
        <f t="shared" si="0"/>
        <v>592270.17850000004</v>
      </c>
      <c r="J26" s="12"/>
      <c r="K26" s="14">
        <f t="shared" si="1"/>
        <v>1508955.1784999999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480</v>
      </c>
      <c r="C28" s="379"/>
      <c r="D28" s="380"/>
      <c r="F28" s="11">
        <v>100</v>
      </c>
      <c r="G28" s="11"/>
      <c r="H28" s="12">
        <v>131800</v>
      </c>
      <c r="I28" s="13">
        <f t="shared" si="0"/>
        <v>85155.98</v>
      </c>
      <c r="J28" s="12"/>
      <c r="K28" s="14">
        <f t="shared" si="1"/>
        <v>216955.97999999998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53959</v>
      </c>
      <c r="G34" s="19">
        <f t="shared" si="2"/>
        <v>7007</v>
      </c>
      <c r="H34" s="14">
        <f t="shared" si="2"/>
        <v>3936777</v>
      </c>
      <c r="I34" s="14">
        <f t="shared" si="2"/>
        <v>2543551.6196999997</v>
      </c>
      <c r="J34" s="14">
        <f t="shared" si="2"/>
        <v>271964</v>
      </c>
      <c r="K34" s="14">
        <f t="shared" si="2"/>
        <v>6208364.6196999997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52926</v>
      </c>
      <c r="G38" s="11">
        <v>7020</v>
      </c>
      <c r="H38" s="12">
        <v>7658802</v>
      </c>
      <c r="I38" s="13">
        <f t="shared" ref="I38:I46" si="3">H38*F$116</f>
        <v>4948351.9721999997</v>
      </c>
      <c r="J38" s="12"/>
      <c r="K38" s="14">
        <f t="shared" ref="K38:K46" si="4">(H38+I38)-J38</f>
        <v>12607153.972199999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f t="shared" si="3"/>
        <v>0</v>
      </c>
      <c r="J39" s="12"/>
      <c r="K39" s="14">
        <f t="shared" si="4"/>
        <v>0</v>
      </c>
    </row>
    <row r="40" spans="1:11" ht="18" customHeight="1">
      <c r="A40" s="6" t="s">
        <v>48</v>
      </c>
      <c r="B40" s="63" t="s">
        <v>49</v>
      </c>
      <c r="F40" s="11">
        <v>624</v>
      </c>
      <c r="G40" s="11">
        <v>4680</v>
      </c>
      <c r="H40" s="12">
        <v>60730</v>
      </c>
      <c r="I40" s="13">
        <f t="shared" si="3"/>
        <v>39237.652999999998</v>
      </c>
      <c r="J40" s="12"/>
      <c r="K40" s="14">
        <f t="shared" si="4"/>
        <v>99967.652999999991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f t="shared" si="3"/>
        <v>0</v>
      </c>
      <c r="J41" s="12"/>
      <c r="K41" s="14">
        <f t="shared" si="4"/>
        <v>0</v>
      </c>
    </row>
    <row r="42" spans="1:11" ht="18" customHeight="1">
      <c r="A42" s="6" t="s">
        <v>52</v>
      </c>
      <c r="B42" s="63" t="s">
        <v>53</v>
      </c>
      <c r="F42" s="11">
        <v>3320</v>
      </c>
      <c r="G42" s="11">
        <v>3936</v>
      </c>
      <c r="H42" s="12">
        <v>196208</v>
      </c>
      <c r="I42" s="13">
        <f t="shared" si="3"/>
        <v>126769.98880000001</v>
      </c>
      <c r="J42" s="12"/>
      <c r="K42" s="14">
        <f t="shared" si="4"/>
        <v>322977.98879999999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f t="shared" si="3"/>
        <v>0</v>
      </c>
      <c r="J43" s="12"/>
      <c r="K43" s="14">
        <f t="shared" si="4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f t="shared" si="3"/>
        <v>0</v>
      </c>
      <c r="J44" s="12"/>
      <c r="K44" s="14">
        <f t="shared" si="4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f t="shared" si="3"/>
        <v>0</v>
      </c>
      <c r="J45" s="12"/>
      <c r="K45" s="14">
        <f t="shared" si="4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f t="shared" si="3"/>
        <v>0</v>
      </c>
      <c r="J46" s="12"/>
      <c r="K46" s="14">
        <f t="shared" si="4"/>
        <v>0</v>
      </c>
    </row>
    <row r="48" spans="1:11" ht="18" customHeight="1">
      <c r="E48" s="5" t="s">
        <v>41</v>
      </c>
      <c r="F48" s="25">
        <f t="shared" ref="F48:K48" si="5">SUM(F38:F46)</f>
        <v>56870</v>
      </c>
      <c r="G48" s="25">
        <f t="shared" si="5"/>
        <v>15636</v>
      </c>
      <c r="H48" s="14">
        <f t="shared" si="5"/>
        <v>7915740</v>
      </c>
      <c r="I48" s="14">
        <f t="shared" si="5"/>
        <v>5114359.6140000001</v>
      </c>
      <c r="J48" s="14">
        <f t="shared" si="5"/>
        <v>0</v>
      </c>
      <c r="K48" s="14">
        <f t="shared" si="5"/>
        <v>13030099.614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479</v>
      </c>
      <c r="C52" s="385"/>
      <c r="D52" s="359"/>
      <c r="F52" s="11">
        <v>17142</v>
      </c>
      <c r="G52" s="11">
        <v>60529</v>
      </c>
      <c r="H52" s="12">
        <v>2132934</v>
      </c>
      <c r="I52" s="13">
        <f>H52*F$116</f>
        <v>1378088.6573999999</v>
      </c>
      <c r="J52" s="12"/>
      <c r="K52" s="14">
        <f t="shared" ref="K52:K61" si="6">(H52+I52)-J52</f>
        <v>3511022.6573999999</v>
      </c>
    </row>
    <row r="53" spans="1:11" ht="18" customHeight="1">
      <c r="A53" s="6" t="s">
        <v>63</v>
      </c>
      <c r="B53" s="27" t="s">
        <v>478</v>
      </c>
      <c r="C53" s="28"/>
      <c r="D53" s="29"/>
      <c r="F53" s="11">
        <v>2536</v>
      </c>
      <c r="G53" s="11">
        <v>847</v>
      </c>
      <c r="H53" s="12">
        <v>1593598</v>
      </c>
      <c r="I53" s="13">
        <v>0</v>
      </c>
      <c r="J53" s="12"/>
      <c r="K53" s="14">
        <f t="shared" si="6"/>
        <v>1593598</v>
      </c>
    </row>
    <row r="54" spans="1:11" ht="18" customHeight="1">
      <c r="A54" s="6" t="s">
        <v>65</v>
      </c>
      <c r="B54" s="381" t="s">
        <v>477</v>
      </c>
      <c r="C54" s="358"/>
      <c r="D54" s="359"/>
      <c r="F54" s="11">
        <v>6878</v>
      </c>
      <c r="G54" s="11">
        <v>10239</v>
      </c>
      <c r="H54" s="12">
        <v>756686</v>
      </c>
      <c r="I54" s="13">
        <f>H54*F$116</f>
        <v>488894.82459999999</v>
      </c>
      <c r="J54" s="12"/>
      <c r="K54" s="14">
        <f t="shared" si="6"/>
        <v>1245580.8245999999</v>
      </c>
    </row>
    <row r="55" spans="1:11" ht="18" customHeight="1">
      <c r="A55" s="6" t="s">
        <v>67</v>
      </c>
      <c r="B55" s="381" t="s">
        <v>476</v>
      </c>
      <c r="C55" s="358"/>
      <c r="D55" s="359"/>
      <c r="F55" s="11">
        <v>2116</v>
      </c>
      <c r="G55" s="11">
        <v>243</v>
      </c>
      <c r="H55" s="12">
        <v>551749</v>
      </c>
      <c r="I55" s="13">
        <f>H55*F$116</f>
        <v>356485.02889999998</v>
      </c>
      <c r="J55" s="12">
        <v>889969</v>
      </c>
      <c r="K55" s="14">
        <f t="shared" si="6"/>
        <v>18265.028900000034</v>
      </c>
    </row>
    <row r="56" spans="1:11" ht="18" customHeight="1">
      <c r="A56" s="6" t="s">
        <v>69</v>
      </c>
      <c r="B56" s="381" t="s">
        <v>475</v>
      </c>
      <c r="C56" s="358"/>
      <c r="D56" s="359"/>
      <c r="F56" s="11">
        <v>20227</v>
      </c>
      <c r="G56" s="11">
        <v>18013</v>
      </c>
      <c r="H56" s="12">
        <v>1033823</v>
      </c>
      <c r="I56" s="13">
        <f>H56*F$116</f>
        <v>667953.04029999999</v>
      </c>
      <c r="J56" s="12">
        <v>828593</v>
      </c>
      <c r="K56" s="14">
        <f t="shared" si="6"/>
        <v>873183.04029999999</v>
      </c>
    </row>
    <row r="57" spans="1:11" ht="18" customHeight="1">
      <c r="A57" s="6" t="s">
        <v>71</v>
      </c>
      <c r="B57" s="27" t="s">
        <v>474</v>
      </c>
      <c r="C57" s="28"/>
      <c r="D57" s="29"/>
      <c r="F57" s="11">
        <v>11790</v>
      </c>
      <c r="G57" s="11">
        <v>1168</v>
      </c>
      <c r="H57" s="12">
        <v>506116</v>
      </c>
      <c r="I57" s="13">
        <f>H57*F$116</f>
        <v>327001.54759999999</v>
      </c>
      <c r="J57" s="12">
        <v>214180</v>
      </c>
      <c r="K57" s="14">
        <f t="shared" si="6"/>
        <v>618937.54759999993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6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6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6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6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7">SUM(F52:F61)</f>
        <v>60689</v>
      </c>
      <c r="G63" s="19">
        <f t="shared" si="7"/>
        <v>91039</v>
      </c>
      <c r="H63" s="14">
        <f t="shared" si="7"/>
        <v>6574906</v>
      </c>
      <c r="I63" s="14">
        <f t="shared" si="7"/>
        <v>3218423.0987999998</v>
      </c>
      <c r="J63" s="14">
        <f t="shared" si="7"/>
        <v>1932742</v>
      </c>
      <c r="K63" s="14">
        <f t="shared" si="7"/>
        <v>7860587.0988000007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2083</v>
      </c>
      <c r="G67" s="34"/>
      <c r="H67" s="34">
        <v>324930</v>
      </c>
      <c r="I67" s="13">
        <f>H67*F$116</f>
        <v>209937.27300000002</v>
      </c>
      <c r="J67" s="34"/>
      <c r="K67" s="14">
        <f t="shared" ref="K67:K72" si="8">(H67+I67)-J67</f>
        <v>534867.27300000004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8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8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8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8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8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9">SUM(F67:F72)</f>
        <v>2083</v>
      </c>
      <c r="G74" s="43">
        <f t="shared" si="9"/>
        <v>0</v>
      </c>
      <c r="H74" s="43">
        <f t="shared" si="9"/>
        <v>324930</v>
      </c>
      <c r="I74" s="43">
        <f t="shared" si="9"/>
        <v>209937.27300000002</v>
      </c>
      <c r="J74" s="43">
        <f t="shared" si="9"/>
        <v>0</v>
      </c>
      <c r="K74" s="43">
        <f t="shared" si="9"/>
        <v>534867.27300000004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1236428</v>
      </c>
      <c r="I77" s="13"/>
      <c r="J77" s="12"/>
      <c r="K77" s="14">
        <f>(H77+I77)-J77</f>
        <v>1236428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1895</v>
      </c>
      <c r="G79" s="11">
        <v>457</v>
      </c>
      <c r="H79" s="12">
        <v>103044</v>
      </c>
      <c r="I79" s="13">
        <f>H79*F$116</f>
        <v>66576.728400000007</v>
      </c>
      <c r="J79" s="12"/>
      <c r="K79" s="14">
        <f>(H79+I79)-J79</f>
        <v>169620.72840000002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0">SUM(F77:F80)</f>
        <v>1895</v>
      </c>
      <c r="G82" s="44">
        <f t="shared" si="10"/>
        <v>457</v>
      </c>
      <c r="H82" s="45">
        <f t="shared" si="10"/>
        <v>1339472</v>
      </c>
      <c r="I82" s="45">
        <f t="shared" si="10"/>
        <v>66576.728400000007</v>
      </c>
      <c r="J82" s="45">
        <f t="shared" si="10"/>
        <v>0</v>
      </c>
      <c r="K82" s="45">
        <f t="shared" si="10"/>
        <v>1406048.7283999999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>
        <v>1174737</v>
      </c>
      <c r="I86" s="13"/>
      <c r="J86" s="12"/>
      <c r="K86" s="14">
        <f t="shared" ref="K86:K97" si="11">(H86+I86)-J86</f>
        <v>1174737</v>
      </c>
    </row>
    <row r="87" spans="1:11" ht="18" customHeight="1">
      <c r="A87" s="6" t="s">
        <v>102</v>
      </c>
      <c r="B87" s="63" t="s">
        <v>103</v>
      </c>
      <c r="F87" s="11">
        <v>15302</v>
      </c>
      <c r="G87" s="11">
        <v>348</v>
      </c>
      <c r="H87" s="12">
        <v>558874</v>
      </c>
      <c r="I87" s="13">
        <f t="shared" ref="I87:I92" si="12">H87*F$116</f>
        <v>361088.4914</v>
      </c>
      <c r="J87" s="12">
        <v>372159</v>
      </c>
      <c r="K87" s="14">
        <f t="shared" si="11"/>
        <v>547803.49139999994</v>
      </c>
    </row>
    <row r="88" spans="1:11" ht="18" customHeight="1">
      <c r="A88" s="6" t="s">
        <v>104</v>
      </c>
      <c r="B88" s="63" t="s">
        <v>105</v>
      </c>
      <c r="F88" s="11">
        <v>1358</v>
      </c>
      <c r="G88" s="11"/>
      <c r="H88" s="12">
        <v>83157</v>
      </c>
      <c r="I88" s="13">
        <f t="shared" si="12"/>
        <v>53727.737699999998</v>
      </c>
      <c r="J88" s="12"/>
      <c r="K88" s="14">
        <f t="shared" si="11"/>
        <v>136884.7377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2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1215</v>
      </c>
      <c r="G90" s="11"/>
      <c r="H90" s="12">
        <v>37665</v>
      </c>
      <c r="I90" s="13">
        <f t="shared" si="12"/>
        <v>24335.356500000002</v>
      </c>
      <c r="J90" s="12"/>
      <c r="K90" s="14">
        <f t="shared" si="11"/>
        <v>62000.356500000002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2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2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1469</v>
      </c>
      <c r="G93" s="11"/>
      <c r="H93" s="12">
        <v>207812</v>
      </c>
      <c r="I93" s="13">
        <v>0</v>
      </c>
      <c r="J93" s="12"/>
      <c r="K93" s="14">
        <f t="shared" si="11"/>
        <v>207812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>H94*F$116</f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>H95*F$116</f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>H96*F$116</f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>H97*F$116</f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3">SUM(F86:F97)</f>
        <v>19344</v>
      </c>
      <c r="G99" s="19">
        <f t="shared" si="13"/>
        <v>348</v>
      </c>
      <c r="H99" s="19">
        <f t="shared" si="13"/>
        <v>2062245</v>
      </c>
      <c r="I99" s="19">
        <f t="shared" si="13"/>
        <v>439151.58559999999</v>
      </c>
      <c r="J99" s="19">
        <f t="shared" si="13"/>
        <v>372159</v>
      </c>
      <c r="K99" s="19">
        <f t="shared" si="13"/>
        <v>2129237.5855999999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200</v>
      </c>
      <c r="G103" s="11"/>
      <c r="H103" s="12">
        <v>12152</v>
      </c>
      <c r="I103" s="13">
        <f t="shared" ref="I103:I108" si="14">H103*F$116</f>
        <v>7851.4071999999996</v>
      </c>
      <c r="J103" s="12"/>
      <c r="K103" s="14">
        <f t="shared" ref="K103:K108" si="15">(H103+I103)-J103</f>
        <v>20003.407200000001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4"/>
        <v>0</v>
      </c>
      <c r="J104" s="12"/>
      <c r="K104" s="14">
        <f t="shared" si="15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4"/>
        <v>0</v>
      </c>
      <c r="J105" s="12"/>
      <c r="K105" s="14">
        <f t="shared" si="15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4"/>
        <v>0</v>
      </c>
      <c r="J106" s="12"/>
      <c r="K106" s="14">
        <f t="shared" si="15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4"/>
        <v>0</v>
      </c>
      <c r="J107" s="12"/>
      <c r="K107" s="14">
        <f t="shared" si="15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4"/>
        <v>0</v>
      </c>
      <c r="J108" s="12"/>
      <c r="K108" s="14">
        <f t="shared" si="15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6">SUM(F103:F108)</f>
        <v>200</v>
      </c>
      <c r="G110" s="19">
        <f t="shared" si="16"/>
        <v>0</v>
      </c>
      <c r="H110" s="14">
        <f t="shared" si="16"/>
        <v>12152</v>
      </c>
      <c r="I110" s="14">
        <f t="shared" si="16"/>
        <v>7851.4071999999996</v>
      </c>
      <c r="J110" s="14">
        <f t="shared" si="16"/>
        <v>0</v>
      </c>
      <c r="K110" s="14">
        <f t="shared" si="16"/>
        <v>20003.407200000001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9829267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0.64610000000000001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360453000</v>
      </c>
    </row>
    <row r="120" spans="1:6" ht="18" customHeight="1">
      <c r="B120" s="2" t="s">
        <v>137</v>
      </c>
      <c r="F120" s="12">
        <v>15796000</v>
      </c>
    </row>
    <row r="121" spans="1:6" ht="18" customHeight="1">
      <c r="A121" s="6"/>
      <c r="B121" s="5" t="s">
        <v>138</v>
      </c>
      <c r="F121" s="12">
        <f>F119+F120</f>
        <v>376249000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344923000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31326000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-32655000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-1329000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7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7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7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7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7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7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8">SUM(F133:F138)</f>
        <v>0</v>
      </c>
      <c r="G140" s="19">
        <f t="shared" si="18"/>
        <v>0</v>
      </c>
      <c r="H140" s="14">
        <f t="shared" si="18"/>
        <v>0</v>
      </c>
      <c r="I140" s="14">
        <f t="shared" si="18"/>
        <v>0</v>
      </c>
      <c r="J140" s="14">
        <f t="shared" si="18"/>
        <v>0</v>
      </c>
      <c r="K140" s="14">
        <f t="shared" si="18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9">F34</f>
        <v>53959</v>
      </c>
      <c r="G144" s="54">
        <f t="shared" si="19"/>
        <v>7007</v>
      </c>
      <c r="H144" s="54">
        <f t="shared" si="19"/>
        <v>3936777</v>
      </c>
      <c r="I144" s="54">
        <f t="shared" si="19"/>
        <v>2543551.6196999997</v>
      </c>
      <c r="J144" s="54">
        <f t="shared" si="19"/>
        <v>271964</v>
      </c>
      <c r="K144" s="54">
        <f t="shared" si="19"/>
        <v>6208364.6196999997</v>
      </c>
    </row>
    <row r="145" spans="1:11" ht="18" customHeight="1">
      <c r="A145" s="6" t="s">
        <v>162</v>
      </c>
      <c r="B145" s="5" t="s">
        <v>163</v>
      </c>
      <c r="F145" s="54">
        <f t="shared" ref="F145:K145" si="20">F48</f>
        <v>56870</v>
      </c>
      <c r="G145" s="54">
        <f t="shared" si="20"/>
        <v>15636</v>
      </c>
      <c r="H145" s="54">
        <f t="shared" si="20"/>
        <v>7915740</v>
      </c>
      <c r="I145" s="54">
        <f t="shared" si="20"/>
        <v>5114359.6140000001</v>
      </c>
      <c r="J145" s="54">
        <f t="shared" si="20"/>
        <v>0</v>
      </c>
      <c r="K145" s="54">
        <f t="shared" si="20"/>
        <v>13030099.614</v>
      </c>
    </row>
    <row r="146" spans="1:11" ht="18" customHeight="1">
      <c r="A146" s="6" t="s">
        <v>164</v>
      </c>
      <c r="B146" s="5" t="s">
        <v>165</v>
      </c>
      <c r="F146" s="54">
        <f t="shared" ref="F146:K146" si="21">F63</f>
        <v>60689</v>
      </c>
      <c r="G146" s="54">
        <f t="shared" si="21"/>
        <v>91039</v>
      </c>
      <c r="H146" s="54">
        <f t="shared" si="21"/>
        <v>6574906</v>
      </c>
      <c r="I146" s="54">
        <f t="shared" si="21"/>
        <v>3218423.0987999998</v>
      </c>
      <c r="J146" s="54">
        <f t="shared" si="21"/>
        <v>1932742</v>
      </c>
      <c r="K146" s="54">
        <f t="shared" si="21"/>
        <v>7860587.0988000007</v>
      </c>
    </row>
    <row r="147" spans="1:11" ht="18" customHeight="1">
      <c r="A147" s="6" t="s">
        <v>166</v>
      </c>
      <c r="B147" s="5" t="s">
        <v>167</v>
      </c>
      <c r="F147" s="54">
        <f t="shared" ref="F147:K147" si="22">F74</f>
        <v>2083</v>
      </c>
      <c r="G147" s="54">
        <f t="shared" si="22"/>
        <v>0</v>
      </c>
      <c r="H147" s="54">
        <f t="shared" si="22"/>
        <v>324930</v>
      </c>
      <c r="I147" s="54">
        <f t="shared" si="22"/>
        <v>209937.27300000002</v>
      </c>
      <c r="J147" s="54">
        <f t="shared" si="22"/>
        <v>0</v>
      </c>
      <c r="K147" s="54">
        <f t="shared" si="22"/>
        <v>534867.27300000004</v>
      </c>
    </row>
    <row r="148" spans="1:11" ht="18" customHeight="1">
      <c r="A148" s="6" t="s">
        <v>168</v>
      </c>
      <c r="B148" s="5" t="s">
        <v>169</v>
      </c>
      <c r="F148" s="54">
        <f t="shared" ref="F148:K148" si="23">F82</f>
        <v>1895</v>
      </c>
      <c r="G148" s="54">
        <f t="shared" si="23"/>
        <v>457</v>
      </c>
      <c r="H148" s="54">
        <f t="shared" si="23"/>
        <v>1339472</v>
      </c>
      <c r="I148" s="54">
        <f t="shared" si="23"/>
        <v>66576.728400000007</v>
      </c>
      <c r="J148" s="54">
        <f t="shared" si="23"/>
        <v>0</v>
      </c>
      <c r="K148" s="54">
        <f t="shared" si="23"/>
        <v>1406048.7283999999</v>
      </c>
    </row>
    <row r="149" spans="1:11" ht="18" customHeight="1">
      <c r="A149" s="6" t="s">
        <v>170</v>
      </c>
      <c r="B149" s="5" t="s">
        <v>171</v>
      </c>
      <c r="F149" s="54">
        <f t="shared" ref="F149:K149" si="24">F99</f>
        <v>19344</v>
      </c>
      <c r="G149" s="54">
        <f t="shared" si="24"/>
        <v>348</v>
      </c>
      <c r="H149" s="54">
        <f t="shared" si="24"/>
        <v>2062245</v>
      </c>
      <c r="I149" s="54">
        <f t="shared" si="24"/>
        <v>439151.58559999999</v>
      </c>
      <c r="J149" s="54">
        <f t="shared" si="24"/>
        <v>372159</v>
      </c>
      <c r="K149" s="54">
        <f t="shared" si="24"/>
        <v>2129237.5855999999</v>
      </c>
    </row>
    <row r="150" spans="1:11" ht="18" customHeight="1">
      <c r="A150" s="6" t="s">
        <v>172</v>
      </c>
      <c r="B150" s="5" t="s">
        <v>173</v>
      </c>
      <c r="F150" s="19">
        <f t="shared" ref="F150:K150" si="25">F110</f>
        <v>200</v>
      </c>
      <c r="G150" s="19">
        <f t="shared" si="25"/>
        <v>0</v>
      </c>
      <c r="H150" s="19">
        <f t="shared" si="25"/>
        <v>12152</v>
      </c>
      <c r="I150" s="19">
        <f t="shared" si="25"/>
        <v>7851.4071999999996</v>
      </c>
      <c r="J150" s="19">
        <f t="shared" si="25"/>
        <v>0</v>
      </c>
      <c r="K150" s="19">
        <f t="shared" si="25"/>
        <v>20003.407200000001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9829267</v>
      </c>
    </row>
    <row r="152" spans="1:11" ht="18" customHeight="1">
      <c r="A152" s="6" t="s">
        <v>147</v>
      </c>
      <c r="B152" s="5" t="s">
        <v>177</v>
      </c>
      <c r="F152" s="19">
        <f t="shared" ref="F152:K152" si="26">F140</f>
        <v>0</v>
      </c>
      <c r="G152" s="19">
        <f t="shared" si="26"/>
        <v>0</v>
      </c>
      <c r="H152" s="19">
        <f t="shared" si="26"/>
        <v>0</v>
      </c>
      <c r="I152" s="19">
        <f t="shared" si="26"/>
        <v>0</v>
      </c>
      <c r="J152" s="19">
        <f t="shared" si="26"/>
        <v>0</v>
      </c>
      <c r="K152" s="19">
        <f t="shared" si="26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7">SUM(F144:F152)</f>
        <v>195040</v>
      </c>
      <c r="G154" s="60">
        <f t="shared" si="27"/>
        <v>114487</v>
      </c>
      <c r="H154" s="60">
        <f t="shared" si="27"/>
        <v>22166222</v>
      </c>
      <c r="I154" s="60">
        <f t="shared" si="27"/>
        <v>11599851.326699998</v>
      </c>
      <c r="J154" s="60">
        <f t="shared" si="27"/>
        <v>2576865</v>
      </c>
      <c r="K154" s="61">
        <f t="shared" si="27"/>
        <v>41018475.326700002</v>
      </c>
    </row>
    <row r="156" spans="1:11" ht="18" customHeight="1">
      <c r="B156" s="5" t="s">
        <v>178</v>
      </c>
      <c r="F156" s="233">
        <f>K154/F123</f>
        <v>0.11892067309718402</v>
      </c>
    </row>
    <row r="157" spans="1:11" ht="18" customHeight="1">
      <c r="B157" s="5" t="s">
        <v>179</v>
      </c>
      <c r="F157" s="233">
        <f>K154/F129</f>
        <v>-30.864165031376977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rintOptions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467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466</v>
      </c>
      <c r="D6" s="366"/>
      <c r="E6" s="366"/>
      <c r="F6" s="366"/>
      <c r="G6" s="367"/>
    </row>
    <row r="7" spans="1:11" ht="18" customHeight="1">
      <c r="B7" s="6" t="s">
        <v>5</v>
      </c>
      <c r="C7" s="368">
        <v>1340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440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439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438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2755</v>
      </c>
      <c r="G18" s="11">
        <v>11132</v>
      </c>
      <c r="H18" s="12">
        <v>220281</v>
      </c>
      <c r="I18" s="13">
        <v>136887</v>
      </c>
      <c r="J18" s="12">
        <v>56669</v>
      </c>
      <c r="K18" s="14">
        <f t="shared" ref="K18:K32" si="0">(H18+I18)-J18</f>
        <v>300499</v>
      </c>
    </row>
    <row r="19" spans="1:11" ht="18" customHeight="1">
      <c r="A19" s="6"/>
      <c r="B19" s="2" t="s">
        <v>23</v>
      </c>
      <c r="F19" s="11">
        <v>0</v>
      </c>
      <c r="G19" s="11">
        <v>0</v>
      </c>
      <c r="H19" s="12">
        <v>0</v>
      </c>
      <c r="I19" s="13">
        <v>0</v>
      </c>
      <c r="J19" s="12">
        <v>0</v>
      </c>
      <c r="K19" s="14">
        <f t="shared" si="0"/>
        <v>0</v>
      </c>
    </row>
    <row r="20" spans="1:11" ht="18" customHeight="1">
      <c r="A20" s="6"/>
      <c r="B20" s="2" t="s">
        <v>24</v>
      </c>
      <c r="F20" s="11">
        <v>0</v>
      </c>
      <c r="G20" s="11">
        <v>0</v>
      </c>
      <c r="H20" s="12">
        <v>0</v>
      </c>
      <c r="I20" s="13">
        <v>0</v>
      </c>
      <c r="J20" s="12">
        <v>0</v>
      </c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166</v>
      </c>
      <c r="G21" s="11">
        <v>200</v>
      </c>
      <c r="H21" s="12">
        <v>9003</v>
      </c>
      <c r="I21" s="13">
        <v>5760</v>
      </c>
      <c r="J21" s="12">
        <v>0</v>
      </c>
      <c r="K21" s="14">
        <f t="shared" si="0"/>
        <v>14763</v>
      </c>
    </row>
    <row r="22" spans="1:11" ht="18" customHeight="1">
      <c r="A22" s="6"/>
      <c r="B22" s="2" t="s">
        <v>27</v>
      </c>
      <c r="F22" s="11">
        <v>0</v>
      </c>
      <c r="G22" s="11">
        <v>0</v>
      </c>
      <c r="H22" s="12">
        <v>0</v>
      </c>
      <c r="I22" s="13">
        <v>0</v>
      </c>
      <c r="J22" s="12">
        <v>0</v>
      </c>
      <c r="K22" s="14">
        <f t="shared" si="0"/>
        <v>0</v>
      </c>
    </row>
    <row r="23" spans="1:11" ht="18" customHeight="1">
      <c r="A23" s="6"/>
      <c r="B23" s="2" t="s">
        <v>28</v>
      </c>
      <c r="F23" s="11">
        <v>0</v>
      </c>
      <c r="G23" s="11">
        <v>0</v>
      </c>
      <c r="H23" s="12">
        <v>0</v>
      </c>
      <c r="I23" s="13">
        <v>0</v>
      </c>
      <c r="J23" s="12">
        <v>0</v>
      </c>
      <c r="K23" s="14">
        <f t="shared" si="0"/>
        <v>0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v>0</v>
      </c>
      <c r="J24" s="12">
        <v>0</v>
      </c>
      <c r="K24" s="14">
        <f t="shared" si="0"/>
        <v>0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2">
        <v>0</v>
      </c>
      <c r="I25" s="13">
        <v>0</v>
      </c>
      <c r="J25" s="12">
        <v>0</v>
      </c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3899</v>
      </c>
      <c r="G26" s="11">
        <v>5218</v>
      </c>
      <c r="H26" s="12">
        <v>597041</v>
      </c>
      <c r="I26" s="13">
        <v>382105</v>
      </c>
      <c r="J26" s="12">
        <v>0</v>
      </c>
      <c r="K26" s="14">
        <f t="shared" si="0"/>
        <v>979146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2">
        <v>0</v>
      </c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>
        <v>0</v>
      </c>
      <c r="G28" s="11">
        <v>0</v>
      </c>
      <c r="H28" s="12">
        <v>0</v>
      </c>
      <c r="I28" s="13">
        <v>0</v>
      </c>
      <c r="J28" s="12">
        <v>0</v>
      </c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>
        <v>0</v>
      </c>
      <c r="G29" s="11">
        <v>0</v>
      </c>
      <c r="H29" s="12">
        <v>0</v>
      </c>
      <c r="I29" s="13">
        <v>0</v>
      </c>
      <c r="J29" s="12">
        <v>0</v>
      </c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>
        <v>0</v>
      </c>
      <c r="G30" s="11">
        <v>0</v>
      </c>
      <c r="H30" s="12">
        <v>0</v>
      </c>
      <c r="I30" s="13">
        <v>0</v>
      </c>
      <c r="J30" s="12">
        <v>0</v>
      </c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>
        <v>0</v>
      </c>
      <c r="G31" s="11">
        <v>0</v>
      </c>
      <c r="H31" s="12">
        <v>0</v>
      </c>
      <c r="I31" s="13">
        <v>0</v>
      </c>
      <c r="J31" s="12">
        <v>0</v>
      </c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>
        <v>0</v>
      </c>
      <c r="G32" s="11">
        <v>0</v>
      </c>
      <c r="H32" s="12">
        <v>0</v>
      </c>
      <c r="I32" s="13">
        <v>0</v>
      </c>
      <c r="J32" s="12">
        <v>0</v>
      </c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6820</v>
      </c>
      <c r="G34" s="19">
        <f t="shared" si="1"/>
        <v>16550</v>
      </c>
      <c r="H34" s="14">
        <f t="shared" si="1"/>
        <v>826325</v>
      </c>
      <c r="I34" s="14">
        <f t="shared" si="1"/>
        <v>524752</v>
      </c>
      <c r="J34" s="14">
        <f t="shared" si="1"/>
        <v>56669</v>
      </c>
      <c r="K34" s="14">
        <f t="shared" si="1"/>
        <v>1294408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0</v>
      </c>
      <c r="G38" s="11">
        <v>0</v>
      </c>
      <c r="H38" s="12">
        <v>0</v>
      </c>
      <c r="I38" s="13">
        <v>0</v>
      </c>
      <c r="J38" s="12">
        <v>0</v>
      </c>
      <c r="K38" s="14">
        <f t="shared" ref="K38:K46" si="2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65</v>
      </c>
      <c r="G39" s="11">
        <v>58</v>
      </c>
      <c r="H39" s="12">
        <v>6629</v>
      </c>
      <c r="I39" s="13">
        <v>4241</v>
      </c>
      <c r="J39" s="12">
        <v>0</v>
      </c>
      <c r="K39" s="14">
        <f t="shared" si="2"/>
        <v>10870</v>
      </c>
    </row>
    <row r="40" spans="1:11" ht="18" customHeight="1">
      <c r="A40" s="6" t="s">
        <v>48</v>
      </c>
      <c r="B40" s="63" t="s">
        <v>49</v>
      </c>
      <c r="F40" s="11">
        <v>1365.5</v>
      </c>
      <c r="G40" s="11">
        <v>573</v>
      </c>
      <c r="H40" s="12">
        <v>61425</v>
      </c>
      <c r="I40" s="13">
        <v>39304</v>
      </c>
      <c r="J40" s="12">
        <v>0</v>
      </c>
      <c r="K40" s="14">
        <f t="shared" si="2"/>
        <v>100729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0</v>
      </c>
      <c r="G41" s="11">
        <v>0</v>
      </c>
      <c r="H41" s="12">
        <v>0</v>
      </c>
      <c r="I41" s="13">
        <v>0</v>
      </c>
      <c r="J41" s="12">
        <v>0</v>
      </c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5251</v>
      </c>
      <c r="G42" s="11">
        <v>26</v>
      </c>
      <c r="H42" s="12">
        <v>189547</v>
      </c>
      <c r="I42" s="13">
        <v>121308</v>
      </c>
      <c r="J42" s="12">
        <v>0</v>
      </c>
      <c r="K42" s="14">
        <f t="shared" si="2"/>
        <v>310855</v>
      </c>
    </row>
    <row r="43" spans="1:11" ht="18" customHeight="1">
      <c r="A43" s="6" t="s">
        <v>54</v>
      </c>
      <c r="B43" s="63" t="s">
        <v>34</v>
      </c>
      <c r="F43" s="11">
        <v>0</v>
      </c>
      <c r="G43" s="11">
        <v>0</v>
      </c>
      <c r="H43" s="12">
        <v>0</v>
      </c>
      <c r="I43" s="13">
        <v>0</v>
      </c>
      <c r="J43" s="12">
        <v>0</v>
      </c>
      <c r="K43" s="14">
        <f t="shared" si="2"/>
        <v>0</v>
      </c>
    </row>
    <row r="44" spans="1:11" ht="18" customHeight="1">
      <c r="A44" s="6" t="s">
        <v>55</v>
      </c>
      <c r="B44" s="378" t="s">
        <v>465</v>
      </c>
      <c r="C44" s="379"/>
      <c r="D44" s="380"/>
      <c r="F44" s="11">
        <v>123</v>
      </c>
      <c r="G44" s="11">
        <v>3</v>
      </c>
      <c r="H44" s="12">
        <v>684</v>
      </c>
      <c r="I44" s="13">
        <v>436</v>
      </c>
      <c r="J44" s="12">
        <v>0</v>
      </c>
      <c r="K44" s="14">
        <f t="shared" si="2"/>
        <v>1120</v>
      </c>
    </row>
    <row r="45" spans="1:11" ht="18" customHeight="1">
      <c r="A45" s="6" t="s">
        <v>57</v>
      </c>
      <c r="B45" s="378"/>
      <c r="C45" s="379"/>
      <c r="D45" s="380"/>
      <c r="F45" s="11">
        <v>0</v>
      </c>
      <c r="G45" s="11">
        <v>0</v>
      </c>
      <c r="H45" s="12">
        <v>0</v>
      </c>
      <c r="I45" s="13">
        <v>0</v>
      </c>
      <c r="J45" s="12">
        <v>0</v>
      </c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>
        <v>0</v>
      </c>
      <c r="G46" s="11">
        <v>0</v>
      </c>
      <c r="H46" s="12">
        <v>0</v>
      </c>
      <c r="I46" s="13">
        <v>0</v>
      </c>
      <c r="J46" s="12">
        <v>0</v>
      </c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6804.5</v>
      </c>
      <c r="G48" s="25">
        <f t="shared" si="3"/>
        <v>660</v>
      </c>
      <c r="H48" s="14">
        <f t="shared" si="3"/>
        <v>258285</v>
      </c>
      <c r="I48" s="14">
        <f t="shared" si="3"/>
        <v>165289</v>
      </c>
      <c r="J48" s="14">
        <f t="shared" si="3"/>
        <v>0</v>
      </c>
      <c r="K48" s="14">
        <f t="shared" si="3"/>
        <v>423574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464</v>
      </c>
      <c r="C52" s="385"/>
      <c r="D52" s="359"/>
      <c r="F52" s="11">
        <v>0</v>
      </c>
      <c r="G52" s="11">
        <v>0</v>
      </c>
      <c r="H52" s="12">
        <v>375530</v>
      </c>
      <c r="I52" s="13">
        <v>0</v>
      </c>
      <c r="J52" s="12">
        <v>0</v>
      </c>
      <c r="K52" s="14">
        <f t="shared" ref="K52:K61" si="4">(H52+I52)-J52</f>
        <v>375530</v>
      </c>
    </row>
    <row r="53" spans="1:11" ht="18" customHeight="1">
      <c r="A53" s="6" t="s">
        <v>63</v>
      </c>
      <c r="B53" s="27" t="s">
        <v>463</v>
      </c>
      <c r="C53" s="28"/>
      <c r="D53" s="29"/>
      <c r="F53" s="11">
        <v>0</v>
      </c>
      <c r="G53" s="11">
        <v>0</v>
      </c>
      <c r="H53" s="12">
        <v>767533</v>
      </c>
      <c r="I53" s="13">
        <v>0</v>
      </c>
      <c r="J53" s="12">
        <v>0</v>
      </c>
      <c r="K53" s="14">
        <f t="shared" si="4"/>
        <v>767533</v>
      </c>
    </row>
    <row r="54" spans="1:11" ht="18" customHeight="1">
      <c r="A54" s="6" t="s">
        <v>65</v>
      </c>
      <c r="B54" s="381" t="s">
        <v>434</v>
      </c>
      <c r="C54" s="358"/>
      <c r="D54" s="359"/>
      <c r="F54" s="11">
        <v>0</v>
      </c>
      <c r="G54" s="11">
        <v>0</v>
      </c>
      <c r="H54" s="12">
        <v>1157367</v>
      </c>
      <c r="I54" s="13">
        <v>0</v>
      </c>
      <c r="J54" s="12">
        <v>0</v>
      </c>
      <c r="K54" s="14">
        <f t="shared" si="4"/>
        <v>1157367</v>
      </c>
    </row>
    <row r="55" spans="1:11" ht="18" customHeight="1">
      <c r="A55" s="6" t="s">
        <v>67</v>
      </c>
      <c r="B55" s="381"/>
      <c r="C55" s="358"/>
      <c r="D55" s="359"/>
      <c r="F55" s="11">
        <v>0</v>
      </c>
      <c r="G55" s="11">
        <v>0</v>
      </c>
      <c r="H55" s="12">
        <v>0</v>
      </c>
      <c r="I55" s="13">
        <v>0</v>
      </c>
      <c r="J55" s="12">
        <v>0</v>
      </c>
      <c r="K55" s="14">
        <f t="shared" si="4"/>
        <v>0</v>
      </c>
    </row>
    <row r="56" spans="1:11" ht="18" customHeight="1">
      <c r="A56" s="6" t="s">
        <v>69</v>
      </c>
      <c r="B56" s="381"/>
      <c r="C56" s="358"/>
      <c r="D56" s="359"/>
      <c r="F56" s="11">
        <v>0</v>
      </c>
      <c r="G56" s="11">
        <v>0</v>
      </c>
      <c r="H56" s="12">
        <v>0</v>
      </c>
      <c r="I56" s="13">
        <v>0</v>
      </c>
      <c r="J56" s="12">
        <v>0</v>
      </c>
      <c r="K56" s="14">
        <f t="shared" si="4"/>
        <v>0</v>
      </c>
    </row>
    <row r="57" spans="1:11" ht="18" customHeight="1">
      <c r="A57" s="6" t="s">
        <v>71</v>
      </c>
      <c r="B57" s="27"/>
      <c r="C57" s="28"/>
      <c r="D57" s="29"/>
      <c r="F57" s="11">
        <v>0</v>
      </c>
      <c r="G57" s="11">
        <v>0</v>
      </c>
      <c r="H57" s="12">
        <v>0</v>
      </c>
      <c r="I57" s="13">
        <v>0</v>
      </c>
      <c r="J57" s="12">
        <v>0</v>
      </c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>
        <v>0</v>
      </c>
      <c r="G58" s="11">
        <v>0</v>
      </c>
      <c r="H58" s="12">
        <v>0</v>
      </c>
      <c r="I58" s="13">
        <v>0</v>
      </c>
      <c r="J58" s="12">
        <v>0</v>
      </c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>
        <v>0</v>
      </c>
      <c r="G59" s="11">
        <v>0</v>
      </c>
      <c r="H59" s="12">
        <v>0</v>
      </c>
      <c r="I59" s="13">
        <v>0</v>
      </c>
      <c r="J59" s="12">
        <v>0</v>
      </c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>
        <v>0</v>
      </c>
      <c r="G60" s="11">
        <v>0</v>
      </c>
      <c r="H60" s="12">
        <v>0</v>
      </c>
      <c r="I60" s="13">
        <v>0</v>
      </c>
      <c r="J60" s="12">
        <v>0</v>
      </c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>
        <v>0</v>
      </c>
      <c r="G61" s="11">
        <v>0</v>
      </c>
      <c r="H61" s="12">
        <v>0</v>
      </c>
      <c r="I61" s="13">
        <v>0</v>
      </c>
      <c r="J61" s="12">
        <v>0</v>
      </c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0</v>
      </c>
      <c r="G63" s="19">
        <f t="shared" si="5"/>
        <v>0</v>
      </c>
      <c r="H63" s="14">
        <f t="shared" si="5"/>
        <v>2300430</v>
      </c>
      <c r="I63" s="14">
        <f t="shared" si="5"/>
        <v>0</v>
      </c>
      <c r="J63" s="14">
        <f t="shared" si="5"/>
        <v>0</v>
      </c>
      <c r="K63" s="14">
        <f t="shared" si="5"/>
        <v>2300430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0</v>
      </c>
      <c r="G67" s="34">
        <v>0</v>
      </c>
      <c r="H67" s="12">
        <v>0</v>
      </c>
      <c r="I67" s="12">
        <v>0</v>
      </c>
      <c r="J67" s="12">
        <v>0</v>
      </c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>
        <v>0</v>
      </c>
      <c r="G68" s="34">
        <v>0</v>
      </c>
      <c r="H68" s="12">
        <v>0</v>
      </c>
      <c r="I68" s="12">
        <v>0</v>
      </c>
      <c r="J68" s="12">
        <v>0</v>
      </c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>
        <v>0</v>
      </c>
      <c r="G69" s="11">
        <v>0</v>
      </c>
      <c r="H69" s="12">
        <v>0</v>
      </c>
      <c r="I69" s="12">
        <v>0</v>
      </c>
      <c r="J69" s="12">
        <v>0</v>
      </c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>
        <v>0</v>
      </c>
      <c r="G70" s="35">
        <v>0</v>
      </c>
      <c r="H70" s="12">
        <v>0</v>
      </c>
      <c r="I70" s="12">
        <v>0</v>
      </c>
      <c r="J70" s="12">
        <v>0</v>
      </c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>
        <v>0</v>
      </c>
      <c r="G71" s="35">
        <v>0</v>
      </c>
      <c r="H71" s="12">
        <v>0</v>
      </c>
      <c r="I71" s="12">
        <v>0</v>
      </c>
      <c r="J71" s="12">
        <v>0</v>
      </c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>
        <v>0</v>
      </c>
      <c r="G72" s="11">
        <v>0</v>
      </c>
      <c r="H72" s="12">
        <v>0</v>
      </c>
      <c r="I72" s="12">
        <v>0</v>
      </c>
      <c r="J72" s="12">
        <v>0</v>
      </c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0</v>
      </c>
      <c r="G74" s="43">
        <f t="shared" si="7"/>
        <v>0</v>
      </c>
      <c r="H74" s="43">
        <f t="shared" si="7"/>
        <v>0</v>
      </c>
      <c r="I74" s="43">
        <f t="shared" si="7"/>
        <v>0</v>
      </c>
      <c r="J74" s="43">
        <f t="shared" si="7"/>
        <v>0</v>
      </c>
      <c r="K74" s="43">
        <f t="shared" si="7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91797</v>
      </c>
      <c r="I77" s="13">
        <v>0</v>
      </c>
      <c r="J77" s="12">
        <v>0</v>
      </c>
      <c r="K77" s="14">
        <f>(H77+I77)-J77</f>
        <v>91797</v>
      </c>
    </row>
    <row r="78" spans="1:11" ht="18" customHeight="1">
      <c r="A78" s="6" t="s">
        <v>93</v>
      </c>
      <c r="B78" s="63" t="s">
        <v>94</v>
      </c>
      <c r="F78" s="11">
        <v>3</v>
      </c>
      <c r="G78" s="11">
        <v>125</v>
      </c>
      <c r="H78" s="12">
        <v>0</v>
      </c>
      <c r="I78" s="13">
        <v>0</v>
      </c>
      <c r="J78" s="12">
        <v>0</v>
      </c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155</v>
      </c>
      <c r="G79" s="11">
        <v>1628</v>
      </c>
      <c r="H79" s="12">
        <v>13695</v>
      </c>
      <c r="I79" s="13">
        <v>0</v>
      </c>
      <c r="J79" s="12">
        <v>0</v>
      </c>
      <c r="K79" s="14">
        <f>(H79+I79)-J79</f>
        <v>13695</v>
      </c>
    </row>
    <row r="80" spans="1:11" ht="18" customHeight="1">
      <c r="A80" s="6" t="s">
        <v>93</v>
      </c>
      <c r="B80" s="63" t="s">
        <v>97</v>
      </c>
      <c r="F80" s="11">
        <v>0</v>
      </c>
      <c r="G80" s="11">
        <v>0</v>
      </c>
      <c r="H80" s="12">
        <v>0</v>
      </c>
      <c r="I80" s="13">
        <v>0</v>
      </c>
      <c r="J80" s="12">
        <v>0</v>
      </c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158</v>
      </c>
      <c r="G82" s="44">
        <f t="shared" si="8"/>
        <v>1753</v>
      </c>
      <c r="H82" s="45">
        <f t="shared" si="8"/>
        <v>105492</v>
      </c>
      <c r="I82" s="45">
        <f t="shared" si="8"/>
        <v>0</v>
      </c>
      <c r="J82" s="45">
        <f t="shared" si="8"/>
        <v>0</v>
      </c>
      <c r="K82" s="45">
        <f t="shared" si="8"/>
        <v>105492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0</v>
      </c>
      <c r="G86" s="11">
        <v>0</v>
      </c>
      <c r="H86" s="12">
        <v>0</v>
      </c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0</v>
      </c>
      <c r="I87" s="13">
        <v>0</v>
      </c>
      <c r="J87" s="12">
        <v>0</v>
      </c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>
        <v>137.5</v>
      </c>
      <c r="G88" s="11">
        <v>1707</v>
      </c>
      <c r="H88" s="12">
        <v>5969</v>
      </c>
      <c r="I88" s="13">
        <v>3810</v>
      </c>
      <c r="J88" s="12">
        <v>0</v>
      </c>
      <c r="K88" s="14">
        <f t="shared" si="9"/>
        <v>9779</v>
      </c>
    </row>
    <row r="89" spans="1:11" ht="18" customHeight="1">
      <c r="A89" s="6" t="s">
        <v>106</v>
      </c>
      <c r="B89" s="63" t="s">
        <v>107</v>
      </c>
      <c r="F89" s="11">
        <v>8164</v>
      </c>
      <c r="G89" s="11">
        <v>8</v>
      </c>
      <c r="H89" s="12">
        <v>167084</v>
      </c>
      <c r="I89" s="13">
        <v>106928</v>
      </c>
      <c r="J89" s="12">
        <v>0</v>
      </c>
      <c r="K89" s="14">
        <f t="shared" si="9"/>
        <v>274012</v>
      </c>
    </row>
    <row r="90" spans="1:11" ht="18" customHeight="1">
      <c r="A90" s="6" t="s">
        <v>108</v>
      </c>
      <c r="B90" s="386" t="s">
        <v>109</v>
      </c>
      <c r="C90" s="356"/>
      <c r="F90" s="11">
        <v>0</v>
      </c>
      <c r="G90" s="11">
        <v>0</v>
      </c>
      <c r="H90" s="12">
        <v>0</v>
      </c>
      <c r="I90" s="13">
        <v>0</v>
      </c>
      <c r="J90" s="12">
        <v>0</v>
      </c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250</v>
      </c>
      <c r="G91" s="11">
        <v>1280</v>
      </c>
      <c r="H91" s="12">
        <v>15441</v>
      </c>
      <c r="I91" s="13">
        <v>9877</v>
      </c>
      <c r="J91" s="12">
        <v>0</v>
      </c>
      <c r="K91" s="14">
        <f t="shared" si="9"/>
        <v>25318</v>
      </c>
    </row>
    <row r="92" spans="1:11" ht="18" customHeight="1">
      <c r="A92" s="6" t="s">
        <v>112</v>
      </c>
      <c r="B92" s="63" t="s">
        <v>113</v>
      </c>
      <c r="F92" s="46">
        <v>4</v>
      </c>
      <c r="G92" s="46">
        <v>0</v>
      </c>
      <c r="H92" s="47">
        <v>10288</v>
      </c>
      <c r="I92" s="13">
        <v>6584</v>
      </c>
      <c r="J92" s="47">
        <v>0</v>
      </c>
      <c r="K92" s="14">
        <f t="shared" si="9"/>
        <v>16872</v>
      </c>
    </row>
    <row r="93" spans="1:11" ht="18" customHeight="1">
      <c r="A93" s="6" t="s">
        <v>114</v>
      </c>
      <c r="B93" s="63" t="s">
        <v>115</v>
      </c>
      <c r="F93" s="11">
        <v>0</v>
      </c>
      <c r="G93" s="11">
        <v>0</v>
      </c>
      <c r="H93" s="12">
        <v>0</v>
      </c>
      <c r="I93" s="13">
        <v>0</v>
      </c>
      <c r="J93" s="12">
        <v>0</v>
      </c>
      <c r="K93" s="14">
        <f t="shared" si="9"/>
        <v>0</v>
      </c>
    </row>
    <row r="94" spans="1:11" ht="18" customHeight="1">
      <c r="A94" s="6" t="s">
        <v>116</v>
      </c>
      <c r="B94" s="63" t="s">
        <v>85</v>
      </c>
      <c r="F94" s="11">
        <v>0</v>
      </c>
      <c r="G94" s="11">
        <v>0</v>
      </c>
      <c r="H94" s="12">
        <v>0</v>
      </c>
      <c r="I94" s="13">
        <v>0</v>
      </c>
      <c r="J94" s="12">
        <v>0</v>
      </c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>
        <v>0</v>
      </c>
      <c r="G95" s="11">
        <v>0</v>
      </c>
      <c r="H95" s="12">
        <v>0</v>
      </c>
      <c r="I95" s="13">
        <v>0</v>
      </c>
      <c r="J95" s="12">
        <v>0</v>
      </c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>
        <v>0</v>
      </c>
      <c r="G96" s="11">
        <v>0</v>
      </c>
      <c r="H96" s="12">
        <v>0</v>
      </c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>
        <v>0</v>
      </c>
      <c r="G97" s="11">
        <v>0</v>
      </c>
      <c r="H97" s="12">
        <v>0</v>
      </c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8555.5</v>
      </c>
      <c r="G99" s="19">
        <f t="shared" si="10"/>
        <v>2995</v>
      </c>
      <c r="H99" s="19">
        <f t="shared" si="10"/>
        <v>198782</v>
      </c>
      <c r="I99" s="19">
        <f t="shared" si="10"/>
        <v>127199</v>
      </c>
      <c r="J99" s="19">
        <f t="shared" si="10"/>
        <v>0</v>
      </c>
      <c r="K99" s="19">
        <f t="shared" si="10"/>
        <v>325981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3</v>
      </c>
      <c r="G103" s="11">
        <v>0</v>
      </c>
      <c r="H103" s="12">
        <v>233</v>
      </c>
      <c r="I103" s="13">
        <v>149</v>
      </c>
      <c r="J103" s="12">
        <v>0</v>
      </c>
      <c r="K103" s="14">
        <f t="shared" ref="K103:K108" si="11">(H103+I103)-J103</f>
        <v>382</v>
      </c>
    </row>
    <row r="104" spans="1:11" ht="18" customHeight="1">
      <c r="A104" s="6" t="s">
        <v>121</v>
      </c>
      <c r="B104" s="386" t="s">
        <v>122</v>
      </c>
      <c r="C104" s="386"/>
      <c r="F104" s="11">
        <v>0</v>
      </c>
      <c r="G104" s="11">
        <v>0</v>
      </c>
      <c r="H104" s="12">
        <v>0</v>
      </c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>
        <v>0</v>
      </c>
      <c r="G105" s="11">
        <v>0</v>
      </c>
      <c r="H105" s="12">
        <v>0</v>
      </c>
      <c r="I105" s="13">
        <v>0</v>
      </c>
      <c r="J105" s="12">
        <v>0</v>
      </c>
      <c r="K105" s="14">
        <f t="shared" si="11"/>
        <v>0</v>
      </c>
    </row>
    <row r="106" spans="1:11" ht="18" customHeight="1">
      <c r="A106" s="6" t="s">
        <v>125</v>
      </c>
      <c r="B106" s="381" t="s">
        <v>462</v>
      </c>
      <c r="C106" s="358"/>
      <c r="D106" s="359"/>
      <c r="F106" s="11">
        <v>0</v>
      </c>
      <c r="G106" s="11">
        <v>0</v>
      </c>
      <c r="H106" s="12">
        <v>600</v>
      </c>
      <c r="I106" s="13">
        <v>384</v>
      </c>
      <c r="J106" s="12">
        <v>0</v>
      </c>
      <c r="K106" s="14">
        <f t="shared" si="11"/>
        <v>984</v>
      </c>
    </row>
    <row r="107" spans="1:11" ht="18" customHeight="1">
      <c r="A107" s="6" t="s">
        <v>126</v>
      </c>
      <c r="B107" s="381"/>
      <c r="C107" s="358"/>
      <c r="D107" s="359"/>
      <c r="F107" s="11">
        <v>0</v>
      </c>
      <c r="G107" s="11">
        <v>0</v>
      </c>
      <c r="H107" s="12">
        <v>0</v>
      </c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>
        <v>0</v>
      </c>
      <c r="G108" s="11">
        <v>0</v>
      </c>
      <c r="H108" s="12">
        <v>0</v>
      </c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3</v>
      </c>
      <c r="G110" s="19">
        <f t="shared" si="12"/>
        <v>0</v>
      </c>
      <c r="H110" s="14">
        <f t="shared" si="12"/>
        <v>833</v>
      </c>
      <c r="I110" s="14">
        <f t="shared" si="12"/>
        <v>533</v>
      </c>
      <c r="J110" s="14">
        <f t="shared" si="12"/>
        <v>0</v>
      </c>
      <c r="K110" s="14">
        <f t="shared" si="12"/>
        <v>1366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4809700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0.64397144456934408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124318200</v>
      </c>
    </row>
    <row r="120" spans="1:6" ht="18" customHeight="1">
      <c r="B120" s="2" t="s">
        <v>137</v>
      </c>
      <c r="F120" s="12">
        <v>1597100</v>
      </c>
    </row>
    <row r="121" spans="1:6" ht="18" customHeight="1">
      <c r="A121" s="6"/>
      <c r="B121" s="5" t="s">
        <v>138</v>
      </c>
      <c r="F121" s="12">
        <f>+F120+F119</f>
        <v>125915300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122776400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3138900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-2837200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301700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6820</v>
      </c>
      <c r="G144" s="54">
        <f t="shared" si="15"/>
        <v>16550</v>
      </c>
      <c r="H144" s="54">
        <f t="shared" si="15"/>
        <v>826325</v>
      </c>
      <c r="I144" s="54">
        <f t="shared" si="15"/>
        <v>524752</v>
      </c>
      <c r="J144" s="54">
        <f t="shared" si="15"/>
        <v>56669</v>
      </c>
      <c r="K144" s="54">
        <f t="shared" si="15"/>
        <v>1294408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6804.5</v>
      </c>
      <c r="G145" s="54">
        <f t="shared" si="16"/>
        <v>660</v>
      </c>
      <c r="H145" s="54">
        <f t="shared" si="16"/>
        <v>258285</v>
      </c>
      <c r="I145" s="54">
        <f t="shared" si="16"/>
        <v>165289</v>
      </c>
      <c r="J145" s="54">
        <f t="shared" si="16"/>
        <v>0</v>
      </c>
      <c r="K145" s="54">
        <f t="shared" si="16"/>
        <v>423574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0</v>
      </c>
      <c r="G146" s="54">
        <f t="shared" si="17"/>
        <v>0</v>
      </c>
      <c r="H146" s="54">
        <f t="shared" si="17"/>
        <v>2300430</v>
      </c>
      <c r="I146" s="54">
        <f t="shared" si="17"/>
        <v>0</v>
      </c>
      <c r="J146" s="54">
        <f t="shared" si="17"/>
        <v>0</v>
      </c>
      <c r="K146" s="54">
        <f t="shared" si="17"/>
        <v>2300430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0</v>
      </c>
      <c r="G147" s="54">
        <f t="shared" si="18"/>
        <v>0</v>
      </c>
      <c r="H147" s="54">
        <f t="shared" si="18"/>
        <v>0</v>
      </c>
      <c r="I147" s="54">
        <f t="shared" si="18"/>
        <v>0</v>
      </c>
      <c r="J147" s="54">
        <f t="shared" si="18"/>
        <v>0</v>
      </c>
      <c r="K147" s="54">
        <f t="shared" si="18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158</v>
      </c>
      <c r="G148" s="54">
        <f t="shared" si="19"/>
        <v>1753</v>
      </c>
      <c r="H148" s="54">
        <f t="shared" si="19"/>
        <v>105492</v>
      </c>
      <c r="I148" s="54">
        <f t="shared" si="19"/>
        <v>0</v>
      </c>
      <c r="J148" s="54">
        <f t="shared" si="19"/>
        <v>0</v>
      </c>
      <c r="K148" s="54">
        <f t="shared" si="19"/>
        <v>105492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8555.5</v>
      </c>
      <c r="G149" s="54">
        <f t="shared" si="20"/>
        <v>2995</v>
      </c>
      <c r="H149" s="54">
        <f t="shared" si="20"/>
        <v>198782</v>
      </c>
      <c r="I149" s="54">
        <f t="shared" si="20"/>
        <v>127199</v>
      </c>
      <c r="J149" s="54">
        <f t="shared" si="20"/>
        <v>0</v>
      </c>
      <c r="K149" s="54">
        <f t="shared" si="20"/>
        <v>325981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3</v>
      </c>
      <c r="G150" s="19">
        <f t="shared" si="21"/>
        <v>0</v>
      </c>
      <c r="H150" s="19">
        <f t="shared" si="21"/>
        <v>833</v>
      </c>
      <c r="I150" s="19">
        <f t="shared" si="21"/>
        <v>533</v>
      </c>
      <c r="J150" s="19">
        <f t="shared" si="21"/>
        <v>0</v>
      </c>
      <c r="K150" s="19">
        <f t="shared" si="21"/>
        <v>1366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4809700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22341</v>
      </c>
      <c r="G154" s="60">
        <f t="shared" si="23"/>
        <v>21958</v>
      </c>
      <c r="H154" s="60">
        <f t="shared" si="23"/>
        <v>3690147</v>
      </c>
      <c r="I154" s="60">
        <f t="shared" si="23"/>
        <v>817773</v>
      </c>
      <c r="J154" s="60">
        <f t="shared" si="23"/>
        <v>56669</v>
      </c>
      <c r="K154" s="61">
        <f t="shared" si="23"/>
        <v>9260951</v>
      </c>
    </row>
    <row r="156" spans="1:11" ht="18" customHeight="1">
      <c r="B156" s="5" t="s">
        <v>178</v>
      </c>
      <c r="F156" s="291">
        <f>K154/F123</f>
        <v>7.5429406628635468E-2</v>
      </c>
    </row>
    <row r="157" spans="1:11" ht="18" customHeight="1">
      <c r="B157" s="5" t="s">
        <v>179</v>
      </c>
      <c r="F157" s="291">
        <f>K154/F129</f>
        <v>30.695893271461717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492</v>
      </c>
      <c r="D5" s="363"/>
      <c r="E5" s="363"/>
      <c r="F5" s="363"/>
      <c r="G5" s="364"/>
    </row>
    <row r="6" spans="1:11" ht="18" customHeight="1">
      <c r="B6" s="6" t="s">
        <v>4</v>
      </c>
      <c r="C6" s="365">
        <v>40</v>
      </c>
      <c r="D6" s="366"/>
      <c r="E6" s="366"/>
      <c r="F6" s="366"/>
      <c r="G6" s="367"/>
    </row>
    <row r="7" spans="1:11" ht="18" customHeight="1">
      <c r="B7" s="6" t="s">
        <v>5</v>
      </c>
      <c r="C7" s="368">
        <v>1561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491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490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489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605</v>
      </c>
      <c r="G18" s="11">
        <v>10106</v>
      </c>
      <c r="H18" s="12">
        <v>188006</v>
      </c>
      <c r="I18" s="13">
        <f t="shared" ref="I18:I32" si="0">H18*F$116</f>
        <v>122843.1204</v>
      </c>
      <c r="J18" s="12">
        <v>0</v>
      </c>
      <c r="K18" s="14">
        <f t="shared" ref="K18:K32" si="1">(H18+I18)-J18</f>
        <v>310849.12040000001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642</v>
      </c>
      <c r="G21" s="11">
        <v>696</v>
      </c>
      <c r="H21" s="12">
        <v>26406</v>
      </c>
      <c r="I21" s="13">
        <f t="shared" si="0"/>
        <v>17253.680400000001</v>
      </c>
      <c r="J21" s="12">
        <v>3040</v>
      </c>
      <c r="K21" s="14">
        <f t="shared" si="1"/>
        <v>40619.680399999997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3</v>
      </c>
      <c r="G26" s="11">
        <v>171</v>
      </c>
      <c r="H26" s="12">
        <v>88529</v>
      </c>
      <c r="I26" s="13">
        <f t="shared" si="0"/>
        <v>57844.848599999998</v>
      </c>
      <c r="J26" s="12"/>
      <c r="K26" s="14">
        <f t="shared" si="1"/>
        <v>146373.8486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488</v>
      </c>
      <c r="C28" s="379"/>
      <c r="D28" s="380"/>
      <c r="F28" s="11">
        <v>39</v>
      </c>
      <c r="G28" s="11">
        <v>596</v>
      </c>
      <c r="H28" s="12">
        <v>8088</v>
      </c>
      <c r="I28" s="13">
        <f t="shared" si="0"/>
        <v>5284.6992</v>
      </c>
      <c r="J28" s="12">
        <v>10126</v>
      </c>
      <c r="K28" s="14">
        <f t="shared" si="1"/>
        <v>3246.6991999999991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1289</v>
      </c>
      <c r="G34" s="19">
        <f t="shared" si="2"/>
        <v>11569</v>
      </c>
      <c r="H34" s="14">
        <f t="shared" si="2"/>
        <v>311029</v>
      </c>
      <c r="I34" s="14">
        <f t="shared" si="2"/>
        <v>203226.3486</v>
      </c>
      <c r="J34" s="14">
        <f t="shared" si="2"/>
        <v>13166</v>
      </c>
      <c r="K34" s="14">
        <f t="shared" si="2"/>
        <v>501089.34859999997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4626</v>
      </c>
      <c r="G39" s="11">
        <v>1120</v>
      </c>
      <c r="H39" s="12">
        <v>224785</v>
      </c>
      <c r="I39" s="13">
        <v>0</v>
      </c>
      <c r="J39" s="12"/>
      <c r="K39" s="14">
        <f t="shared" si="3"/>
        <v>224785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4626</v>
      </c>
      <c r="G48" s="25">
        <f t="shared" si="4"/>
        <v>1120</v>
      </c>
      <c r="H48" s="14">
        <f t="shared" si="4"/>
        <v>224785</v>
      </c>
      <c r="I48" s="14">
        <f t="shared" si="4"/>
        <v>0</v>
      </c>
      <c r="J48" s="14">
        <f t="shared" si="4"/>
        <v>0</v>
      </c>
      <c r="K48" s="14">
        <f t="shared" si="4"/>
        <v>224785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487</v>
      </c>
      <c r="C52" s="385"/>
      <c r="D52" s="359"/>
      <c r="F52" s="11"/>
      <c r="G52" s="11"/>
      <c r="H52" s="12">
        <v>1483797</v>
      </c>
      <c r="I52" s="13">
        <v>0</v>
      </c>
      <c r="J52" s="12"/>
      <c r="K52" s="14">
        <f t="shared" ref="K52:K61" si="5">(H52+I52)-J52</f>
        <v>1483797</v>
      </c>
    </row>
    <row r="53" spans="1:11" ht="18" customHeight="1">
      <c r="A53" s="6" t="s">
        <v>63</v>
      </c>
      <c r="B53" s="27" t="s">
        <v>486</v>
      </c>
      <c r="C53" s="28"/>
      <c r="D53" s="29"/>
      <c r="F53" s="11"/>
      <c r="G53" s="11"/>
      <c r="H53" s="12">
        <v>1109239</v>
      </c>
      <c r="I53" s="13">
        <v>0</v>
      </c>
      <c r="J53" s="12"/>
      <c r="K53" s="14">
        <f t="shared" si="5"/>
        <v>1109239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2593036</v>
      </c>
      <c r="I63" s="14">
        <f t="shared" si="6"/>
        <v>0</v>
      </c>
      <c r="J63" s="14">
        <f t="shared" si="6"/>
        <v>0</v>
      </c>
      <c r="K63" s="14">
        <f t="shared" si="6"/>
        <v>2593036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80022</v>
      </c>
      <c r="I77" s="13">
        <v>0</v>
      </c>
      <c r="J77" s="12"/>
      <c r="K77" s="14">
        <f>(H77+I77)-J77</f>
        <v>80022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36</v>
      </c>
      <c r="G79" s="11"/>
      <c r="H79" s="12">
        <v>5933</v>
      </c>
      <c r="I79" s="13">
        <v>0</v>
      </c>
      <c r="J79" s="12"/>
      <c r="K79" s="14">
        <f>(H79+I79)-J79</f>
        <v>5933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36</v>
      </c>
      <c r="G82" s="44">
        <f t="shared" si="9"/>
        <v>0</v>
      </c>
      <c r="H82" s="45">
        <f t="shared" si="9"/>
        <v>85955</v>
      </c>
      <c r="I82" s="45">
        <f t="shared" si="9"/>
        <v>0</v>
      </c>
      <c r="J82" s="45">
        <f t="shared" si="9"/>
        <v>0</v>
      </c>
      <c r="K82" s="45">
        <f t="shared" si="9"/>
        <v>85955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>
        <v>86348</v>
      </c>
      <c r="I88" s="13">
        <f t="shared" si="10"/>
        <v>56419.783199999998</v>
      </c>
      <c r="J88" s="12"/>
      <c r="K88" s="14">
        <f t="shared" si="11"/>
        <v>142767.78320000001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0</v>
      </c>
      <c r="G99" s="19">
        <f t="shared" si="12"/>
        <v>0</v>
      </c>
      <c r="H99" s="19">
        <f t="shared" si="12"/>
        <v>86348</v>
      </c>
      <c r="I99" s="19">
        <f t="shared" si="12"/>
        <v>56419.783199999998</v>
      </c>
      <c r="J99" s="19">
        <f t="shared" si="12"/>
        <v>0</v>
      </c>
      <c r="K99" s="19">
        <f t="shared" si="12"/>
        <v>142767.78320000001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5295000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0.65339999999999998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200604000</v>
      </c>
    </row>
    <row r="120" spans="1:6" ht="18" customHeight="1">
      <c r="B120" s="2" t="s">
        <v>137</v>
      </c>
      <c r="F120" s="12">
        <v>2319000</v>
      </c>
    </row>
    <row r="121" spans="1:6" ht="18" customHeight="1">
      <c r="A121" s="6"/>
      <c r="B121" s="5" t="s">
        <v>138</v>
      </c>
      <c r="F121" s="12">
        <v>202923000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190488000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12435000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-8766000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3669000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1289</v>
      </c>
      <c r="G144" s="54">
        <f t="shared" si="18"/>
        <v>11569</v>
      </c>
      <c r="H144" s="54">
        <f t="shared" si="18"/>
        <v>311029</v>
      </c>
      <c r="I144" s="54">
        <f t="shared" si="18"/>
        <v>203226.3486</v>
      </c>
      <c r="J144" s="54">
        <f t="shared" si="18"/>
        <v>13166</v>
      </c>
      <c r="K144" s="54">
        <f t="shared" si="18"/>
        <v>501089.34859999997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4626</v>
      </c>
      <c r="G145" s="54">
        <f t="shared" si="19"/>
        <v>1120</v>
      </c>
      <c r="H145" s="54">
        <f t="shared" si="19"/>
        <v>224785</v>
      </c>
      <c r="I145" s="54">
        <f t="shared" si="19"/>
        <v>0</v>
      </c>
      <c r="J145" s="54">
        <f t="shared" si="19"/>
        <v>0</v>
      </c>
      <c r="K145" s="54">
        <f t="shared" si="19"/>
        <v>224785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2593036</v>
      </c>
      <c r="I146" s="54">
        <f t="shared" si="20"/>
        <v>0</v>
      </c>
      <c r="J146" s="54">
        <f t="shared" si="20"/>
        <v>0</v>
      </c>
      <c r="K146" s="54">
        <f t="shared" si="20"/>
        <v>2593036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36</v>
      </c>
      <c r="G148" s="54">
        <f t="shared" si="22"/>
        <v>0</v>
      </c>
      <c r="H148" s="54">
        <f t="shared" si="22"/>
        <v>85955</v>
      </c>
      <c r="I148" s="54">
        <f t="shared" si="22"/>
        <v>0</v>
      </c>
      <c r="J148" s="54">
        <f t="shared" si="22"/>
        <v>0</v>
      </c>
      <c r="K148" s="54">
        <f t="shared" si="22"/>
        <v>85955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0</v>
      </c>
      <c r="G149" s="54">
        <f t="shared" si="23"/>
        <v>0</v>
      </c>
      <c r="H149" s="54">
        <f t="shared" si="23"/>
        <v>86348</v>
      </c>
      <c r="I149" s="54">
        <f t="shared" si="23"/>
        <v>56419.783199999998</v>
      </c>
      <c r="J149" s="54">
        <f t="shared" si="23"/>
        <v>0</v>
      </c>
      <c r="K149" s="54">
        <f t="shared" si="23"/>
        <v>142767.78320000001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5295000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5951</v>
      </c>
      <c r="G154" s="60">
        <f t="shared" si="26"/>
        <v>12689</v>
      </c>
      <c r="H154" s="60">
        <f t="shared" si="26"/>
        <v>3301153</v>
      </c>
      <c r="I154" s="60">
        <f t="shared" si="26"/>
        <v>259646.1318</v>
      </c>
      <c r="J154" s="60">
        <f t="shared" si="26"/>
        <v>13166</v>
      </c>
      <c r="K154" s="61">
        <f t="shared" si="26"/>
        <v>8842633.1317999996</v>
      </c>
    </row>
    <row r="156" spans="1:11" ht="18" customHeight="1">
      <c r="B156" s="5" t="s">
        <v>178</v>
      </c>
      <c r="F156" s="233">
        <f>K154/F123</f>
        <v>4.6420945843307714E-2</v>
      </c>
    </row>
    <row r="157" spans="1:11" ht="18" customHeight="1">
      <c r="B157" s="5" t="s">
        <v>179</v>
      </c>
      <c r="F157" s="233">
        <f>K154/F129</f>
        <v>2.4100935218860724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75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505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504</v>
      </c>
      <c r="D6" s="366"/>
      <c r="E6" s="366"/>
      <c r="F6" s="366"/>
      <c r="G6" s="367"/>
    </row>
    <row r="7" spans="1:11" ht="18" customHeight="1">
      <c r="B7" s="6" t="s">
        <v>5</v>
      </c>
      <c r="C7" s="368">
        <v>2683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503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502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501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1073</v>
      </c>
      <c r="G18" s="11">
        <v>6357</v>
      </c>
      <c r="H18" s="12">
        <v>52304.99</v>
      </c>
      <c r="I18" s="13">
        <f t="shared" ref="I18:I32" si="0">H18*F$116</f>
        <v>25734.055079999998</v>
      </c>
      <c r="J18" s="12">
        <v>7770</v>
      </c>
      <c r="K18" s="14">
        <f t="shared" ref="K18:K32" si="1">(H18+I18)-J18</f>
        <v>70269.045079999996</v>
      </c>
    </row>
    <row r="19" spans="1:11" ht="18" customHeight="1">
      <c r="A19" s="6"/>
      <c r="B19" s="2" t="s">
        <v>23</v>
      </c>
      <c r="F19" s="11">
        <v>78</v>
      </c>
      <c r="G19" s="11">
        <v>420</v>
      </c>
      <c r="H19" s="12">
        <v>4026.85</v>
      </c>
      <c r="I19" s="13">
        <f t="shared" si="0"/>
        <v>1981.2102</v>
      </c>
      <c r="J19" s="12">
        <v>0</v>
      </c>
      <c r="K19" s="14">
        <f t="shared" si="1"/>
        <v>6008.0601999999999</v>
      </c>
    </row>
    <row r="20" spans="1:11" ht="18" customHeight="1">
      <c r="A20" s="6"/>
      <c r="B20" s="2" t="s">
        <v>24</v>
      </c>
      <c r="F20" s="11">
        <v>17979</v>
      </c>
      <c r="G20" s="11">
        <v>41077</v>
      </c>
      <c r="H20" s="12">
        <v>768643.58</v>
      </c>
      <c r="I20" s="13">
        <f t="shared" si="0"/>
        <v>378172.64135999995</v>
      </c>
      <c r="J20" s="12">
        <v>274575.98</v>
      </c>
      <c r="K20" s="14">
        <f t="shared" si="1"/>
        <v>872240.24135999987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1665</v>
      </c>
      <c r="G22" s="11">
        <v>4716</v>
      </c>
      <c r="H22" s="12">
        <v>76982.42</v>
      </c>
      <c r="I22" s="13">
        <f t="shared" si="0"/>
        <v>37875.350639999997</v>
      </c>
      <c r="J22" s="12">
        <v>1850</v>
      </c>
      <c r="K22" s="14">
        <f t="shared" si="1"/>
        <v>113007.77064</v>
      </c>
    </row>
    <row r="23" spans="1:11" ht="18" customHeight="1">
      <c r="A23" s="6"/>
      <c r="B23" s="2" t="s">
        <v>28</v>
      </c>
      <c r="F23" s="11">
        <v>843</v>
      </c>
      <c r="G23" s="11">
        <v>6552</v>
      </c>
      <c r="H23" s="12">
        <v>120245.14</v>
      </c>
      <c r="I23" s="13">
        <f t="shared" si="0"/>
        <v>59160.60888</v>
      </c>
      <c r="J23" s="12">
        <v>34955</v>
      </c>
      <c r="K23" s="14">
        <f t="shared" si="1"/>
        <v>144450.74888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>
        <v>98</v>
      </c>
      <c r="G25" s="11">
        <v>195</v>
      </c>
      <c r="H25" s="12">
        <v>3582.74</v>
      </c>
      <c r="I25" s="13">
        <f t="shared" si="0"/>
        <v>1762.7080799999999</v>
      </c>
      <c r="J25" s="12">
        <v>0</v>
      </c>
      <c r="K25" s="14">
        <f t="shared" si="1"/>
        <v>5345.4480800000001</v>
      </c>
    </row>
    <row r="26" spans="1:11" ht="18" customHeight="1">
      <c r="A26" s="6" t="s">
        <v>31</v>
      </c>
      <c r="B26" s="2" t="s">
        <v>32</v>
      </c>
      <c r="F26" s="11">
        <v>0</v>
      </c>
      <c r="G26" s="11">
        <v>108</v>
      </c>
      <c r="H26" s="12">
        <v>4962.6499999999996</v>
      </c>
      <c r="I26" s="13">
        <f t="shared" si="0"/>
        <v>2441.6237999999998</v>
      </c>
      <c r="J26" s="12">
        <v>0</v>
      </c>
      <c r="K26" s="14">
        <f t="shared" si="1"/>
        <v>7404.273799999999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21736</v>
      </c>
      <c r="G34" s="19">
        <f t="shared" si="2"/>
        <v>59425</v>
      </c>
      <c r="H34" s="14">
        <f t="shared" si="2"/>
        <v>1030748.37</v>
      </c>
      <c r="I34" s="14">
        <f t="shared" si="2"/>
        <v>507128.19803999999</v>
      </c>
      <c r="J34" s="14">
        <f t="shared" si="2"/>
        <v>319150.98</v>
      </c>
      <c r="K34" s="14">
        <f t="shared" si="2"/>
        <v>1218725.5880400001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254</v>
      </c>
      <c r="G39" s="11">
        <v>117</v>
      </c>
      <c r="H39" s="12">
        <v>320157.17</v>
      </c>
      <c r="I39" s="13">
        <v>0</v>
      </c>
      <c r="J39" s="12">
        <v>0</v>
      </c>
      <c r="K39" s="14">
        <f t="shared" si="3"/>
        <v>320157.17</v>
      </c>
    </row>
    <row r="40" spans="1:11" ht="18" customHeight="1">
      <c r="A40" s="6" t="s">
        <v>48</v>
      </c>
      <c r="B40" s="63" t="s">
        <v>49</v>
      </c>
      <c r="F40" s="11">
        <v>2187.5</v>
      </c>
      <c r="G40" s="11">
        <v>451</v>
      </c>
      <c r="H40" s="12">
        <v>110388.92</v>
      </c>
      <c r="I40" s="13">
        <v>0</v>
      </c>
      <c r="J40" s="12">
        <v>0</v>
      </c>
      <c r="K40" s="14">
        <f t="shared" si="3"/>
        <v>110388.92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117</v>
      </c>
      <c r="G42" s="11">
        <v>456</v>
      </c>
      <c r="H42" s="12">
        <v>10811.4</v>
      </c>
      <c r="I42" s="13">
        <v>0</v>
      </c>
      <c r="J42" s="12">
        <v>8063</v>
      </c>
      <c r="K42" s="14">
        <f t="shared" si="3"/>
        <v>2748.3999999999996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 t="s">
        <v>500</v>
      </c>
      <c r="C44" s="379"/>
      <c r="D44" s="380"/>
      <c r="F44" s="11">
        <v>89</v>
      </c>
      <c r="G44" s="11">
        <v>2</v>
      </c>
      <c r="H44" s="12">
        <v>460.72</v>
      </c>
      <c r="I44" s="13">
        <v>0</v>
      </c>
      <c r="J44" s="12">
        <v>0</v>
      </c>
      <c r="K44" s="14">
        <f t="shared" si="3"/>
        <v>460.72</v>
      </c>
    </row>
    <row r="45" spans="1:11" ht="18" customHeight="1">
      <c r="A45" s="6" t="s">
        <v>57</v>
      </c>
      <c r="B45" s="378" t="s">
        <v>499</v>
      </c>
      <c r="C45" s="379"/>
      <c r="D45" s="380"/>
      <c r="F45" s="11">
        <v>59</v>
      </c>
      <c r="G45" s="11">
        <v>78</v>
      </c>
      <c r="H45" s="12">
        <v>3088.01</v>
      </c>
      <c r="I45" s="13">
        <f>H45*F$116</f>
        <v>1519.3009200000001</v>
      </c>
      <c r="J45" s="12">
        <v>3340</v>
      </c>
      <c r="K45" s="14">
        <f t="shared" si="3"/>
        <v>1267.3109199999999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2706.5</v>
      </c>
      <c r="G48" s="25">
        <f t="shared" si="4"/>
        <v>1104</v>
      </c>
      <c r="H48" s="14">
        <f t="shared" si="4"/>
        <v>444906.22</v>
      </c>
      <c r="I48" s="14">
        <f t="shared" si="4"/>
        <v>1519.3009200000001</v>
      </c>
      <c r="J48" s="14">
        <f t="shared" si="4"/>
        <v>11403</v>
      </c>
      <c r="K48" s="14">
        <f t="shared" si="4"/>
        <v>435022.52091999998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498</v>
      </c>
      <c r="C52" s="385"/>
      <c r="D52" s="359"/>
      <c r="F52" s="11">
        <v>1515</v>
      </c>
      <c r="G52" s="11">
        <v>210</v>
      </c>
      <c r="H52" s="12">
        <v>40418.01</v>
      </c>
      <c r="I52" s="13">
        <v>48205</v>
      </c>
      <c r="J52" s="12">
        <v>19777</v>
      </c>
      <c r="K52" s="14">
        <f t="shared" ref="K52:K61" si="5">(H52+I52)-J52</f>
        <v>68846.010000000009</v>
      </c>
    </row>
    <row r="53" spans="1:11" ht="18" customHeight="1">
      <c r="A53" s="6" t="s">
        <v>63</v>
      </c>
      <c r="B53" s="27" t="s">
        <v>497</v>
      </c>
      <c r="C53" s="28"/>
      <c r="D53" s="29"/>
      <c r="F53" s="11">
        <v>2288</v>
      </c>
      <c r="G53" s="11">
        <v>9428</v>
      </c>
      <c r="H53" s="12">
        <v>98142.07</v>
      </c>
      <c r="I53" s="13">
        <v>0</v>
      </c>
      <c r="J53" s="12">
        <v>0</v>
      </c>
      <c r="K53" s="14">
        <f t="shared" si="5"/>
        <v>98142.07</v>
      </c>
    </row>
    <row r="54" spans="1:11" ht="18" customHeight="1">
      <c r="A54" s="6" t="s">
        <v>65</v>
      </c>
      <c r="B54" s="381" t="s">
        <v>496</v>
      </c>
      <c r="C54" s="358"/>
      <c r="D54" s="359"/>
      <c r="F54" s="11">
        <v>0</v>
      </c>
      <c r="G54" s="11">
        <v>0</v>
      </c>
      <c r="H54" s="12">
        <v>3134606</v>
      </c>
      <c r="I54" s="13">
        <v>0</v>
      </c>
      <c r="J54" s="12">
        <v>1161500</v>
      </c>
      <c r="K54" s="14">
        <f t="shared" si="5"/>
        <v>1973106</v>
      </c>
    </row>
    <row r="55" spans="1:11" ht="18" customHeight="1">
      <c r="A55" s="6" t="s">
        <v>67</v>
      </c>
      <c r="B55" s="381" t="s">
        <v>495</v>
      </c>
      <c r="C55" s="358"/>
      <c r="D55" s="359"/>
      <c r="F55" s="11">
        <v>24032</v>
      </c>
      <c r="G55" s="11">
        <v>18519</v>
      </c>
      <c r="H55" s="12">
        <v>2684753</v>
      </c>
      <c r="I55" s="13">
        <v>558552</v>
      </c>
      <c r="J55" s="12">
        <v>1762800</v>
      </c>
      <c r="K55" s="14">
        <f t="shared" si="5"/>
        <v>1480505</v>
      </c>
    </row>
    <row r="56" spans="1:11" ht="18" customHeight="1">
      <c r="A56" s="6" t="s">
        <v>69</v>
      </c>
      <c r="B56" s="381" t="s">
        <v>494</v>
      </c>
      <c r="C56" s="358"/>
      <c r="D56" s="359"/>
      <c r="F56" s="11">
        <v>0</v>
      </c>
      <c r="G56" s="11">
        <v>0</v>
      </c>
      <c r="H56" s="12">
        <v>726632.94</v>
      </c>
      <c r="I56" s="13">
        <v>0</v>
      </c>
      <c r="J56" s="12">
        <v>0</v>
      </c>
      <c r="K56" s="14">
        <f t="shared" si="5"/>
        <v>726632.94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27835</v>
      </c>
      <c r="G63" s="19">
        <f t="shared" si="6"/>
        <v>28157</v>
      </c>
      <c r="H63" s="14">
        <f t="shared" si="6"/>
        <v>6684552.0199999996</v>
      </c>
      <c r="I63" s="14">
        <f t="shared" si="6"/>
        <v>606757</v>
      </c>
      <c r="J63" s="14">
        <f t="shared" si="6"/>
        <v>2944077</v>
      </c>
      <c r="K63" s="14">
        <f t="shared" si="6"/>
        <v>4347232.0199999996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18</v>
      </c>
      <c r="G67" s="34">
        <v>20</v>
      </c>
      <c r="H67" s="34">
        <v>1843.04</v>
      </c>
      <c r="I67" s="13">
        <f>H67*F$116</f>
        <v>906.77567999999997</v>
      </c>
      <c r="J67" s="34">
        <v>0</v>
      </c>
      <c r="K67" s="14">
        <f t="shared" ref="K67:K72" si="7">(H67+I67)-J67</f>
        <v>2749.8156799999997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18</v>
      </c>
      <c r="G74" s="43">
        <f t="shared" si="8"/>
        <v>20</v>
      </c>
      <c r="H74" s="43">
        <f t="shared" si="8"/>
        <v>1843.04</v>
      </c>
      <c r="I74" s="43">
        <f t="shared" si="8"/>
        <v>906.77567999999997</v>
      </c>
      <c r="J74" s="43">
        <f t="shared" si="8"/>
        <v>0</v>
      </c>
      <c r="K74" s="43">
        <f t="shared" si="8"/>
        <v>2749.8156799999997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125130</v>
      </c>
      <c r="I77" s="13">
        <v>0</v>
      </c>
      <c r="J77" s="12">
        <v>0</v>
      </c>
      <c r="K77" s="14">
        <f>(H77+I77)-J77</f>
        <v>125130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4398.5</v>
      </c>
      <c r="G79" s="11">
        <v>6534</v>
      </c>
      <c r="H79" s="12">
        <v>80316.59</v>
      </c>
      <c r="I79" s="13">
        <v>0</v>
      </c>
      <c r="J79" s="12">
        <v>0</v>
      </c>
      <c r="K79" s="14">
        <f>(H79+I79)-J79</f>
        <v>80316.59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4398.5</v>
      </c>
      <c r="G82" s="44">
        <f t="shared" si="9"/>
        <v>6534</v>
      </c>
      <c r="H82" s="45">
        <f t="shared" si="9"/>
        <v>205446.59</v>
      </c>
      <c r="I82" s="45">
        <f t="shared" si="9"/>
        <v>0</v>
      </c>
      <c r="J82" s="45">
        <f t="shared" si="9"/>
        <v>0</v>
      </c>
      <c r="K82" s="45">
        <f t="shared" si="9"/>
        <v>205446.59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1</v>
      </c>
      <c r="G86" s="11">
        <v>0</v>
      </c>
      <c r="H86" s="12">
        <v>113.19</v>
      </c>
      <c r="I86" s="13">
        <f t="shared" ref="I86:I97" si="10">H86*F$116</f>
        <v>55.689479999999996</v>
      </c>
      <c r="J86" s="12">
        <v>0</v>
      </c>
      <c r="K86" s="14">
        <f t="shared" ref="K86:K97" si="11">(H86+I86)-J86</f>
        <v>168.87948</v>
      </c>
    </row>
    <row r="87" spans="1:11" ht="18" customHeight="1">
      <c r="A87" s="6" t="s">
        <v>102</v>
      </c>
      <c r="B87" s="63" t="s">
        <v>103</v>
      </c>
      <c r="F87" s="11">
        <v>42</v>
      </c>
      <c r="G87" s="11">
        <v>0</v>
      </c>
      <c r="H87" s="12">
        <v>4649.26</v>
      </c>
      <c r="I87" s="13">
        <f t="shared" si="10"/>
        <v>2287.4359199999999</v>
      </c>
      <c r="J87" s="12">
        <v>0</v>
      </c>
      <c r="K87" s="14">
        <f t="shared" si="11"/>
        <v>6936.6959200000001</v>
      </c>
    </row>
    <row r="88" spans="1:11" ht="18" customHeight="1">
      <c r="A88" s="6" t="s">
        <v>104</v>
      </c>
      <c r="B88" s="63" t="s">
        <v>105</v>
      </c>
      <c r="F88" s="11">
        <v>4</v>
      </c>
      <c r="G88" s="11">
        <v>0</v>
      </c>
      <c r="H88" s="12">
        <v>236.63</v>
      </c>
      <c r="I88" s="13">
        <f t="shared" si="10"/>
        <v>116.42196</v>
      </c>
      <c r="J88" s="12">
        <v>0</v>
      </c>
      <c r="K88" s="14">
        <f t="shared" si="11"/>
        <v>353.05196000000001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>
        <v>401</v>
      </c>
      <c r="G91" s="11">
        <v>230</v>
      </c>
      <c r="H91" s="12">
        <v>29133.01</v>
      </c>
      <c r="I91" s="13">
        <f t="shared" si="10"/>
        <v>14333.440919999999</v>
      </c>
      <c r="J91" s="12">
        <v>0</v>
      </c>
      <c r="K91" s="14">
        <f t="shared" si="11"/>
        <v>43466.450919999996</v>
      </c>
    </row>
    <row r="92" spans="1:11" ht="18" customHeight="1">
      <c r="A92" s="6" t="s">
        <v>112</v>
      </c>
      <c r="B92" s="63" t="s">
        <v>113</v>
      </c>
      <c r="F92" s="46">
        <v>223</v>
      </c>
      <c r="G92" s="46">
        <v>40</v>
      </c>
      <c r="H92" s="47">
        <v>23033.46</v>
      </c>
      <c r="I92" s="13">
        <f t="shared" si="10"/>
        <v>11332.462319999999</v>
      </c>
      <c r="J92" s="47">
        <v>0</v>
      </c>
      <c r="K92" s="14">
        <f t="shared" si="11"/>
        <v>34365.922319999998</v>
      </c>
    </row>
    <row r="93" spans="1:11" ht="18" customHeight="1">
      <c r="A93" s="6" t="s">
        <v>114</v>
      </c>
      <c r="B93" s="63" t="s">
        <v>115</v>
      </c>
      <c r="F93" s="11">
        <v>135</v>
      </c>
      <c r="G93" s="11">
        <v>451</v>
      </c>
      <c r="H93" s="12">
        <v>4305.04</v>
      </c>
      <c r="I93" s="13">
        <f t="shared" si="10"/>
        <v>2118.0796799999998</v>
      </c>
      <c r="J93" s="12">
        <v>0</v>
      </c>
      <c r="K93" s="14">
        <f t="shared" si="11"/>
        <v>6423.1196799999998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806</v>
      </c>
      <c r="G99" s="19">
        <f t="shared" si="12"/>
        <v>721</v>
      </c>
      <c r="H99" s="19">
        <f t="shared" si="12"/>
        <v>61470.59</v>
      </c>
      <c r="I99" s="19">
        <f t="shared" si="12"/>
        <v>30243.530279999995</v>
      </c>
      <c r="J99" s="19">
        <f t="shared" si="12"/>
        <v>0</v>
      </c>
      <c r="K99" s="19">
        <f t="shared" si="12"/>
        <v>91714.120280000003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 t="s">
        <v>493</v>
      </c>
      <c r="C106" s="358"/>
      <c r="D106" s="359"/>
      <c r="F106" s="11">
        <v>115</v>
      </c>
      <c r="G106" s="11">
        <v>0</v>
      </c>
      <c r="H106" s="12">
        <v>3718.86</v>
      </c>
      <c r="I106" s="13">
        <f t="shared" si="13"/>
        <v>1829.67912</v>
      </c>
      <c r="J106" s="12">
        <v>0</v>
      </c>
      <c r="K106" s="14">
        <f t="shared" si="14"/>
        <v>5548.5391200000004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115</v>
      </c>
      <c r="G110" s="19">
        <f t="shared" si="15"/>
        <v>0</v>
      </c>
      <c r="H110" s="14">
        <f t="shared" si="15"/>
        <v>3718.86</v>
      </c>
      <c r="I110" s="14">
        <f t="shared" si="15"/>
        <v>1829.67912</v>
      </c>
      <c r="J110" s="14">
        <f t="shared" si="15"/>
        <v>0</v>
      </c>
      <c r="K110" s="14">
        <f t="shared" si="15"/>
        <v>5548.5391200000004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8145900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0.49199999999999999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368038000</v>
      </c>
    </row>
    <row r="120" spans="1:6" ht="18" customHeight="1">
      <c r="B120" s="2" t="s">
        <v>137</v>
      </c>
      <c r="F120" s="12">
        <v>1976000</v>
      </c>
    </row>
    <row r="121" spans="1:6" ht="18" customHeight="1">
      <c r="A121" s="6"/>
      <c r="B121" s="5" t="s">
        <v>138</v>
      </c>
      <c r="F121" s="12">
        <v>370014000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357978000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12036000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-17877000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-5841000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21736</v>
      </c>
      <c r="G144" s="54">
        <f t="shared" si="18"/>
        <v>59425</v>
      </c>
      <c r="H144" s="54">
        <f t="shared" si="18"/>
        <v>1030748.37</v>
      </c>
      <c r="I144" s="54">
        <f t="shared" si="18"/>
        <v>507128.19803999999</v>
      </c>
      <c r="J144" s="54">
        <f t="shared" si="18"/>
        <v>319150.98</v>
      </c>
      <c r="K144" s="54">
        <f t="shared" si="18"/>
        <v>1218725.5880400001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2706.5</v>
      </c>
      <c r="G145" s="54">
        <f t="shared" si="19"/>
        <v>1104</v>
      </c>
      <c r="H145" s="54">
        <f t="shared" si="19"/>
        <v>444906.22</v>
      </c>
      <c r="I145" s="54">
        <f t="shared" si="19"/>
        <v>1519.3009200000001</v>
      </c>
      <c r="J145" s="54">
        <f t="shared" si="19"/>
        <v>11403</v>
      </c>
      <c r="K145" s="54">
        <f t="shared" si="19"/>
        <v>435022.52091999998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27835</v>
      </c>
      <c r="G146" s="54">
        <f t="shared" si="20"/>
        <v>28157</v>
      </c>
      <c r="H146" s="54">
        <f t="shared" si="20"/>
        <v>6684552.0199999996</v>
      </c>
      <c r="I146" s="54">
        <f t="shared" si="20"/>
        <v>606757</v>
      </c>
      <c r="J146" s="54">
        <f t="shared" si="20"/>
        <v>2944077</v>
      </c>
      <c r="K146" s="54">
        <f t="shared" si="20"/>
        <v>4347232.0199999996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18</v>
      </c>
      <c r="G147" s="54">
        <f t="shared" si="21"/>
        <v>20</v>
      </c>
      <c r="H147" s="54">
        <f t="shared" si="21"/>
        <v>1843.04</v>
      </c>
      <c r="I147" s="54">
        <f t="shared" si="21"/>
        <v>906.77567999999997</v>
      </c>
      <c r="J147" s="54">
        <f t="shared" si="21"/>
        <v>0</v>
      </c>
      <c r="K147" s="54">
        <f t="shared" si="21"/>
        <v>2749.8156799999997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4398.5</v>
      </c>
      <c r="G148" s="54">
        <f t="shared" si="22"/>
        <v>6534</v>
      </c>
      <c r="H148" s="54">
        <f t="shared" si="22"/>
        <v>205446.59</v>
      </c>
      <c r="I148" s="54">
        <f t="shared" si="22"/>
        <v>0</v>
      </c>
      <c r="J148" s="54">
        <f t="shared" si="22"/>
        <v>0</v>
      </c>
      <c r="K148" s="54">
        <f t="shared" si="22"/>
        <v>205446.59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806</v>
      </c>
      <c r="G149" s="54">
        <f t="shared" si="23"/>
        <v>721</v>
      </c>
      <c r="H149" s="54">
        <f t="shared" si="23"/>
        <v>61470.59</v>
      </c>
      <c r="I149" s="54">
        <f t="shared" si="23"/>
        <v>30243.530279999995</v>
      </c>
      <c r="J149" s="54">
        <f t="shared" si="23"/>
        <v>0</v>
      </c>
      <c r="K149" s="54">
        <f t="shared" si="23"/>
        <v>91714.120280000003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115</v>
      </c>
      <c r="G150" s="19">
        <f t="shared" si="24"/>
        <v>0</v>
      </c>
      <c r="H150" s="19">
        <f t="shared" si="24"/>
        <v>3718.86</v>
      </c>
      <c r="I150" s="19">
        <f t="shared" si="24"/>
        <v>1829.67912</v>
      </c>
      <c r="J150" s="19">
        <f t="shared" si="24"/>
        <v>0</v>
      </c>
      <c r="K150" s="19">
        <f t="shared" si="24"/>
        <v>5548.5391200000004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8145900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57615</v>
      </c>
      <c r="G154" s="60">
        <f t="shared" si="26"/>
        <v>95961</v>
      </c>
      <c r="H154" s="60">
        <f t="shared" si="26"/>
        <v>8432685.6899999995</v>
      </c>
      <c r="I154" s="60">
        <f t="shared" si="26"/>
        <v>1148384.48404</v>
      </c>
      <c r="J154" s="60">
        <f t="shared" si="26"/>
        <v>3274630.98</v>
      </c>
      <c r="K154" s="61">
        <f t="shared" si="26"/>
        <v>14452339.19404</v>
      </c>
    </row>
    <row r="156" spans="1:11" ht="18" customHeight="1">
      <c r="B156" s="5" t="s">
        <v>178</v>
      </c>
      <c r="F156" s="233">
        <f>K154/F123</f>
        <v>4.0372143522898057E-2</v>
      </c>
    </row>
    <row r="157" spans="1:11" ht="18" customHeight="1">
      <c r="B157" s="5" t="s">
        <v>179</v>
      </c>
      <c r="F157" s="233">
        <f>K154/F129</f>
        <v>-2.4742919352919022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511</v>
      </c>
      <c r="D5" s="363"/>
      <c r="E5" s="363"/>
      <c r="F5" s="363"/>
      <c r="G5" s="364"/>
    </row>
    <row r="6" spans="1:11" ht="18" customHeight="1">
      <c r="B6" s="6" t="s">
        <v>4</v>
      </c>
      <c r="C6" s="435">
        <v>3</v>
      </c>
      <c r="D6" s="436"/>
      <c r="E6" s="436"/>
      <c r="F6" s="436"/>
      <c r="G6" s="437"/>
    </row>
    <row r="7" spans="1:11" ht="18" customHeight="1">
      <c r="B7" s="6" t="s">
        <v>5</v>
      </c>
      <c r="C7" s="438">
        <v>1591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510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509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508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334.25</v>
      </c>
      <c r="G18" s="11">
        <v>1940</v>
      </c>
      <c r="H18" s="12">
        <v>11476</v>
      </c>
      <c r="I18" s="13">
        <f t="shared" ref="I18:I32" si="0">H18*F$116</f>
        <v>5760.9520000000002</v>
      </c>
      <c r="J18" s="12">
        <v>2475</v>
      </c>
      <c r="K18" s="14">
        <f t="shared" ref="K18:K32" si="1">(H18+I18)-J18</f>
        <v>14761.952000000001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50</v>
      </c>
      <c r="G21" s="11">
        <v>50</v>
      </c>
      <c r="H21" s="12">
        <v>1779</v>
      </c>
      <c r="I21" s="13">
        <f t="shared" si="0"/>
        <v>893.05799999999999</v>
      </c>
      <c r="J21" s="12"/>
      <c r="K21" s="14">
        <f t="shared" si="1"/>
        <v>2672.058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26</v>
      </c>
      <c r="G26" s="11">
        <v>36</v>
      </c>
      <c r="H26" s="12">
        <v>769</v>
      </c>
      <c r="I26" s="13">
        <f t="shared" si="0"/>
        <v>386.03800000000001</v>
      </c>
      <c r="J26" s="12"/>
      <c r="K26" s="14">
        <f t="shared" si="1"/>
        <v>1155.038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507</v>
      </c>
      <c r="C28" s="379"/>
      <c r="D28" s="380"/>
      <c r="F28" s="11">
        <v>8</v>
      </c>
      <c r="G28" s="11">
        <v>120</v>
      </c>
      <c r="H28" s="12">
        <v>294</v>
      </c>
      <c r="I28" s="13">
        <f t="shared" si="0"/>
        <v>147.58799999999999</v>
      </c>
      <c r="J28" s="12"/>
      <c r="K28" s="14">
        <f t="shared" si="1"/>
        <v>441.58799999999997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418.25</v>
      </c>
      <c r="G34" s="19">
        <f t="shared" si="2"/>
        <v>2146</v>
      </c>
      <c r="H34" s="14">
        <f t="shared" si="2"/>
        <v>14318</v>
      </c>
      <c r="I34" s="14">
        <f t="shared" si="2"/>
        <v>7187.6360000000004</v>
      </c>
      <c r="J34" s="14">
        <f t="shared" si="2"/>
        <v>2475</v>
      </c>
      <c r="K34" s="14">
        <f t="shared" si="2"/>
        <v>19030.636000000002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16</v>
      </c>
      <c r="G42" s="11">
        <v>240</v>
      </c>
      <c r="H42" s="12">
        <v>589</v>
      </c>
      <c r="I42" s="13">
        <f>H42*F$116</f>
        <v>295.678</v>
      </c>
      <c r="J42" s="12"/>
      <c r="K42" s="14">
        <f t="shared" si="3"/>
        <v>884.678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16</v>
      </c>
      <c r="G48" s="25">
        <f t="shared" si="4"/>
        <v>240</v>
      </c>
      <c r="H48" s="14">
        <f t="shared" si="4"/>
        <v>589</v>
      </c>
      <c r="I48" s="14">
        <f t="shared" si="4"/>
        <v>295.678</v>
      </c>
      <c r="J48" s="14">
        <f t="shared" si="4"/>
        <v>0</v>
      </c>
      <c r="K48" s="14">
        <f t="shared" si="4"/>
        <v>884.678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409</v>
      </c>
      <c r="C52" s="385"/>
      <c r="D52" s="359"/>
      <c r="F52" s="11"/>
      <c r="G52" s="11"/>
      <c r="H52" s="12">
        <v>11607600</v>
      </c>
      <c r="I52" s="13">
        <f>+F$116*H52</f>
        <v>5827015.2000000002</v>
      </c>
      <c r="J52" s="12"/>
      <c r="K52" s="14">
        <f t="shared" ref="K52:K61" si="5">(H52+I52)-J52</f>
        <v>17434615.199999999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11607600</v>
      </c>
      <c r="I63" s="14">
        <f t="shared" si="6"/>
        <v>5827015.2000000002</v>
      </c>
      <c r="J63" s="14">
        <f t="shared" si="6"/>
        <v>0</v>
      </c>
      <c r="K63" s="14">
        <f t="shared" si="6"/>
        <v>17434615.199999999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>
        <v>19600</v>
      </c>
      <c r="I79" s="13">
        <v>0</v>
      </c>
      <c r="J79" s="12"/>
      <c r="K79" s="14">
        <f>(H79+I79)-J79</f>
        <v>19600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19600</v>
      </c>
      <c r="I82" s="45">
        <f t="shared" si="9"/>
        <v>0</v>
      </c>
      <c r="J82" s="45">
        <f t="shared" si="9"/>
        <v>0</v>
      </c>
      <c r="K82" s="45">
        <f t="shared" si="9"/>
        <v>19600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53</v>
      </c>
      <c r="G88" s="11">
        <v>31</v>
      </c>
      <c r="H88" s="12">
        <v>2275</v>
      </c>
      <c r="I88" s="13">
        <f t="shared" si="10"/>
        <v>1142.05</v>
      </c>
      <c r="J88" s="12"/>
      <c r="K88" s="14">
        <f t="shared" si="11"/>
        <v>3417.05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>
        <v>148.80000000000001</v>
      </c>
      <c r="G91" s="11"/>
      <c r="H91" s="12">
        <v>10734</v>
      </c>
      <c r="I91" s="13">
        <f t="shared" si="10"/>
        <v>5388.4679999999998</v>
      </c>
      <c r="J91" s="12"/>
      <c r="K91" s="14">
        <f t="shared" si="11"/>
        <v>16122.468000000001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506</v>
      </c>
      <c r="C95" s="358"/>
      <c r="D95" s="359"/>
      <c r="F95" s="11">
        <v>24</v>
      </c>
      <c r="G95" s="11">
        <v>125</v>
      </c>
      <c r="H95" s="12">
        <v>694</v>
      </c>
      <c r="I95" s="13">
        <f t="shared" si="10"/>
        <v>348.38799999999998</v>
      </c>
      <c r="J95" s="12"/>
      <c r="K95" s="14">
        <f t="shared" si="11"/>
        <v>1042.3879999999999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225.8</v>
      </c>
      <c r="G99" s="19">
        <f t="shared" si="12"/>
        <v>156</v>
      </c>
      <c r="H99" s="19">
        <f t="shared" si="12"/>
        <v>13703</v>
      </c>
      <c r="I99" s="19">
        <f t="shared" si="12"/>
        <v>6878.9059999999999</v>
      </c>
      <c r="J99" s="19">
        <f t="shared" si="12"/>
        <v>0</v>
      </c>
      <c r="K99" s="19">
        <f t="shared" si="12"/>
        <v>20581.905999999999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27</v>
      </c>
      <c r="G103" s="11"/>
      <c r="H103" s="12">
        <v>1948</v>
      </c>
      <c r="I103" s="13">
        <f t="shared" ref="I103:I108" si="13">H103*F$116</f>
        <v>977.89599999999996</v>
      </c>
      <c r="J103" s="12"/>
      <c r="K103" s="14">
        <f t="shared" ref="K103:K108" si="14">(H103+I103)-J103</f>
        <v>2925.8959999999997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27</v>
      </c>
      <c r="G110" s="19">
        <f t="shared" si="15"/>
        <v>0</v>
      </c>
      <c r="H110" s="14">
        <f t="shared" si="15"/>
        <v>1948</v>
      </c>
      <c r="I110" s="14">
        <f t="shared" si="15"/>
        <v>977.89599999999996</v>
      </c>
      <c r="J110" s="14">
        <f t="shared" si="15"/>
        <v>0</v>
      </c>
      <c r="K110" s="14">
        <f t="shared" si="15"/>
        <v>2925.8959999999997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1032020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226477900</v>
      </c>
    </row>
    <row r="120" spans="1:6" ht="18" customHeight="1">
      <c r="B120" s="2" t="s">
        <v>137</v>
      </c>
      <c r="F120" s="12">
        <v>2792100</v>
      </c>
    </row>
    <row r="121" spans="1:6" ht="18" customHeight="1">
      <c r="A121" s="6"/>
      <c r="B121" s="5" t="s">
        <v>138</v>
      </c>
      <c r="F121" s="12">
        <f>+F119+F120</f>
        <v>229270000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244485900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-15215900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26693600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11477700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418.25</v>
      </c>
      <c r="G144" s="54">
        <f t="shared" si="18"/>
        <v>2146</v>
      </c>
      <c r="H144" s="54">
        <f t="shared" si="18"/>
        <v>14318</v>
      </c>
      <c r="I144" s="54">
        <f t="shared" si="18"/>
        <v>7187.6360000000004</v>
      </c>
      <c r="J144" s="54">
        <f t="shared" si="18"/>
        <v>2475</v>
      </c>
      <c r="K144" s="54">
        <f t="shared" si="18"/>
        <v>19030.636000000002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16</v>
      </c>
      <c r="G145" s="54">
        <f t="shared" si="19"/>
        <v>240</v>
      </c>
      <c r="H145" s="54">
        <f t="shared" si="19"/>
        <v>589</v>
      </c>
      <c r="I145" s="54">
        <f t="shared" si="19"/>
        <v>295.678</v>
      </c>
      <c r="J145" s="54">
        <f t="shared" si="19"/>
        <v>0</v>
      </c>
      <c r="K145" s="54">
        <f t="shared" si="19"/>
        <v>884.678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11607600</v>
      </c>
      <c r="I146" s="54">
        <f t="shared" si="20"/>
        <v>5827015.2000000002</v>
      </c>
      <c r="J146" s="54">
        <f t="shared" si="20"/>
        <v>0</v>
      </c>
      <c r="K146" s="54">
        <f t="shared" si="20"/>
        <v>17434615.199999999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19600</v>
      </c>
      <c r="I148" s="54">
        <f t="shared" si="22"/>
        <v>0</v>
      </c>
      <c r="J148" s="54">
        <f t="shared" si="22"/>
        <v>0</v>
      </c>
      <c r="K148" s="54">
        <f t="shared" si="22"/>
        <v>19600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225.8</v>
      </c>
      <c r="G149" s="54">
        <f t="shared" si="23"/>
        <v>156</v>
      </c>
      <c r="H149" s="54">
        <f t="shared" si="23"/>
        <v>13703</v>
      </c>
      <c r="I149" s="54">
        <f t="shared" si="23"/>
        <v>6878.9059999999999</v>
      </c>
      <c r="J149" s="54">
        <f t="shared" si="23"/>
        <v>0</v>
      </c>
      <c r="K149" s="54">
        <f t="shared" si="23"/>
        <v>20581.905999999999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27</v>
      </c>
      <c r="G150" s="19">
        <f t="shared" si="24"/>
        <v>0</v>
      </c>
      <c r="H150" s="19">
        <f t="shared" si="24"/>
        <v>1948</v>
      </c>
      <c r="I150" s="19">
        <f t="shared" si="24"/>
        <v>977.89599999999996</v>
      </c>
      <c r="J150" s="19">
        <f t="shared" si="24"/>
        <v>0</v>
      </c>
      <c r="K150" s="19">
        <f t="shared" si="24"/>
        <v>2925.8959999999997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1032020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687.05</v>
      </c>
      <c r="G154" s="60">
        <f t="shared" si="26"/>
        <v>2542</v>
      </c>
      <c r="H154" s="60">
        <f t="shared" si="26"/>
        <v>11657758</v>
      </c>
      <c r="I154" s="60">
        <f t="shared" si="26"/>
        <v>5842355.3160000006</v>
      </c>
      <c r="J154" s="60">
        <f t="shared" si="26"/>
        <v>2475</v>
      </c>
      <c r="K154" s="61">
        <f t="shared" si="26"/>
        <v>18529658.316</v>
      </c>
    </row>
    <row r="156" spans="1:11" ht="18" customHeight="1">
      <c r="B156" s="5" t="s">
        <v>178</v>
      </c>
      <c r="F156" s="233">
        <f>K154/F123</f>
        <v>7.5790294311451095E-2</v>
      </c>
    </row>
    <row r="157" spans="1:11" ht="18" customHeight="1">
      <c r="B157" s="5" t="s">
        <v>179</v>
      </c>
      <c r="F157" s="233">
        <f>K154/F129</f>
        <v>1.6144051783893985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10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523</v>
      </c>
      <c r="D5" s="363"/>
      <c r="E5" s="363"/>
      <c r="F5" s="363"/>
      <c r="G5" s="364"/>
    </row>
    <row r="6" spans="1:11" ht="18" customHeight="1">
      <c r="B6" s="6" t="s">
        <v>4</v>
      </c>
      <c r="C6" s="435">
        <v>5050</v>
      </c>
      <c r="D6" s="436"/>
      <c r="E6" s="436"/>
      <c r="F6" s="436"/>
      <c r="G6" s="437"/>
    </row>
    <row r="7" spans="1:11" ht="18" customHeight="1">
      <c r="B7" s="6" t="s">
        <v>5</v>
      </c>
      <c r="C7" s="438">
        <v>1942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522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521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520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42366.525904574934</v>
      </c>
      <c r="G18" s="11">
        <v>24788.5</v>
      </c>
      <c r="H18" s="12">
        <v>1681464.9720000003</v>
      </c>
      <c r="I18" s="13">
        <f t="shared" ref="I18:I32" si="0">H18*F$116</f>
        <v>1065081.1843582143</v>
      </c>
      <c r="J18" s="12">
        <v>155623.47400000002</v>
      </c>
      <c r="K18" s="14">
        <f t="shared" ref="K18:K32" si="1">(H18+I18)-J18</f>
        <v>2590922.6823582146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7215.7773333333334</v>
      </c>
      <c r="G21" s="11">
        <v>8001.8941515999995</v>
      </c>
      <c r="H21" s="12">
        <v>374913.66474999988</v>
      </c>
      <c r="I21" s="13">
        <f t="shared" si="0"/>
        <v>237479.51740502167</v>
      </c>
      <c r="J21" s="12">
        <v>84681.650250000006</v>
      </c>
      <c r="K21" s="14">
        <f t="shared" si="1"/>
        <v>527711.53190502152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3955.5</v>
      </c>
      <c r="G26" s="11">
        <v>3157.8575999999998</v>
      </c>
      <c r="H26" s="12">
        <v>2207722.1483999998</v>
      </c>
      <c r="I26" s="13">
        <f t="shared" si="0"/>
        <v>1398425.3967270469</v>
      </c>
      <c r="J26" s="12">
        <v>1607961.76</v>
      </c>
      <c r="K26" s="14">
        <f t="shared" si="1"/>
        <v>1998185.7851270468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519</v>
      </c>
      <c r="C28" s="379"/>
      <c r="D28" s="380"/>
      <c r="F28" s="11">
        <v>3001.1619999999998</v>
      </c>
      <c r="G28" s="11">
        <v>6404.2962749999997</v>
      </c>
      <c r="H28" s="12">
        <v>57024.065750000002</v>
      </c>
      <c r="I28" s="13">
        <f t="shared" si="0"/>
        <v>36120.442885997079</v>
      </c>
      <c r="J28" s="12">
        <v>11314.04075</v>
      </c>
      <c r="K28" s="14">
        <f t="shared" si="1"/>
        <v>81830.467885997074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56538.965237908262</v>
      </c>
      <c r="G34" s="19">
        <f t="shared" si="2"/>
        <v>42352.548026600001</v>
      </c>
      <c r="H34" s="14">
        <f t="shared" si="2"/>
        <v>4321124.8509</v>
      </c>
      <c r="I34" s="14">
        <f t="shared" si="2"/>
        <v>2737106.5413762801</v>
      </c>
      <c r="J34" s="14">
        <f t="shared" si="2"/>
        <v>1859580.925</v>
      </c>
      <c r="K34" s="14">
        <f t="shared" si="2"/>
        <v>5198650.4672762798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2496.25</v>
      </c>
      <c r="G38" s="11">
        <v>9851.7119999999995</v>
      </c>
      <c r="H38" s="12">
        <v>248580.37</v>
      </c>
      <c r="I38" s="13">
        <f>H38*F$116</f>
        <v>157456.90769453809</v>
      </c>
      <c r="J38" s="12"/>
      <c r="K38" s="14">
        <f t="shared" ref="K38:K46" si="3">(H38+I38)-J38</f>
        <v>406037.27769453812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5244.46</v>
      </c>
      <c r="G40" s="11">
        <v>6322</v>
      </c>
      <c r="H40" s="12">
        <v>289757.78000000003</v>
      </c>
      <c r="I40" s="13">
        <f t="shared" ref="I40:I46" si="4">H40*F$116</f>
        <v>183539.68987669572</v>
      </c>
      <c r="J40" s="12"/>
      <c r="K40" s="14">
        <f t="shared" si="3"/>
        <v>473297.46987669577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3063.8999999920002</v>
      </c>
      <c r="G41" s="11">
        <v>10601.093999972321</v>
      </c>
      <c r="H41" s="12">
        <v>153159.66</v>
      </c>
      <c r="I41" s="13">
        <f t="shared" si="4"/>
        <v>97015.087905560838</v>
      </c>
      <c r="J41" s="12"/>
      <c r="K41" s="14">
        <f t="shared" si="3"/>
        <v>250174.74790556083</v>
      </c>
    </row>
    <row r="42" spans="1:11" ht="18" customHeight="1">
      <c r="A42" s="6" t="s">
        <v>52</v>
      </c>
      <c r="B42" s="63" t="s">
        <v>53</v>
      </c>
      <c r="F42" s="11">
        <v>103.9</v>
      </c>
      <c r="G42" s="11">
        <v>125</v>
      </c>
      <c r="H42" s="12">
        <v>5302.5</v>
      </c>
      <c r="I42" s="13">
        <f t="shared" si="4"/>
        <v>3358.7336483982554</v>
      </c>
      <c r="J42" s="12"/>
      <c r="K42" s="14">
        <f t="shared" si="3"/>
        <v>8661.2336483982544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f t="shared" si="4"/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f t="shared" si="4"/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f t="shared" si="4"/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f t="shared" si="4"/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5">SUM(F38:F46)</f>
        <v>10908.509999992</v>
      </c>
      <c r="G48" s="25">
        <f t="shared" si="5"/>
        <v>26899.805999972319</v>
      </c>
      <c r="H48" s="14">
        <f t="shared" si="5"/>
        <v>696800.31</v>
      </c>
      <c r="I48" s="14">
        <f t="shared" si="5"/>
        <v>441370.41912519292</v>
      </c>
      <c r="J48" s="14">
        <f t="shared" si="5"/>
        <v>0</v>
      </c>
      <c r="K48" s="14">
        <f t="shared" si="5"/>
        <v>1138170.7291251929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518</v>
      </c>
      <c r="C52" s="385"/>
      <c r="D52" s="359"/>
      <c r="F52" s="11">
        <v>2032.6799999999998</v>
      </c>
      <c r="G52" s="11">
        <v>1158.6275999999998</v>
      </c>
      <c r="H52" s="12">
        <v>345080.72</v>
      </c>
      <c r="I52" s="13">
        <f>H52*F$116</f>
        <v>218582.597958981</v>
      </c>
      <c r="J52" s="12">
        <v>39053.670000000006</v>
      </c>
      <c r="K52" s="14">
        <f t="shared" ref="K52:K61" si="6">(H52+I52)-J52</f>
        <v>524609.64795898099</v>
      </c>
    </row>
    <row r="53" spans="1:11" ht="18" customHeight="1">
      <c r="A53" s="6" t="s">
        <v>63</v>
      </c>
      <c r="B53" s="27" t="s">
        <v>517</v>
      </c>
      <c r="C53" s="28"/>
      <c r="D53" s="29"/>
      <c r="F53" s="11">
        <v>54080</v>
      </c>
      <c r="G53" s="11">
        <v>0</v>
      </c>
      <c r="H53" s="12">
        <v>5507684.4100000001</v>
      </c>
      <c r="I53" s="13">
        <f>H53*F$116</f>
        <v>3488702.4898869386</v>
      </c>
      <c r="J53" s="12"/>
      <c r="K53" s="14">
        <f t="shared" si="6"/>
        <v>8996386.8998869397</v>
      </c>
    </row>
    <row r="54" spans="1:11" ht="18" customHeight="1">
      <c r="A54" s="6" t="s">
        <v>65</v>
      </c>
      <c r="B54" s="381" t="s">
        <v>516</v>
      </c>
      <c r="C54" s="358"/>
      <c r="D54" s="359"/>
      <c r="F54" s="11">
        <v>0</v>
      </c>
      <c r="G54" s="11">
        <v>0</v>
      </c>
      <c r="H54" s="12">
        <v>295969.20999999996</v>
      </c>
      <c r="I54" s="13">
        <f>H54*F$116</f>
        <v>187474.16209652979</v>
      </c>
      <c r="J54" s="12"/>
      <c r="K54" s="14">
        <f t="shared" si="6"/>
        <v>483443.37209652975</v>
      </c>
    </row>
    <row r="55" spans="1:11" ht="18" customHeight="1">
      <c r="A55" s="6" t="s">
        <v>67</v>
      </c>
      <c r="B55" s="381" t="s">
        <v>515</v>
      </c>
      <c r="C55" s="358"/>
      <c r="D55" s="359"/>
      <c r="F55" s="11"/>
      <c r="G55" s="11"/>
      <c r="H55" s="12">
        <v>12143290.875999998</v>
      </c>
      <c r="I55" s="13">
        <f>[9]Sheet1!$K$117</f>
        <v>866040.36</v>
      </c>
      <c r="J55" s="12">
        <v>11770568.859999998</v>
      </c>
      <c r="K55" s="14">
        <f t="shared" si="6"/>
        <v>1238762.3760000002</v>
      </c>
    </row>
    <row r="56" spans="1:11" ht="18" customHeight="1">
      <c r="A56" s="6" t="s">
        <v>69</v>
      </c>
      <c r="B56" s="381" t="s">
        <v>253</v>
      </c>
      <c r="C56" s="358"/>
      <c r="D56" s="359"/>
      <c r="F56" s="11">
        <v>4.25</v>
      </c>
      <c r="G56" s="11">
        <v>6</v>
      </c>
      <c r="H56" s="12">
        <v>453</v>
      </c>
      <c r="I56" s="13">
        <f>H56*F$116</f>
        <v>286.94131875990752</v>
      </c>
      <c r="J56" s="12"/>
      <c r="K56" s="14">
        <f t="shared" si="6"/>
        <v>739.94131875990752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f>H57*F$116</f>
        <v>0</v>
      </c>
      <c r="J57" s="12"/>
      <c r="K57" s="14">
        <f t="shared" si="6"/>
        <v>0</v>
      </c>
    </row>
    <row r="58" spans="1:11" ht="18" customHeight="1">
      <c r="A58" s="6" t="s">
        <v>73</v>
      </c>
      <c r="B58" s="381" t="s">
        <v>514</v>
      </c>
      <c r="C58" s="358"/>
      <c r="D58" s="359"/>
      <c r="F58" s="11">
        <v>9.75</v>
      </c>
      <c r="G58" s="11">
        <v>54</v>
      </c>
      <c r="H58" s="12">
        <v>1080</v>
      </c>
      <c r="I58" s="13">
        <f>H58*F$116</f>
        <v>684.09850830176629</v>
      </c>
      <c r="J58" s="12"/>
      <c r="K58" s="14">
        <f t="shared" si="6"/>
        <v>1764.0985083017663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6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6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6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7">SUM(F52:F61)</f>
        <v>56126.68</v>
      </c>
      <c r="G63" s="19">
        <f t="shared" si="7"/>
        <v>1218.6275999999998</v>
      </c>
      <c r="H63" s="14">
        <f t="shared" si="7"/>
        <v>18293558.215999998</v>
      </c>
      <c r="I63" s="14">
        <f t="shared" si="7"/>
        <v>4761770.6497695111</v>
      </c>
      <c r="J63" s="14">
        <f t="shared" si="7"/>
        <v>11809622.529999997</v>
      </c>
      <c r="K63" s="14">
        <f t="shared" si="7"/>
        <v>11245706.335769512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220">
        <v>6045.7428569920003</v>
      </c>
      <c r="G67" s="220">
        <v>8461.1899997887995</v>
      </c>
      <c r="H67" s="220">
        <v>361603.95</v>
      </c>
      <c r="I67" s="13">
        <f>H67*F$116</f>
        <v>229048.8173990986</v>
      </c>
      <c r="J67" s="220">
        <v>112509.52</v>
      </c>
      <c r="K67" s="14">
        <f t="shared" ref="K67:K72" si="8">(H67+I67)-J67</f>
        <v>478143.24739909859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8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8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8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8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8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9">SUM(F67:F72)</f>
        <v>6045.7428569920003</v>
      </c>
      <c r="G74" s="43">
        <f t="shared" si="9"/>
        <v>8461.1899997887995</v>
      </c>
      <c r="H74" s="43">
        <f t="shared" si="9"/>
        <v>361603.95</v>
      </c>
      <c r="I74" s="43">
        <f t="shared" si="9"/>
        <v>229048.8173990986</v>
      </c>
      <c r="J74" s="43">
        <f t="shared" si="9"/>
        <v>112509.52</v>
      </c>
      <c r="K74" s="43">
        <f t="shared" si="9"/>
        <v>478143.24739909859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431.20244738823243</v>
      </c>
      <c r="G77" s="11">
        <v>0</v>
      </c>
      <c r="H77" s="12">
        <v>624295.25</v>
      </c>
      <c r="I77" s="13">
        <f>H77*F$116</f>
        <v>395443.93450451689</v>
      </c>
      <c r="J77" s="12"/>
      <c r="K77" s="14">
        <f>(H77+I77)-J77</f>
        <v>1019739.1845045169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0</v>
      </c>
      <c r="I78" s="13">
        <f>H78*F$116</f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47.8</v>
      </c>
      <c r="G79" s="11">
        <v>29.5</v>
      </c>
      <c r="H79" s="12">
        <v>14101.5</v>
      </c>
      <c r="I79" s="13">
        <f>H79*F$116</f>
        <v>8932.2362174234786</v>
      </c>
      <c r="J79" s="12"/>
      <c r="K79" s="14">
        <f>(H79+I79)-J79</f>
        <v>23033.73621742348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0">SUM(F77:F80)</f>
        <v>479.00244738823244</v>
      </c>
      <c r="G82" s="44">
        <f t="shared" si="10"/>
        <v>29.5</v>
      </c>
      <c r="H82" s="45">
        <f t="shared" si="10"/>
        <v>638396.75</v>
      </c>
      <c r="I82" s="45">
        <f t="shared" si="10"/>
        <v>404376.17072194035</v>
      </c>
      <c r="J82" s="45">
        <f t="shared" si="10"/>
        <v>0</v>
      </c>
      <c r="K82" s="45">
        <f t="shared" si="10"/>
        <v>1042772.9207219403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202</v>
      </c>
      <c r="G86" s="11">
        <v>1395</v>
      </c>
      <c r="H86" s="12">
        <v>15406.5</v>
      </c>
      <c r="I86" s="13">
        <f t="shared" ref="I86:I97" si="11">H86*F$116</f>
        <v>9758.8552482881132</v>
      </c>
      <c r="J86" s="12"/>
      <c r="K86" s="14">
        <f t="shared" ref="K86:K97" si="12">(H86+I86)-J86</f>
        <v>25165.355248288113</v>
      </c>
    </row>
    <row r="87" spans="1:11" ht="18" customHeight="1">
      <c r="A87" s="6" t="s">
        <v>102</v>
      </c>
      <c r="B87" s="63" t="s">
        <v>103</v>
      </c>
      <c r="F87" s="11">
        <v>8.75</v>
      </c>
      <c r="G87" s="11">
        <v>0</v>
      </c>
      <c r="H87" s="12">
        <v>1775.5</v>
      </c>
      <c r="I87" s="13">
        <f t="shared" si="11"/>
        <v>1124.6452791572092</v>
      </c>
      <c r="J87" s="12"/>
      <c r="K87" s="14">
        <f t="shared" si="12"/>
        <v>2900.1452791572092</v>
      </c>
    </row>
    <row r="88" spans="1:11" ht="18" customHeight="1">
      <c r="A88" s="6" t="s">
        <v>104</v>
      </c>
      <c r="B88" s="63" t="s">
        <v>105</v>
      </c>
      <c r="F88" s="11">
        <v>42</v>
      </c>
      <c r="G88" s="11">
        <v>517.5</v>
      </c>
      <c r="H88" s="12">
        <v>10925.5</v>
      </c>
      <c r="I88" s="13">
        <f t="shared" si="11"/>
        <v>6920.4798633805067</v>
      </c>
      <c r="J88" s="12"/>
      <c r="K88" s="14">
        <f t="shared" si="12"/>
        <v>17845.979863380508</v>
      </c>
    </row>
    <row r="89" spans="1:11" ht="18" customHeight="1">
      <c r="A89" s="6" t="s">
        <v>106</v>
      </c>
      <c r="B89" s="63" t="s">
        <v>107</v>
      </c>
      <c r="F89" s="11">
        <v>5.75</v>
      </c>
      <c r="G89" s="11">
        <v>0</v>
      </c>
      <c r="H89" s="12">
        <v>1401</v>
      </c>
      <c r="I89" s="13">
        <f t="shared" si="11"/>
        <v>887.4277871581246</v>
      </c>
      <c r="J89" s="12"/>
      <c r="K89" s="14">
        <f t="shared" si="12"/>
        <v>2288.4277871581244</v>
      </c>
    </row>
    <row r="90" spans="1:11" ht="18" customHeight="1">
      <c r="A90" s="6" t="s">
        <v>108</v>
      </c>
      <c r="B90" s="386" t="s">
        <v>109</v>
      </c>
      <c r="C90" s="356"/>
      <c r="F90" s="11">
        <v>32.549999999999997</v>
      </c>
      <c r="G90" s="11">
        <v>179</v>
      </c>
      <c r="H90" s="12">
        <v>4591</v>
      </c>
      <c r="I90" s="13">
        <f t="shared" si="11"/>
        <v>2908.0520848272304</v>
      </c>
      <c r="J90" s="12"/>
      <c r="K90" s="14">
        <f t="shared" si="12"/>
        <v>7499.0520848272299</v>
      </c>
    </row>
    <row r="91" spans="1:11" ht="18" customHeight="1">
      <c r="A91" s="6" t="s">
        <v>110</v>
      </c>
      <c r="B91" s="63" t="s">
        <v>111</v>
      </c>
      <c r="F91" s="11">
        <v>501.85</v>
      </c>
      <c r="G91" s="11">
        <v>2923.5</v>
      </c>
      <c r="H91" s="12">
        <v>28980.5</v>
      </c>
      <c r="I91" s="13">
        <f t="shared" si="11"/>
        <v>18356.960018369758</v>
      </c>
      <c r="J91" s="12">
        <v>250</v>
      </c>
      <c r="K91" s="14">
        <f t="shared" si="12"/>
        <v>47087.460018369762</v>
      </c>
    </row>
    <row r="92" spans="1:11" ht="18" customHeight="1">
      <c r="A92" s="6" t="s">
        <v>112</v>
      </c>
      <c r="B92" s="63" t="s">
        <v>113</v>
      </c>
      <c r="F92" s="46">
        <v>136.44999999999999</v>
      </c>
      <c r="G92" s="46">
        <v>63</v>
      </c>
      <c r="H92" s="47">
        <v>21866</v>
      </c>
      <c r="I92" s="13">
        <f t="shared" si="11"/>
        <v>13850.461094931872</v>
      </c>
      <c r="J92" s="47"/>
      <c r="K92" s="14">
        <f t="shared" si="12"/>
        <v>35716.461094931874</v>
      </c>
    </row>
    <row r="93" spans="1:11" ht="18" customHeight="1">
      <c r="A93" s="6" t="s">
        <v>114</v>
      </c>
      <c r="B93" s="63" t="s">
        <v>115</v>
      </c>
      <c r="F93" s="11">
        <v>97.9</v>
      </c>
      <c r="G93" s="11">
        <v>138</v>
      </c>
      <c r="H93" s="12">
        <v>17483</v>
      </c>
      <c r="I93" s="13">
        <f t="shared" si="11"/>
        <v>11074.161315407204</v>
      </c>
      <c r="J93" s="12"/>
      <c r="K93" s="14">
        <f t="shared" si="12"/>
        <v>28557.161315407204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1"/>
        <v>0</v>
      </c>
      <c r="J94" s="12"/>
      <c r="K94" s="14">
        <f t="shared" si="12"/>
        <v>0</v>
      </c>
    </row>
    <row r="95" spans="1:11" ht="18" customHeight="1">
      <c r="A95" s="6"/>
      <c r="B95" s="381" t="s">
        <v>513</v>
      </c>
      <c r="C95" s="358"/>
      <c r="D95" s="359"/>
      <c r="F95" s="11">
        <v>3751.6016878508117</v>
      </c>
      <c r="G95" s="11">
        <v>768.70318584063136</v>
      </c>
      <c r="H95" s="12">
        <v>200677.84775017799</v>
      </c>
      <c r="I95" s="13">
        <f t="shared" si="11"/>
        <v>127114.27434732011</v>
      </c>
      <c r="J95" s="12"/>
      <c r="K95" s="14">
        <f t="shared" si="12"/>
        <v>327792.1220974981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1"/>
        <v>0</v>
      </c>
      <c r="J96" s="12"/>
      <c r="K96" s="14">
        <f t="shared" si="12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1"/>
        <v>0</v>
      </c>
      <c r="J97" s="12"/>
      <c r="K97" s="14">
        <f t="shared" si="12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3">SUM(F86:F97)</f>
        <v>4778.8516878508117</v>
      </c>
      <c r="G99" s="19">
        <f t="shared" si="13"/>
        <v>5984.7031858406317</v>
      </c>
      <c r="H99" s="19">
        <f t="shared" si="13"/>
        <v>303106.84775017796</v>
      </c>
      <c r="I99" s="19">
        <f t="shared" si="13"/>
        <v>191995.31703884015</v>
      </c>
      <c r="J99" s="19">
        <f t="shared" si="13"/>
        <v>250</v>
      </c>
      <c r="K99" s="19">
        <f t="shared" si="13"/>
        <v>494852.1647890181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0</v>
      </c>
      <c r="G103" s="11">
        <v>0</v>
      </c>
      <c r="H103" s="12">
        <v>0</v>
      </c>
      <c r="I103" s="13">
        <f t="shared" ref="I103:I108" si="14">H103*F$116</f>
        <v>0</v>
      </c>
      <c r="J103" s="12"/>
      <c r="K103" s="14">
        <f t="shared" ref="K103:K108" si="15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>
        <v>34.15</v>
      </c>
      <c r="G104" s="11">
        <v>5.5</v>
      </c>
      <c r="H104" s="12">
        <v>5279</v>
      </c>
      <c r="I104" s="13">
        <f t="shared" si="14"/>
        <v>3343.8481715972448</v>
      </c>
      <c r="J104" s="12"/>
      <c r="K104" s="14">
        <f t="shared" si="15"/>
        <v>8622.8481715972448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4"/>
        <v>0</v>
      </c>
      <c r="J105" s="12"/>
      <c r="K105" s="14">
        <f t="shared" si="15"/>
        <v>0</v>
      </c>
    </row>
    <row r="106" spans="1:11" ht="18" customHeight="1">
      <c r="A106" s="6" t="s">
        <v>125</v>
      </c>
      <c r="B106" s="381" t="s">
        <v>512</v>
      </c>
      <c r="C106" s="358"/>
      <c r="D106" s="359"/>
      <c r="F106" s="11">
        <v>789</v>
      </c>
      <c r="G106" s="11">
        <v>9965.07</v>
      </c>
      <c r="H106" s="12">
        <v>370103.39410000003</v>
      </c>
      <c r="I106" s="13">
        <f t="shared" si="14"/>
        <v>234432.573908547</v>
      </c>
      <c r="J106" s="12"/>
      <c r="K106" s="14">
        <f t="shared" si="15"/>
        <v>604535.96800854709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4"/>
        <v>0</v>
      </c>
      <c r="J107" s="12"/>
      <c r="K107" s="14">
        <f t="shared" si="15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4"/>
        <v>0</v>
      </c>
      <c r="J108" s="12"/>
      <c r="K108" s="14">
        <f t="shared" si="15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6">SUM(F103:F108)</f>
        <v>823.15</v>
      </c>
      <c r="G110" s="19">
        <f t="shared" si="16"/>
        <v>9970.57</v>
      </c>
      <c r="H110" s="14">
        <f t="shared" si="16"/>
        <v>375382.39410000003</v>
      </c>
      <c r="I110" s="14">
        <f t="shared" si="16"/>
        <v>237776.42208014423</v>
      </c>
      <c r="J110" s="14">
        <f t="shared" si="16"/>
        <v>0</v>
      </c>
      <c r="K110" s="14">
        <f t="shared" si="16"/>
        <v>613158.81618014432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9373977.1300000027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0.63342454472385767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286352037</v>
      </c>
    </row>
    <row r="120" spans="1:6" ht="18" customHeight="1">
      <c r="B120" s="2" t="s">
        <v>137</v>
      </c>
      <c r="F120" s="12">
        <v>4605379</v>
      </c>
    </row>
    <row r="121" spans="1:6" ht="18" customHeight="1">
      <c r="A121" s="6"/>
      <c r="B121" s="5" t="s">
        <v>138</v>
      </c>
      <c r="F121" s="12">
        <f>SUM(F119:F120)</f>
        <v>290957416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275607577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15349839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-6421906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8927933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7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7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7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7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7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7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8">SUM(F133:F138)</f>
        <v>0</v>
      </c>
      <c r="G140" s="19">
        <f t="shared" si="18"/>
        <v>0</v>
      </c>
      <c r="H140" s="14">
        <f t="shared" si="18"/>
        <v>0</v>
      </c>
      <c r="I140" s="14">
        <f t="shared" si="18"/>
        <v>0</v>
      </c>
      <c r="J140" s="14">
        <f t="shared" si="18"/>
        <v>0</v>
      </c>
      <c r="K140" s="14">
        <f t="shared" si="18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9">F34</f>
        <v>56538.965237908262</v>
      </c>
      <c r="G144" s="54">
        <f t="shared" si="19"/>
        <v>42352.548026600001</v>
      </c>
      <c r="H144" s="54">
        <f t="shared" si="19"/>
        <v>4321124.8509</v>
      </c>
      <c r="I144" s="54">
        <f t="shared" si="19"/>
        <v>2737106.5413762801</v>
      </c>
      <c r="J144" s="54">
        <f t="shared" si="19"/>
        <v>1859580.925</v>
      </c>
      <c r="K144" s="54">
        <f t="shared" si="19"/>
        <v>5198650.4672762798</v>
      </c>
    </row>
    <row r="145" spans="1:11" ht="18" customHeight="1">
      <c r="A145" s="6" t="s">
        <v>162</v>
      </c>
      <c r="B145" s="5" t="s">
        <v>163</v>
      </c>
      <c r="F145" s="54">
        <f t="shared" ref="F145:K145" si="20">F48</f>
        <v>10908.509999992</v>
      </c>
      <c r="G145" s="54">
        <f t="shared" si="20"/>
        <v>26899.805999972319</v>
      </c>
      <c r="H145" s="54">
        <f t="shared" si="20"/>
        <v>696800.31</v>
      </c>
      <c r="I145" s="54">
        <f t="shared" si="20"/>
        <v>441370.41912519292</v>
      </c>
      <c r="J145" s="54">
        <f t="shared" si="20"/>
        <v>0</v>
      </c>
      <c r="K145" s="54">
        <f t="shared" si="20"/>
        <v>1138170.7291251929</v>
      </c>
    </row>
    <row r="146" spans="1:11" ht="18" customHeight="1">
      <c r="A146" s="6" t="s">
        <v>164</v>
      </c>
      <c r="B146" s="5" t="s">
        <v>165</v>
      </c>
      <c r="F146" s="54">
        <f t="shared" ref="F146:K146" si="21">F63</f>
        <v>56126.68</v>
      </c>
      <c r="G146" s="54">
        <f t="shared" si="21"/>
        <v>1218.6275999999998</v>
      </c>
      <c r="H146" s="54">
        <f t="shared" si="21"/>
        <v>18293558.215999998</v>
      </c>
      <c r="I146" s="54">
        <f t="shared" si="21"/>
        <v>4761770.6497695111</v>
      </c>
      <c r="J146" s="54">
        <f t="shared" si="21"/>
        <v>11809622.529999997</v>
      </c>
      <c r="K146" s="54">
        <f t="shared" si="21"/>
        <v>11245706.335769512</v>
      </c>
    </row>
    <row r="147" spans="1:11" ht="18" customHeight="1">
      <c r="A147" s="6" t="s">
        <v>166</v>
      </c>
      <c r="B147" s="5" t="s">
        <v>167</v>
      </c>
      <c r="F147" s="54">
        <f t="shared" ref="F147:K147" si="22">F74</f>
        <v>6045.7428569920003</v>
      </c>
      <c r="G147" s="54">
        <f t="shared" si="22"/>
        <v>8461.1899997887995</v>
      </c>
      <c r="H147" s="54">
        <f t="shared" si="22"/>
        <v>361603.95</v>
      </c>
      <c r="I147" s="54">
        <f t="shared" si="22"/>
        <v>229048.8173990986</v>
      </c>
      <c r="J147" s="54">
        <f t="shared" si="22"/>
        <v>112509.52</v>
      </c>
      <c r="K147" s="54">
        <f t="shared" si="22"/>
        <v>478143.24739909859</v>
      </c>
    </row>
    <row r="148" spans="1:11" ht="18" customHeight="1">
      <c r="A148" s="6" t="s">
        <v>168</v>
      </c>
      <c r="B148" s="5" t="s">
        <v>169</v>
      </c>
      <c r="F148" s="54">
        <f t="shared" ref="F148:K148" si="23">F82</f>
        <v>479.00244738823244</v>
      </c>
      <c r="G148" s="54">
        <f t="shared" si="23"/>
        <v>29.5</v>
      </c>
      <c r="H148" s="54">
        <f t="shared" si="23"/>
        <v>638396.75</v>
      </c>
      <c r="I148" s="54">
        <f t="shared" si="23"/>
        <v>404376.17072194035</v>
      </c>
      <c r="J148" s="54">
        <f t="shared" si="23"/>
        <v>0</v>
      </c>
      <c r="K148" s="54">
        <f t="shared" si="23"/>
        <v>1042772.9207219403</v>
      </c>
    </row>
    <row r="149" spans="1:11" ht="18" customHeight="1">
      <c r="A149" s="6" t="s">
        <v>170</v>
      </c>
      <c r="B149" s="5" t="s">
        <v>171</v>
      </c>
      <c r="F149" s="54">
        <f t="shared" ref="F149:K149" si="24">F99</f>
        <v>4778.8516878508117</v>
      </c>
      <c r="G149" s="54">
        <f t="shared" si="24"/>
        <v>5984.7031858406317</v>
      </c>
      <c r="H149" s="54">
        <f t="shared" si="24"/>
        <v>303106.84775017796</v>
      </c>
      <c r="I149" s="54">
        <f t="shared" si="24"/>
        <v>191995.31703884015</v>
      </c>
      <c r="J149" s="54">
        <f t="shared" si="24"/>
        <v>250</v>
      </c>
      <c r="K149" s="54">
        <f t="shared" si="24"/>
        <v>494852.1647890181</v>
      </c>
    </row>
    <row r="150" spans="1:11" ht="18" customHeight="1">
      <c r="A150" s="6" t="s">
        <v>172</v>
      </c>
      <c r="B150" s="5" t="s">
        <v>173</v>
      </c>
      <c r="F150" s="19">
        <f t="shared" ref="F150:K150" si="25">F110</f>
        <v>823.15</v>
      </c>
      <c r="G150" s="19">
        <f t="shared" si="25"/>
        <v>9970.57</v>
      </c>
      <c r="H150" s="19">
        <f t="shared" si="25"/>
        <v>375382.39410000003</v>
      </c>
      <c r="I150" s="19">
        <f t="shared" si="25"/>
        <v>237776.42208014423</v>
      </c>
      <c r="J150" s="19">
        <f t="shared" si="25"/>
        <v>0</v>
      </c>
      <c r="K150" s="19">
        <f t="shared" si="25"/>
        <v>613158.81618014432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9373977.1300000027</v>
      </c>
    </row>
    <row r="152" spans="1:11" ht="18" customHeight="1">
      <c r="A152" s="6" t="s">
        <v>147</v>
      </c>
      <c r="B152" s="5" t="s">
        <v>177</v>
      </c>
      <c r="F152" s="19">
        <f t="shared" ref="F152:K152" si="26">F140</f>
        <v>0</v>
      </c>
      <c r="G152" s="19">
        <f t="shared" si="26"/>
        <v>0</v>
      </c>
      <c r="H152" s="19">
        <f t="shared" si="26"/>
        <v>0</v>
      </c>
      <c r="I152" s="19">
        <f t="shared" si="26"/>
        <v>0</v>
      </c>
      <c r="J152" s="19">
        <f t="shared" si="26"/>
        <v>0</v>
      </c>
      <c r="K152" s="19">
        <f t="shared" si="26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7">SUM(F144:F152)</f>
        <v>135700.90223013132</v>
      </c>
      <c r="G154" s="60">
        <f t="shared" si="27"/>
        <v>94916.944812201749</v>
      </c>
      <c r="H154" s="60">
        <f t="shared" si="27"/>
        <v>24989973.318750177</v>
      </c>
      <c r="I154" s="60">
        <f t="shared" si="27"/>
        <v>9003444.3375110067</v>
      </c>
      <c r="J154" s="60">
        <f t="shared" si="27"/>
        <v>13781962.974999998</v>
      </c>
      <c r="K154" s="61">
        <f t="shared" si="27"/>
        <v>29585431.811261188</v>
      </c>
    </row>
    <row r="156" spans="1:11" ht="18" customHeight="1">
      <c r="B156" s="5" t="s">
        <v>178</v>
      </c>
      <c r="F156" s="233">
        <f>K154/F123</f>
        <v>0.10734622078717809</v>
      </c>
    </row>
    <row r="157" spans="1:11" ht="18" customHeight="1">
      <c r="B157" s="5" t="s">
        <v>179</v>
      </c>
      <c r="F157" s="233">
        <f>K154/F129</f>
        <v>3.3138053131963678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" right="0.1" top="0.35" bottom="0.32" header="0.17" footer="0.17"/>
  <pageSetup scale="64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  <cellWatches>
    <cellWatch r="C5"/>
  </cellWatches>
</worksheet>
</file>

<file path=xl/worksheets/sheet39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547</v>
      </c>
      <c r="D5" s="363"/>
      <c r="E5" s="363"/>
      <c r="F5" s="363"/>
      <c r="G5" s="364"/>
    </row>
    <row r="6" spans="1:11" ht="18" customHeight="1">
      <c r="B6" s="6" t="s">
        <v>4</v>
      </c>
      <c r="C6" s="435">
        <v>12</v>
      </c>
      <c r="D6" s="436"/>
      <c r="E6" s="436"/>
      <c r="F6" s="436"/>
      <c r="G6" s="437"/>
    </row>
    <row r="7" spans="1:11" ht="18" customHeight="1">
      <c r="B7" s="6" t="s">
        <v>5</v>
      </c>
      <c r="C7" s="438">
        <v>4350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546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490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545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9683</v>
      </c>
      <c r="G18" s="11">
        <v>7081</v>
      </c>
      <c r="H18" s="12">
        <v>729976</v>
      </c>
      <c r="I18" s="13">
        <f t="shared" ref="I18:I32" si="0">H18*F$116</f>
        <v>384770.34960000002</v>
      </c>
      <c r="J18" s="12"/>
      <c r="K18" s="14">
        <f t="shared" ref="K18:K32" si="1">(H18+I18)-J18</f>
        <v>1114746.3496000001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80</v>
      </c>
      <c r="G21" s="11">
        <v>119</v>
      </c>
      <c r="H21" s="12">
        <v>3222</v>
      </c>
      <c r="I21" s="13">
        <f t="shared" si="0"/>
        <v>1698.3162</v>
      </c>
      <c r="J21" s="12"/>
      <c r="K21" s="14">
        <f t="shared" si="1"/>
        <v>4920.3162000000002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7652</v>
      </c>
      <c r="G26" s="11">
        <v>3216</v>
      </c>
      <c r="H26" s="12">
        <v>323256</v>
      </c>
      <c r="I26" s="13">
        <f t="shared" si="0"/>
        <v>170388.23759999999</v>
      </c>
      <c r="J26" s="12"/>
      <c r="K26" s="14">
        <f t="shared" si="1"/>
        <v>493644.23759999999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>
        <v>3086</v>
      </c>
      <c r="G28" s="11">
        <v>6062</v>
      </c>
      <c r="H28" s="12">
        <v>362565</v>
      </c>
      <c r="I28" s="13">
        <f t="shared" si="0"/>
        <v>191108.01149999999</v>
      </c>
      <c r="J28" s="12"/>
      <c r="K28" s="14">
        <f t="shared" si="1"/>
        <v>553673.01150000002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20501</v>
      </c>
      <c r="G34" s="19">
        <f t="shared" si="2"/>
        <v>16478</v>
      </c>
      <c r="H34" s="14">
        <f t="shared" si="2"/>
        <v>1419019</v>
      </c>
      <c r="I34" s="14">
        <f t="shared" si="2"/>
        <v>747964.91489999997</v>
      </c>
      <c r="J34" s="14">
        <f t="shared" si="2"/>
        <v>0</v>
      </c>
      <c r="K34" s="14">
        <f t="shared" si="2"/>
        <v>2166983.9149000002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468203</v>
      </c>
      <c r="G38" s="11">
        <v>126295</v>
      </c>
      <c r="H38" s="12">
        <v>8135020</v>
      </c>
      <c r="I38" s="13">
        <v>0</v>
      </c>
      <c r="J38" s="12"/>
      <c r="K38" s="14">
        <f t="shared" ref="K38:K46" si="3">(H38+I38)-J38</f>
        <v>8135020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0</v>
      </c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1361</v>
      </c>
      <c r="G40" s="11">
        <v>34122</v>
      </c>
      <c r="H40" s="12">
        <v>92023</v>
      </c>
      <c r="I40" s="13">
        <v>0</v>
      </c>
      <c r="J40" s="12"/>
      <c r="K40" s="14">
        <f t="shared" si="3"/>
        <v>92023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9563</v>
      </c>
      <c r="G41" s="11">
        <v>21274</v>
      </c>
      <c r="H41" s="12">
        <v>548934</v>
      </c>
      <c r="I41" s="13">
        <v>0</v>
      </c>
      <c r="J41" s="12">
        <v>105359</v>
      </c>
      <c r="K41" s="14">
        <f t="shared" si="3"/>
        <v>443575</v>
      </c>
    </row>
    <row r="42" spans="1:11" ht="18" customHeight="1">
      <c r="A42" s="6" t="s">
        <v>52</v>
      </c>
      <c r="B42" s="63" t="s">
        <v>53</v>
      </c>
      <c r="F42" s="11">
        <v>1460</v>
      </c>
      <c r="G42" s="11">
        <v>475</v>
      </c>
      <c r="H42" s="12">
        <v>45760</v>
      </c>
      <c r="I42" s="13">
        <v>0</v>
      </c>
      <c r="J42" s="12"/>
      <c r="K42" s="14">
        <f t="shared" si="3"/>
        <v>45760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480587</v>
      </c>
      <c r="G48" s="25">
        <f t="shared" si="4"/>
        <v>182166</v>
      </c>
      <c r="H48" s="14">
        <f t="shared" si="4"/>
        <v>8821737</v>
      </c>
      <c r="I48" s="14">
        <f t="shared" si="4"/>
        <v>0</v>
      </c>
      <c r="J48" s="14">
        <f t="shared" si="4"/>
        <v>105359</v>
      </c>
      <c r="K48" s="14">
        <f t="shared" si="4"/>
        <v>8716378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544</v>
      </c>
      <c r="C52" s="385"/>
      <c r="D52" s="359"/>
      <c r="F52" s="11"/>
      <c r="G52" s="11"/>
      <c r="H52" s="12">
        <v>1973914</v>
      </c>
      <c r="I52" s="13">
        <v>0</v>
      </c>
      <c r="J52" s="12"/>
      <c r="K52" s="14">
        <f t="shared" ref="K52:K61" si="5">(H52+I52)-J52</f>
        <v>1973914</v>
      </c>
    </row>
    <row r="53" spans="1:11" ht="18" customHeight="1">
      <c r="A53" s="6" t="s">
        <v>63</v>
      </c>
      <c r="B53" s="27" t="s">
        <v>543</v>
      </c>
      <c r="C53" s="28"/>
      <c r="D53" s="29"/>
      <c r="F53" s="11"/>
      <c r="G53" s="11"/>
      <c r="H53" s="12">
        <v>154305</v>
      </c>
      <c r="I53" s="13">
        <v>0</v>
      </c>
      <c r="J53" s="12"/>
      <c r="K53" s="14">
        <f t="shared" si="5"/>
        <v>154305</v>
      </c>
    </row>
    <row r="54" spans="1:11" ht="18" customHeight="1">
      <c r="A54" s="6" t="s">
        <v>65</v>
      </c>
      <c r="B54" s="381" t="s">
        <v>542</v>
      </c>
      <c r="C54" s="358"/>
      <c r="D54" s="359"/>
      <c r="F54" s="11">
        <v>2150</v>
      </c>
      <c r="G54" s="11">
        <v>2757</v>
      </c>
      <c r="H54" s="12">
        <v>273890</v>
      </c>
      <c r="I54" s="13">
        <v>0</v>
      </c>
      <c r="J54" s="12"/>
      <c r="K54" s="14">
        <f t="shared" si="5"/>
        <v>273890</v>
      </c>
    </row>
    <row r="55" spans="1:11" ht="18" customHeight="1">
      <c r="A55" s="6" t="s">
        <v>67</v>
      </c>
      <c r="B55" s="381" t="s">
        <v>541</v>
      </c>
      <c r="C55" s="358"/>
      <c r="D55" s="359"/>
      <c r="F55" s="11"/>
      <c r="G55" s="11"/>
      <c r="H55" s="12">
        <v>1633220</v>
      </c>
      <c r="I55" s="13">
        <v>0</v>
      </c>
      <c r="J55" s="12"/>
      <c r="K55" s="14">
        <f t="shared" si="5"/>
        <v>1633220</v>
      </c>
    </row>
    <row r="56" spans="1:11" ht="18" customHeight="1">
      <c r="A56" s="6" t="s">
        <v>69</v>
      </c>
      <c r="B56" s="381" t="s">
        <v>540</v>
      </c>
      <c r="C56" s="358"/>
      <c r="D56" s="359"/>
      <c r="F56" s="11">
        <v>2010</v>
      </c>
      <c r="G56" s="11">
        <v>441</v>
      </c>
      <c r="H56" s="12">
        <v>208088</v>
      </c>
      <c r="I56" s="13">
        <v>0</v>
      </c>
      <c r="J56" s="12"/>
      <c r="K56" s="14">
        <f t="shared" si="5"/>
        <v>208088</v>
      </c>
    </row>
    <row r="57" spans="1:11" ht="18" customHeight="1">
      <c r="A57" s="6" t="s">
        <v>71</v>
      </c>
      <c r="B57" s="27" t="s">
        <v>539</v>
      </c>
      <c r="C57" s="28"/>
      <c r="D57" s="29"/>
      <c r="F57" s="11"/>
      <c r="G57" s="11">
        <v>2567</v>
      </c>
      <c r="H57" s="12">
        <f>11188+171544</f>
        <v>182732</v>
      </c>
      <c r="I57" s="13">
        <v>0</v>
      </c>
      <c r="J57" s="12"/>
      <c r="K57" s="14">
        <f t="shared" si="5"/>
        <v>182732</v>
      </c>
    </row>
    <row r="58" spans="1:11" ht="18" customHeight="1">
      <c r="A58" s="6" t="s">
        <v>73</v>
      </c>
      <c r="B58" s="27" t="s">
        <v>538</v>
      </c>
      <c r="C58" s="28"/>
      <c r="D58" s="29"/>
      <c r="F58" s="11">
        <v>106376</v>
      </c>
      <c r="G58" s="11">
        <v>31739</v>
      </c>
      <c r="H58" s="12">
        <v>2580506</v>
      </c>
      <c r="I58" s="13">
        <v>0</v>
      </c>
      <c r="J58" s="12"/>
      <c r="K58" s="14">
        <f t="shared" si="5"/>
        <v>2580506</v>
      </c>
    </row>
    <row r="59" spans="1:11" ht="18" customHeight="1">
      <c r="A59" s="6" t="s">
        <v>75</v>
      </c>
      <c r="B59" s="27" t="s">
        <v>537</v>
      </c>
      <c r="C59" s="28"/>
      <c r="D59" s="29"/>
      <c r="F59" s="11"/>
      <c r="G59" s="11">
        <v>916</v>
      </c>
      <c r="H59" s="12">
        <v>705686</v>
      </c>
      <c r="I59" s="13">
        <v>0</v>
      </c>
      <c r="J59" s="12"/>
      <c r="K59" s="14">
        <f t="shared" si="5"/>
        <v>705686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110536</v>
      </c>
      <c r="G63" s="19">
        <f t="shared" si="6"/>
        <v>38420</v>
      </c>
      <c r="H63" s="14">
        <f t="shared" si="6"/>
        <v>7712341</v>
      </c>
      <c r="I63" s="14">
        <f t="shared" si="6"/>
        <v>0</v>
      </c>
      <c r="J63" s="14">
        <f t="shared" si="6"/>
        <v>0</v>
      </c>
      <c r="K63" s="14">
        <f t="shared" si="6"/>
        <v>7712341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>
        <v>170000</v>
      </c>
      <c r="I67" s="13">
        <v>0</v>
      </c>
      <c r="J67" s="34"/>
      <c r="K67" s="14">
        <f t="shared" ref="K67:K72" si="7">(H67+I67)-J67</f>
        <v>170000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 t="s">
        <v>536</v>
      </c>
      <c r="C70" s="28"/>
      <c r="D70" s="29"/>
      <c r="E70" s="5"/>
      <c r="F70" s="35">
        <v>6240</v>
      </c>
      <c r="G70" s="35"/>
      <c r="H70" s="36">
        <v>305364</v>
      </c>
      <c r="I70" s="13">
        <v>0</v>
      </c>
      <c r="J70" s="36"/>
      <c r="K70" s="14">
        <f t="shared" si="7"/>
        <v>305364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6240</v>
      </c>
      <c r="G74" s="43">
        <f t="shared" si="8"/>
        <v>0</v>
      </c>
      <c r="H74" s="43">
        <f t="shared" si="8"/>
        <v>475364</v>
      </c>
      <c r="I74" s="43">
        <f t="shared" si="8"/>
        <v>0</v>
      </c>
      <c r="J74" s="43">
        <f t="shared" si="8"/>
        <v>0</v>
      </c>
      <c r="K74" s="43">
        <f t="shared" si="8"/>
        <v>475364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301</v>
      </c>
      <c r="G79" s="11">
        <v>0</v>
      </c>
      <c r="H79" s="12">
        <v>194479</v>
      </c>
      <c r="I79" s="13">
        <v>0</v>
      </c>
      <c r="J79" s="12"/>
      <c r="K79" s="14">
        <f>(H79+I79)-J79</f>
        <v>194479</v>
      </c>
    </row>
    <row r="80" spans="1:11" ht="18" customHeight="1">
      <c r="A80" s="6" t="s">
        <v>93</v>
      </c>
      <c r="B80" s="63" t="s">
        <v>97</v>
      </c>
      <c r="F80" s="11"/>
      <c r="G80" s="11"/>
      <c r="H80" s="12">
        <v>138086</v>
      </c>
      <c r="I80" s="13">
        <v>0</v>
      </c>
      <c r="J80" s="12"/>
      <c r="K80" s="14">
        <f>(H80+I80)-J80</f>
        <v>138086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301</v>
      </c>
      <c r="G82" s="44">
        <f t="shared" si="9"/>
        <v>0</v>
      </c>
      <c r="H82" s="45">
        <f t="shared" si="9"/>
        <v>332565</v>
      </c>
      <c r="I82" s="45">
        <f t="shared" si="9"/>
        <v>0</v>
      </c>
      <c r="J82" s="45">
        <f t="shared" si="9"/>
        <v>0</v>
      </c>
      <c r="K82" s="45">
        <f t="shared" si="9"/>
        <v>332565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>
        <v>32000</v>
      </c>
      <c r="I86" s="13">
        <f t="shared" ref="I86:I97" si="10">H86*F$116</f>
        <v>16867.2</v>
      </c>
      <c r="J86" s="12"/>
      <c r="K86" s="14">
        <f t="shared" ref="K86:K97" si="11">(H86+I86)-J86</f>
        <v>48867.199999999997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1740</v>
      </c>
      <c r="G88" s="11">
        <v>953</v>
      </c>
      <c r="H88" s="12">
        <v>237420</v>
      </c>
      <c r="I88" s="13">
        <f t="shared" si="10"/>
        <v>125144.08200000001</v>
      </c>
      <c r="J88" s="12">
        <v>15000</v>
      </c>
      <c r="K88" s="14">
        <f t="shared" si="11"/>
        <v>347564.08199999999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1740</v>
      </c>
      <c r="G99" s="19">
        <f t="shared" si="12"/>
        <v>953</v>
      </c>
      <c r="H99" s="19">
        <f t="shared" si="12"/>
        <v>269420</v>
      </c>
      <c r="I99" s="19">
        <f t="shared" si="12"/>
        <v>142011.28200000001</v>
      </c>
      <c r="J99" s="19">
        <f t="shared" si="12"/>
        <v>15000</v>
      </c>
      <c r="K99" s="19">
        <f t="shared" si="12"/>
        <v>396431.28200000001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2808</v>
      </c>
      <c r="G103" s="11"/>
      <c r="H103" s="12">
        <v>130325</v>
      </c>
      <c r="I103" s="13">
        <f t="shared" ref="I103:I108" si="13">H103*F$116</f>
        <v>68694.307499999995</v>
      </c>
      <c r="J103" s="12"/>
      <c r="K103" s="14">
        <f t="shared" ref="K103:K108" si="14">(H103+I103)-J103</f>
        <v>199019.3075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2808</v>
      </c>
      <c r="G110" s="19">
        <f t="shared" si="15"/>
        <v>0</v>
      </c>
      <c r="H110" s="14">
        <f t="shared" si="15"/>
        <v>130325</v>
      </c>
      <c r="I110" s="14">
        <f t="shared" si="15"/>
        <v>68694.307499999995</v>
      </c>
      <c r="J110" s="14">
        <f t="shared" si="15"/>
        <v>0</v>
      </c>
      <c r="K110" s="14">
        <f t="shared" si="15"/>
        <v>199019.3075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10634840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0.52710000000000001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618564000</v>
      </c>
    </row>
    <row r="120" spans="1:6" ht="18" customHeight="1">
      <c r="B120" s="2" t="s">
        <v>137</v>
      </c>
      <c r="F120" s="12">
        <v>25782000</v>
      </c>
    </row>
    <row r="121" spans="1:6" ht="18" customHeight="1">
      <c r="A121" s="6"/>
      <c r="B121" s="5" t="s">
        <v>138</v>
      </c>
      <c r="F121" s="12">
        <v>644346000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632373000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11973000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-15055000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-3082000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20501</v>
      </c>
      <c r="G144" s="54">
        <f t="shared" si="18"/>
        <v>16478</v>
      </c>
      <c r="H144" s="54">
        <f t="shared" si="18"/>
        <v>1419019</v>
      </c>
      <c r="I144" s="54">
        <f t="shared" si="18"/>
        <v>747964.91489999997</v>
      </c>
      <c r="J144" s="54">
        <f t="shared" si="18"/>
        <v>0</v>
      </c>
      <c r="K144" s="54">
        <f t="shared" si="18"/>
        <v>2166983.9149000002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480587</v>
      </c>
      <c r="G145" s="54">
        <f t="shared" si="19"/>
        <v>182166</v>
      </c>
      <c r="H145" s="54">
        <f t="shared" si="19"/>
        <v>8821737</v>
      </c>
      <c r="I145" s="54">
        <f t="shared" si="19"/>
        <v>0</v>
      </c>
      <c r="J145" s="54">
        <f t="shared" si="19"/>
        <v>105359</v>
      </c>
      <c r="K145" s="54">
        <f t="shared" si="19"/>
        <v>8716378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110536</v>
      </c>
      <c r="G146" s="54">
        <f t="shared" si="20"/>
        <v>38420</v>
      </c>
      <c r="H146" s="54">
        <f t="shared" si="20"/>
        <v>7712341</v>
      </c>
      <c r="I146" s="54">
        <f t="shared" si="20"/>
        <v>0</v>
      </c>
      <c r="J146" s="54">
        <f t="shared" si="20"/>
        <v>0</v>
      </c>
      <c r="K146" s="54">
        <f t="shared" si="20"/>
        <v>7712341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6240</v>
      </c>
      <c r="G147" s="54">
        <f t="shared" si="21"/>
        <v>0</v>
      </c>
      <c r="H147" s="54">
        <f t="shared" si="21"/>
        <v>475364</v>
      </c>
      <c r="I147" s="54">
        <f t="shared" si="21"/>
        <v>0</v>
      </c>
      <c r="J147" s="54">
        <f t="shared" si="21"/>
        <v>0</v>
      </c>
      <c r="K147" s="54">
        <f t="shared" si="21"/>
        <v>475364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301</v>
      </c>
      <c r="G148" s="54">
        <f t="shared" si="22"/>
        <v>0</v>
      </c>
      <c r="H148" s="54">
        <f t="shared" si="22"/>
        <v>332565</v>
      </c>
      <c r="I148" s="54">
        <f t="shared" si="22"/>
        <v>0</v>
      </c>
      <c r="J148" s="54">
        <f t="shared" si="22"/>
        <v>0</v>
      </c>
      <c r="K148" s="54">
        <f t="shared" si="22"/>
        <v>332565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1740</v>
      </c>
      <c r="G149" s="54">
        <f t="shared" si="23"/>
        <v>953</v>
      </c>
      <c r="H149" s="54">
        <f t="shared" si="23"/>
        <v>269420</v>
      </c>
      <c r="I149" s="54">
        <f t="shared" si="23"/>
        <v>142011.28200000001</v>
      </c>
      <c r="J149" s="54">
        <f t="shared" si="23"/>
        <v>15000</v>
      </c>
      <c r="K149" s="54">
        <f t="shared" si="23"/>
        <v>396431.28200000001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2808</v>
      </c>
      <c r="G150" s="19">
        <f t="shared" si="24"/>
        <v>0</v>
      </c>
      <c r="H150" s="19">
        <f t="shared" si="24"/>
        <v>130325</v>
      </c>
      <c r="I150" s="19">
        <f t="shared" si="24"/>
        <v>68694.307499999995</v>
      </c>
      <c r="J150" s="19">
        <f t="shared" si="24"/>
        <v>0</v>
      </c>
      <c r="K150" s="19">
        <f t="shared" si="24"/>
        <v>199019.3075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10634840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622713</v>
      </c>
      <c r="G154" s="60">
        <f t="shared" si="26"/>
        <v>238017</v>
      </c>
      <c r="H154" s="60">
        <f t="shared" si="26"/>
        <v>19160771</v>
      </c>
      <c r="I154" s="60">
        <f t="shared" si="26"/>
        <v>958670.50439999998</v>
      </c>
      <c r="J154" s="60">
        <f t="shared" si="26"/>
        <v>120359</v>
      </c>
      <c r="K154" s="61">
        <f t="shared" si="26"/>
        <v>30633922.504400004</v>
      </c>
    </row>
    <row r="156" spans="1:11" ht="18" customHeight="1">
      <c r="B156" s="5" t="s">
        <v>178</v>
      </c>
      <c r="F156" s="233">
        <f>K154/F123</f>
        <v>4.8442805914231009E-2</v>
      </c>
    </row>
    <row r="157" spans="1:11" ht="18" customHeight="1">
      <c r="B157" s="5" t="s">
        <v>179</v>
      </c>
      <c r="F157" s="233">
        <f>K154/F129</f>
        <v>-9.9396244336145365</v>
      </c>
      <c r="G157" s="5"/>
    </row>
    <row r="158" spans="1:11" ht="18" customHeight="1">
      <c r="G158" s="5"/>
    </row>
  </sheetData>
  <sheetProtection password="EF72" sheet="1" objects="1" scenarios="1"/>
  <mergeCells count="32">
    <mergeCell ref="B104:C104"/>
    <mergeCell ref="B137:D137"/>
    <mergeCell ref="B138:D138"/>
    <mergeCell ref="B136:D136"/>
    <mergeCell ref="B106:D106"/>
    <mergeCell ref="B107:D107"/>
    <mergeCell ref="B108:D10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B97:D97"/>
    <mergeCell ref="C5:G5"/>
    <mergeCell ref="C6:G6"/>
    <mergeCell ref="C7:G7"/>
    <mergeCell ref="C9:G9"/>
    <mergeCell ref="C10:G10"/>
    <mergeCell ref="B28:D28"/>
    <mergeCell ref="B96:D96"/>
    <mergeCell ref="B56:D56"/>
    <mergeCell ref="B95:D95"/>
    <mergeCell ref="B51:C51"/>
    <mergeCell ref="B90:C90"/>
    <mergeCell ref="B52:D52"/>
    <mergeCell ref="B54:D54"/>
    <mergeCell ref="B55:D55"/>
    <mergeCell ref="B61:D61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topLeftCell="A3" zoomScale="70" zoomScaleNormal="75" zoomScaleSheetLayoutView="70" zoomScalePageLayoutView="75" workbookViewId="0">
      <selection activeCell="L31" sqref="K31:L31"/>
    </sheetView>
  </sheetViews>
  <sheetFormatPr defaultColWidth="8.85546875" defaultRowHeight="18" customHeight="1"/>
  <cols>
    <col min="1" max="1" width="4.42578125" style="1" customWidth="1"/>
    <col min="2" max="2" width="55.42578125" style="2" bestFit="1" customWidth="1"/>
    <col min="3" max="3" width="9.42578125" style="2" customWidth="1"/>
    <col min="4" max="4" width="8.85546875" style="2"/>
    <col min="5" max="5" width="12.42578125" style="2" customWidth="1"/>
    <col min="6" max="6" width="18.42578125" style="2" customWidth="1"/>
    <col min="7" max="7" width="23.42578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42578125" style="2" customWidth="1"/>
    <col min="12" max="16384" width="8.8554687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62" t="s">
        <v>3</v>
      </c>
      <c r="D5" s="363"/>
      <c r="E5" s="363"/>
      <c r="F5" s="363"/>
      <c r="G5" s="364"/>
    </row>
    <row r="6" spans="1:11" ht="18" customHeight="1">
      <c r="B6" s="6" t="s">
        <v>4</v>
      </c>
      <c r="C6" s="365">
        <v>23</v>
      </c>
      <c r="D6" s="366"/>
      <c r="E6" s="366"/>
      <c r="F6" s="366"/>
      <c r="G6" s="367"/>
    </row>
    <row r="7" spans="1:11" ht="18" customHeight="1">
      <c r="B7" s="6" t="s">
        <v>5</v>
      </c>
      <c r="C7" s="368">
        <v>3000</v>
      </c>
      <c r="D7" s="369"/>
      <c r="E7" s="369"/>
      <c r="F7" s="369"/>
      <c r="G7" s="370"/>
    </row>
    <row r="9" spans="1:11" ht="18" customHeight="1">
      <c r="B9" s="6" t="s">
        <v>6</v>
      </c>
      <c r="C9" s="362" t="s">
        <v>7</v>
      </c>
      <c r="D9" s="363"/>
      <c r="E9" s="363"/>
      <c r="F9" s="363"/>
      <c r="G9" s="364"/>
    </row>
    <row r="10" spans="1:11" ht="18" customHeight="1">
      <c r="B10" s="6" t="s">
        <v>8</v>
      </c>
      <c r="C10" s="371" t="s">
        <v>9</v>
      </c>
      <c r="D10" s="372"/>
      <c r="E10" s="372"/>
      <c r="F10" s="372"/>
      <c r="G10" s="373"/>
    </row>
    <row r="11" spans="1:11" ht="18" customHeight="1">
      <c r="B11" s="6" t="s">
        <v>10</v>
      </c>
      <c r="C11" s="362" t="s">
        <v>11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10" t="s">
        <v>22</v>
      </c>
      <c r="F18" s="11">
        <v>12876</v>
      </c>
      <c r="G18" s="11">
        <v>3522394</v>
      </c>
      <c r="H18" s="12">
        <v>915291</v>
      </c>
      <c r="I18" s="13">
        <v>508261</v>
      </c>
      <c r="J18" s="12"/>
      <c r="K18" s="14">
        <f t="shared" ref="K18:K32" si="0">(H18+I18)-J18</f>
        <v>1423552</v>
      </c>
    </row>
    <row r="19" spans="1:11" ht="18" customHeight="1">
      <c r="A19" s="6"/>
      <c r="B19" s="2" t="s">
        <v>23</v>
      </c>
      <c r="F19" s="11">
        <v>917</v>
      </c>
      <c r="G19" s="11">
        <v>3156</v>
      </c>
      <c r="H19" s="12">
        <v>32095</v>
      </c>
      <c r="I19" s="13">
        <f>H19*F$116</f>
        <v>17822.353500000001</v>
      </c>
      <c r="J19" s="12"/>
      <c r="K19" s="14">
        <f t="shared" si="0"/>
        <v>49917.353499999997</v>
      </c>
    </row>
    <row r="20" spans="1:11" ht="18" customHeight="1">
      <c r="A20" s="6"/>
      <c r="B20" s="2" t="s">
        <v>24</v>
      </c>
      <c r="F20" s="11">
        <v>4500</v>
      </c>
      <c r="G20" s="11">
        <v>17022</v>
      </c>
      <c r="H20" s="12">
        <v>144000</v>
      </c>
      <c r="I20" s="13">
        <f t="shared" ref="I20:I32" si="1">H20*F$116</f>
        <v>79963.199999999997</v>
      </c>
      <c r="J20" s="12">
        <v>175580</v>
      </c>
      <c r="K20" s="14">
        <f t="shared" si="0"/>
        <v>48383.200000000012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468</v>
      </c>
      <c r="G22" s="11">
        <v>2272</v>
      </c>
      <c r="H22" s="12">
        <v>15276</v>
      </c>
      <c r="I22" s="13">
        <v>8316.17</v>
      </c>
      <c r="J22" s="12"/>
      <c r="K22" s="14">
        <f t="shared" si="0"/>
        <v>23592.17</v>
      </c>
    </row>
    <row r="23" spans="1:11" ht="18" customHeight="1">
      <c r="A23" s="6"/>
      <c r="B23" s="2" t="s">
        <v>28</v>
      </c>
      <c r="F23" s="11"/>
      <c r="G23" s="11"/>
      <c r="H23" s="12"/>
      <c r="I23" s="13"/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20800</v>
      </c>
      <c r="G26" s="11">
        <v>58013</v>
      </c>
      <c r="H26" s="12">
        <v>616872.26</v>
      </c>
      <c r="I26" s="13">
        <v>341887.25</v>
      </c>
      <c r="J26" s="12"/>
      <c r="K26" s="14">
        <f t="shared" si="0"/>
        <v>958759.51</v>
      </c>
    </row>
    <row r="27" spans="1:11" ht="18" customHeight="1">
      <c r="A27" s="6" t="s">
        <v>33</v>
      </c>
      <c r="B27" s="10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36</v>
      </c>
      <c r="C28" s="379"/>
      <c r="D28" s="380"/>
      <c r="F28" s="11">
        <v>302</v>
      </c>
      <c r="G28" s="11">
        <v>266</v>
      </c>
      <c r="H28" s="12">
        <v>34229.089999999997</v>
      </c>
      <c r="I28" s="13">
        <v>19007.41</v>
      </c>
      <c r="J28" s="12"/>
      <c r="K28" s="14">
        <f>(H28+I28)-J28</f>
        <v>53236.5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>(H29+I29)-J29</f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39863</v>
      </c>
      <c r="G34" s="19">
        <f t="shared" si="2"/>
        <v>3603123</v>
      </c>
      <c r="H34" s="14">
        <f t="shared" si="2"/>
        <v>1757763.35</v>
      </c>
      <c r="I34" s="14">
        <f t="shared" si="2"/>
        <v>975257.3835</v>
      </c>
      <c r="J34" s="14">
        <f t="shared" si="2"/>
        <v>175580</v>
      </c>
      <c r="K34" s="14">
        <f t="shared" si="2"/>
        <v>2557440.7335000001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55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10" t="s">
        <v>49</v>
      </c>
      <c r="F40" s="11">
        <v>11879</v>
      </c>
      <c r="G40" s="11">
        <v>308</v>
      </c>
      <c r="H40" s="12">
        <v>9800</v>
      </c>
      <c r="I40" s="13">
        <v>5441.94</v>
      </c>
      <c r="J40" s="12"/>
      <c r="K40" s="14">
        <f t="shared" si="3"/>
        <v>15241.939999999999</v>
      </c>
    </row>
    <row r="41" spans="1:11" ht="18" customHeight="1">
      <c r="A41" s="6" t="s">
        <v>50</v>
      </c>
      <c r="B41" s="23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10" t="s">
        <v>53</v>
      </c>
      <c r="F42" s="11">
        <v>540</v>
      </c>
      <c r="G42" s="11">
        <v>4</v>
      </c>
      <c r="H42" s="12">
        <v>3000</v>
      </c>
      <c r="I42" s="13">
        <v>1665.9</v>
      </c>
      <c r="J42" s="12"/>
      <c r="K42" s="14">
        <f t="shared" si="3"/>
        <v>4665.8999999999996</v>
      </c>
    </row>
    <row r="43" spans="1:11" ht="18" customHeight="1">
      <c r="A43" s="6" t="s">
        <v>54</v>
      </c>
      <c r="B43" s="10" t="s">
        <v>34</v>
      </c>
      <c r="F43" s="11"/>
      <c r="G43" s="11"/>
      <c r="H43" s="12"/>
      <c r="I43" s="13"/>
      <c r="J43" s="12"/>
      <c r="K43" s="14">
        <f t="shared" si="3"/>
        <v>0</v>
      </c>
    </row>
    <row r="44" spans="1:11" ht="18" customHeight="1">
      <c r="A44" s="6" t="s">
        <v>55</v>
      </c>
      <c r="B44" s="378" t="s">
        <v>56</v>
      </c>
      <c r="C44" s="379"/>
      <c r="D44" s="380"/>
      <c r="F44" s="11">
        <v>500</v>
      </c>
      <c r="G44" s="11">
        <v>4</v>
      </c>
      <c r="H44" s="12">
        <v>3000</v>
      </c>
      <c r="I44" s="13">
        <v>1665.9</v>
      </c>
      <c r="J44" s="12"/>
      <c r="K44" s="14">
        <f t="shared" si="3"/>
        <v>4665.8999999999996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12919</v>
      </c>
      <c r="G48" s="25">
        <f t="shared" si="4"/>
        <v>316</v>
      </c>
      <c r="H48" s="14">
        <f t="shared" si="4"/>
        <v>15800</v>
      </c>
      <c r="I48" s="14">
        <f t="shared" si="4"/>
        <v>8773.74</v>
      </c>
      <c r="J48" s="14">
        <f t="shared" si="4"/>
        <v>0</v>
      </c>
      <c r="K48" s="14">
        <f t="shared" si="4"/>
        <v>24573.739999999998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4" t="s">
        <v>62</v>
      </c>
      <c r="C52" s="385"/>
      <c r="D52" s="359"/>
      <c r="F52" s="11">
        <v>10129</v>
      </c>
      <c r="G52" s="11">
        <v>6629</v>
      </c>
      <c r="H52" s="12">
        <v>382168</v>
      </c>
      <c r="I52" s="13">
        <v>212217.89</v>
      </c>
      <c r="J52" s="12"/>
      <c r="K52" s="14">
        <f t="shared" ref="K52:K61" si="5">(H52+I52)-J52</f>
        <v>594385.89</v>
      </c>
    </row>
    <row r="53" spans="1:11" ht="18" customHeight="1">
      <c r="A53" s="6" t="s">
        <v>63</v>
      </c>
      <c r="B53" s="27" t="s">
        <v>64</v>
      </c>
      <c r="C53" s="28"/>
      <c r="D53" s="29"/>
      <c r="F53" s="11">
        <v>1119</v>
      </c>
      <c r="G53" s="11">
        <v>6717</v>
      </c>
      <c r="H53" s="12">
        <v>30429</v>
      </c>
      <c r="I53" s="13">
        <v>16897.22</v>
      </c>
      <c r="J53" s="12"/>
      <c r="K53" s="14">
        <f t="shared" si="5"/>
        <v>47326.22</v>
      </c>
    </row>
    <row r="54" spans="1:11" ht="18" customHeight="1">
      <c r="A54" s="6" t="s">
        <v>65</v>
      </c>
      <c r="B54" s="357" t="s">
        <v>66</v>
      </c>
      <c r="C54" s="358"/>
      <c r="D54" s="359"/>
      <c r="F54" s="11">
        <v>434</v>
      </c>
      <c r="G54" s="11">
        <v>205</v>
      </c>
      <c r="H54" s="12">
        <v>48641</v>
      </c>
      <c r="I54" s="13">
        <v>27010.34</v>
      </c>
      <c r="J54" s="12"/>
      <c r="K54" s="14">
        <f t="shared" si="5"/>
        <v>75651.34</v>
      </c>
    </row>
    <row r="55" spans="1:11" ht="18" customHeight="1">
      <c r="A55" s="6" t="s">
        <v>67</v>
      </c>
      <c r="B55" s="357" t="s">
        <v>68</v>
      </c>
      <c r="C55" s="358"/>
      <c r="D55" s="359"/>
      <c r="F55" s="11">
        <v>150</v>
      </c>
      <c r="G55" s="11">
        <v>1600</v>
      </c>
      <c r="H55" s="12">
        <v>52000</v>
      </c>
      <c r="I55" s="13">
        <v>0</v>
      </c>
      <c r="J55" s="12"/>
      <c r="K55" s="14">
        <f t="shared" si="5"/>
        <v>52000</v>
      </c>
    </row>
    <row r="56" spans="1:11" ht="18" customHeight="1">
      <c r="A56" s="6" t="s">
        <v>69</v>
      </c>
      <c r="B56" s="357" t="s">
        <v>70</v>
      </c>
      <c r="C56" s="358"/>
      <c r="D56" s="359"/>
      <c r="F56" s="11">
        <v>100</v>
      </c>
      <c r="G56" s="11">
        <v>400</v>
      </c>
      <c r="H56" s="12">
        <v>50000</v>
      </c>
      <c r="I56" s="13">
        <v>0</v>
      </c>
      <c r="J56" s="12"/>
      <c r="K56" s="14">
        <f t="shared" si="5"/>
        <v>50000</v>
      </c>
    </row>
    <row r="57" spans="1:11" ht="18" customHeight="1">
      <c r="A57" s="6" t="s">
        <v>71</v>
      </c>
      <c r="B57" s="30" t="s">
        <v>72</v>
      </c>
      <c r="C57" s="28"/>
      <c r="D57" s="29"/>
      <c r="F57" s="11">
        <v>286</v>
      </c>
      <c r="G57" s="11">
        <v>1147</v>
      </c>
      <c r="H57" s="12">
        <v>1016795.2</v>
      </c>
      <c r="I57" s="13">
        <v>0</v>
      </c>
      <c r="J57" s="12"/>
      <c r="K57" s="14">
        <f t="shared" si="5"/>
        <v>1016795.2</v>
      </c>
    </row>
    <row r="58" spans="1:11" ht="18" customHeight="1">
      <c r="A58" s="6" t="s">
        <v>73</v>
      </c>
      <c r="B58" s="357" t="s">
        <v>74</v>
      </c>
      <c r="C58" s="358"/>
      <c r="D58" s="359"/>
      <c r="F58" s="11">
        <v>100</v>
      </c>
      <c r="G58" s="11">
        <v>184</v>
      </c>
      <c r="H58" s="12">
        <v>28433.119999999999</v>
      </c>
      <c r="I58" s="13">
        <v>15788.91</v>
      </c>
      <c r="J58" s="12"/>
      <c r="K58" s="14">
        <f t="shared" si="5"/>
        <v>44222.03</v>
      </c>
    </row>
    <row r="59" spans="1:11" ht="18" customHeight="1">
      <c r="A59" s="6" t="s">
        <v>75</v>
      </c>
      <c r="B59" s="30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12318</v>
      </c>
      <c r="G63" s="19">
        <f t="shared" si="6"/>
        <v>16882</v>
      </c>
      <c r="H63" s="14">
        <f t="shared" si="6"/>
        <v>1608466.32</v>
      </c>
      <c r="I63" s="14">
        <f t="shared" si="6"/>
        <v>271914.36</v>
      </c>
      <c r="J63" s="14">
        <f t="shared" si="6"/>
        <v>0</v>
      </c>
      <c r="K63" s="14">
        <f t="shared" si="6"/>
        <v>1880380.68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124</v>
      </c>
      <c r="G67" s="34"/>
      <c r="H67" s="34">
        <v>6200</v>
      </c>
      <c r="I67" s="13">
        <v>0</v>
      </c>
      <c r="J67" s="34"/>
      <c r="K67" s="14">
        <f t="shared" ref="K67:K72" si="7">(H67+I67)-J67</f>
        <v>6200</v>
      </c>
    </row>
    <row r="68" spans="1:11" ht="18" customHeight="1">
      <c r="A68" s="6" t="s">
        <v>82</v>
      </c>
      <c r="B68" s="10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10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10"/>
      <c r="E73" s="5"/>
      <c r="F73" s="40"/>
      <c r="G73" s="40"/>
      <c r="H73" s="41"/>
      <c r="I73" s="42"/>
      <c r="J73" s="41"/>
      <c r="K73" s="33"/>
    </row>
    <row r="74" spans="1:11" ht="18" customHeight="1">
      <c r="B74" s="10"/>
      <c r="E74" s="5" t="s">
        <v>41</v>
      </c>
      <c r="F74" s="43">
        <f t="shared" ref="F74:K74" si="8">SUM(F67:F72)</f>
        <v>124</v>
      </c>
      <c r="G74" s="43">
        <f t="shared" si="8"/>
        <v>0</v>
      </c>
      <c r="H74" s="43">
        <f t="shared" si="8"/>
        <v>6200</v>
      </c>
      <c r="I74" s="43">
        <f t="shared" si="8"/>
        <v>0</v>
      </c>
      <c r="J74" s="43">
        <f t="shared" si="8"/>
        <v>0</v>
      </c>
      <c r="K74" s="43">
        <f t="shared" si="8"/>
        <v>6200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10" t="s">
        <v>92</v>
      </c>
      <c r="F77" s="11"/>
      <c r="G77" s="11"/>
      <c r="H77" s="12">
        <v>49010</v>
      </c>
      <c r="I77" s="13">
        <v>0</v>
      </c>
      <c r="J77" s="12"/>
      <c r="K77" s="14">
        <f>(H77+I77)-J77</f>
        <v>49010</v>
      </c>
    </row>
    <row r="78" spans="1:11" ht="18" customHeight="1">
      <c r="A78" s="6" t="s">
        <v>93</v>
      </c>
      <c r="B78" s="10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10" t="s">
        <v>96</v>
      </c>
      <c r="F79" s="11">
        <v>519</v>
      </c>
      <c r="G79" s="11">
        <v>400</v>
      </c>
      <c r="H79" s="12">
        <v>109693</v>
      </c>
      <c r="I79" s="13">
        <v>0</v>
      </c>
      <c r="J79" s="12"/>
      <c r="K79" s="14">
        <f>(H79+I79)-J79</f>
        <v>109693</v>
      </c>
    </row>
    <row r="80" spans="1:11" ht="18" customHeight="1">
      <c r="A80" s="6" t="s">
        <v>93</v>
      </c>
      <c r="B80" s="10" t="s">
        <v>97</v>
      </c>
      <c r="F80" s="11">
        <v>1396</v>
      </c>
      <c r="G80" s="11">
        <v>400</v>
      </c>
      <c r="H80" s="12">
        <v>43400</v>
      </c>
      <c r="I80" s="13">
        <v>24100.02</v>
      </c>
      <c r="J80" s="12"/>
      <c r="K80" s="14">
        <f>(H80+I80)-J80</f>
        <v>67500.02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1915</v>
      </c>
      <c r="G82" s="44">
        <f t="shared" si="9"/>
        <v>800</v>
      </c>
      <c r="H82" s="45">
        <f t="shared" si="9"/>
        <v>202103</v>
      </c>
      <c r="I82" s="45">
        <f t="shared" si="9"/>
        <v>24100.02</v>
      </c>
      <c r="J82" s="45">
        <f t="shared" si="9"/>
        <v>0</v>
      </c>
      <c r="K82" s="45">
        <f t="shared" si="9"/>
        <v>226203.02000000002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10" t="s">
        <v>103</v>
      </c>
      <c r="F87" s="11">
        <v>50</v>
      </c>
      <c r="G87" s="11"/>
      <c r="H87" s="12">
        <v>2500</v>
      </c>
      <c r="I87" s="13">
        <f t="shared" si="10"/>
        <v>1388.25</v>
      </c>
      <c r="J87" s="12"/>
      <c r="K87" s="14">
        <f t="shared" si="11"/>
        <v>3888.25</v>
      </c>
    </row>
    <row r="88" spans="1:11" ht="18" customHeight="1">
      <c r="A88" s="6" t="s">
        <v>104</v>
      </c>
      <c r="B88" s="10" t="s">
        <v>105</v>
      </c>
      <c r="F88" s="11">
        <v>704</v>
      </c>
      <c r="G88" s="11"/>
      <c r="H88" s="12">
        <v>138890</v>
      </c>
      <c r="I88" s="13">
        <f t="shared" si="10"/>
        <v>77125.616999999998</v>
      </c>
      <c r="J88" s="12"/>
      <c r="K88" s="14">
        <f t="shared" si="11"/>
        <v>216015.617</v>
      </c>
    </row>
    <row r="89" spans="1:11" ht="18" customHeight="1">
      <c r="A89" s="6" t="s">
        <v>106</v>
      </c>
      <c r="B89" s="10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55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10" t="s">
        <v>111</v>
      </c>
      <c r="F91" s="11">
        <v>170</v>
      </c>
      <c r="G91" s="11"/>
      <c r="H91" s="12">
        <v>7568</v>
      </c>
      <c r="I91" s="13">
        <f t="shared" si="10"/>
        <v>4202.5104000000001</v>
      </c>
      <c r="J91" s="12"/>
      <c r="K91" s="14">
        <f t="shared" si="11"/>
        <v>11770.510399999999</v>
      </c>
    </row>
    <row r="92" spans="1:11" ht="18" customHeight="1">
      <c r="A92" s="6" t="s">
        <v>112</v>
      </c>
      <c r="B92" s="10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10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10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10"/>
    </row>
    <row r="99" spans="1:11" ht="18" customHeight="1">
      <c r="E99" s="5" t="s">
        <v>41</v>
      </c>
      <c r="F99" s="19">
        <f t="shared" ref="F99:K99" si="12">SUM(F86:F97)</f>
        <v>924</v>
      </c>
      <c r="G99" s="19">
        <f t="shared" si="12"/>
        <v>0</v>
      </c>
      <c r="H99" s="19">
        <f t="shared" si="12"/>
        <v>148958</v>
      </c>
      <c r="I99" s="19">
        <f t="shared" si="12"/>
        <v>82716.377399999998</v>
      </c>
      <c r="J99" s="19">
        <f t="shared" si="12"/>
        <v>0</v>
      </c>
      <c r="K99" s="19">
        <f t="shared" si="12"/>
        <v>231674.3774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312</v>
      </c>
      <c r="G103" s="11"/>
      <c r="H103" s="12">
        <v>9360</v>
      </c>
      <c r="I103" s="13">
        <f t="shared" ref="I103:I108" si="13">H103*F$116</f>
        <v>5197.6080000000002</v>
      </c>
      <c r="J103" s="12"/>
      <c r="K103" s="14">
        <f t="shared" ref="K103:K108" si="14">(H103+I103)-J103</f>
        <v>14557.608</v>
      </c>
    </row>
    <row r="104" spans="1:11" ht="18" customHeight="1">
      <c r="A104" s="6" t="s">
        <v>121</v>
      </c>
      <c r="B104" s="355" t="s">
        <v>122</v>
      </c>
      <c r="C104" s="355"/>
      <c r="F104" s="11">
        <v>0</v>
      </c>
      <c r="G104" s="11"/>
      <c r="H104" s="48">
        <v>0</v>
      </c>
      <c r="I104" s="13"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312</v>
      </c>
      <c r="G110" s="19">
        <f t="shared" si="15"/>
        <v>0</v>
      </c>
      <c r="H110" s="14">
        <f t="shared" si="15"/>
        <v>9360</v>
      </c>
      <c r="I110" s="14">
        <f t="shared" si="15"/>
        <v>5197.6080000000002</v>
      </c>
      <c r="J110" s="14">
        <f t="shared" si="15"/>
        <v>0</v>
      </c>
      <c r="K110" s="14">
        <f t="shared" si="15"/>
        <v>14557.608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4872100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10" t="s">
        <v>133</v>
      </c>
      <c r="F116" s="53">
        <v>0.55530000000000002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10" t="s">
        <v>136</v>
      </c>
      <c r="F119" s="12">
        <v>401331000</v>
      </c>
    </row>
    <row r="120" spans="1:6" ht="18" customHeight="1">
      <c r="B120" s="2" t="s">
        <v>137</v>
      </c>
      <c r="F120" s="12">
        <v>11297000</v>
      </c>
    </row>
    <row r="121" spans="1:6" ht="18" customHeight="1">
      <c r="A121" s="6"/>
      <c r="B121" s="5" t="s">
        <v>138</v>
      </c>
      <c r="F121" s="12">
        <v>412628000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392109000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20519000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-43600000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-23081000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10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39863</v>
      </c>
      <c r="G144" s="54">
        <f t="shared" si="18"/>
        <v>3603123</v>
      </c>
      <c r="H144" s="54">
        <f t="shared" si="18"/>
        <v>1757763.35</v>
      </c>
      <c r="I144" s="54">
        <f t="shared" si="18"/>
        <v>975257.3835</v>
      </c>
      <c r="J144" s="54">
        <f t="shared" si="18"/>
        <v>175580</v>
      </c>
      <c r="K144" s="54">
        <f t="shared" si="18"/>
        <v>2557440.7335000001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12919</v>
      </c>
      <c r="G145" s="54">
        <f t="shared" si="19"/>
        <v>316</v>
      </c>
      <c r="H145" s="54">
        <f t="shared" si="19"/>
        <v>15800</v>
      </c>
      <c r="I145" s="54">
        <f t="shared" si="19"/>
        <v>8773.74</v>
      </c>
      <c r="J145" s="54">
        <f t="shared" si="19"/>
        <v>0</v>
      </c>
      <c r="K145" s="54">
        <f t="shared" si="19"/>
        <v>24573.739999999998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12318</v>
      </c>
      <c r="G146" s="54">
        <f t="shared" si="20"/>
        <v>16882</v>
      </c>
      <c r="H146" s="54">
        <f t="shared" si="20"/>
        <v>1608466.32</v>
      </c>
      <c r="I146" s="54">
        <f t="shared" si="20"/>
        <v>271914.36</v>
      </c>
      <c r="J146" s="54">
        <f t="shared" si="20"/>
        <v>0</v>
      </c>
      <c r="K146" s="54">
        <f t="shared" si="20"/>
        <v>1880380.68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124</v>
      </c>
      <c r="G147" s="54">
        <f t="shared" si="21"/>
        <v>0</v>
      </c>
      <c r="H147" s="54">
        <f t="shared" si="21"/>
        <v>6200</v>
      </c>
      <c r="I147" s="54">
        <f t="shared" si="21"/>
        <v>0</v>
      </c>
      <c r="J147" s="54">
        <f t="shared" si="21"/>
        <v>0</v>
      </c>
      <c r="K147" s="54">
        <f t="shared" si="21"/>
        <v>6200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1915</v>
      </c>
      <c r="G148" s="54">
        <f t="shared" si="22"/>
        <v>800</v>
      </c>
      <c r="H148" s="54">
        <f t="shared" si="22"/>
        <v>202103</v>
      </c>
      <c r="I148" s="54">
        <f t="shared" si="22"/>
        <v>24100.02</v>
      </c>
      <c r="J148" s="54">
        <f t="shared" si="22"/>
        <v>0</v>
      </c>
      <c r="K148" s="54">
        <f t="shared" si="22"/>
        <v>226203.02000000002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924</v>
      </c>
      <c r="G149" s="54">
        <f t="shared" si="23"/>
        <v>0</v>
      </c>
      <c r="H149" s="54">
        <f t="shared" si="23"/>
        <v>148958</v>
      </c>
      <c r="I149" s="54">
        <f t="shared" si="23"/>
        <v>82716.377399999998</v>
      </c>
      <c r="J149" s="54">
        <f t="shared" si="23"/>
        <v>0</v>
      </c>
      <c r="K149" s="54">
        <f t="shared" si="23"/>
        <v>231674.3774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312</v>
      </c>
      <c r="G150" s="19">
        <f t="shared" si="24"/>
        <v>0</v>
      </c>
      <c r="H150" s="19">
        <f t="shared" si="24"/>
        <v>9360</v>
      </c>
      <c r="I150" s="19">
        <f t="shared" si="24"/>
        <v>5197.6080000000002</v>
      </c>
      <c r="J150" s="19">
        <f t="shared" si="24"/>
        <v>0</v>
      </c>
      <c r="K150" s="19">
        <f t="shared" si="24"/>
        <v>14557.608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4872100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68375</v>
      </c>
      <c r="G154" s="60">
        <f t="shared" si="26"/>
        <v>3621121</v>
      </c>
      <c r="H154" s="60">
        <f t="shared" si="26"/>
        <v>3748650.67</v>
      </c>
      <c r="I154" s="60">
        <f t="shared" si="26"/>
        <v>1367959.4889000002</v>
      </c>
      <c r="J154" s="60">
        <f t="shared" si="26"/>
        <v>175580</v>
      </c>
      <c r="K154" s="61">
        <f t="shared" si="26"/>
        <v>9813130.1589000002</v>
      </c>
    </row>
    <row r="156" spans="1:11" ht="18" customHeight="1">
      <c r="B156" s="5" t="s">
        <v>178</v>
      </c>
      <c r="F156" s="62">
        <f>K154/F123</f>
        <v>2.5026536393961882E-2</v>
      </c>
    </row>
    <row r="157" spans="1:11" ht="18" customHeight="1">
      <c r="B157" s="5" t="s">
        <v>179</v>
      </c>
      <c r="F157" s="62">
        <f>K154/F129</f>
        <v>-0.42516052852562713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57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Q166"/>
  <sheetViews>
    <sheetView view="pageBreakPreview" zoomScale="70" zoomScaleNormal="100" zoomScaleSheetLayoutView="70" workbookViewId="0">
      <selection activeCell="K144" sqref="K144"/>
    </sheetView>
  </sheetViews>
  <sheetFormatPr defaultRowHeight="12.75"/>
  <cols>
    <col min="1" max="1" width="4.5703125" style="2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>
      <c r="A1" s="1"/>
      <c r="C1" s="3"/>
      <c r="D1" s="4"/>
      <c r="E1" s="3"/>
      <c r="F1" s="3"/>
      <c r="G1" s="3"/>
      <c r="H1" s="3"/>
      <c r="I1" s="3"/>
      <c r="J1" s="3"/>
      <c r="K1" s="3"/>
    </row>
    <row r="2" spans="1:11" ht="15.75">
      <c r="A2" s="1"/>
      <c r="D2" s="360" t="s">
        <v>0</v>
      </c>
      <c r="E2" s="361"/>
      <c r="F2" s="361"/>
      <c r="G2" s="361"/>
      <c r="H2" s="361"/>
    </row>
    <row r="3" spans="1:11">
      <c r="A3" s="1"/>
      <c r="B3" s="5" t="s">
        <v>1</v>
      </c>
    </row>
    <row r="4" spans="1:11">
      <c r="A4" s="1"/>
    </row>
    <row r="5" spans="1:11">
      <c r="A5" s="1"/>
      <c r="B5" s="6" t="s">
        <v>2</v>
      </c>
      <c r="C5" s="387" t="s">
        <v>556</v>
      </c>
      <c r="D5" s="363"/>
      <c r="E5" s="363"/>
      <c r="F5" s="363"/>
      <c r="G5" s="364"/>
    </row>
    <row r="6" spans="1:11">
      <c r="A6" s="1"/>
      <c r="B6" s="6" t="s">
        <v>4</v>
      </c>
      <c r="C6" s="435">
        <v>54</v>
      </c>
      <c r="D6" s="366"/>
      <c r="E6" s="366"/>
      <c r="F6" s="366"/>
      <c r="G6" s="367"/>
    </row>
    <row r="7" spans="1:11">
      <c r="A7" s="1"/>
      <c r="B7" s="6" t="s">
        <v>5</v>
      </c>
      <c r="C7" s="438">
        <v>1636</v>
      </c>
      <c r="D7" s="439"/>
      <c r="E7" s="439"/>
      <c r="F7" s="439"/>
      <c r="G7" s="440"/>
    </row>
    <row r="8" spans="1:11">
      <c r="A8" s="1"/>
    </row>
    <row r="9" spans="1:11">
      <c r="A9" s="1"/>
      <c r="B9" s="6" t="s">
        <v>6</v>
      </c>
      <c r="C9" s="387" t="s">
        <v>555</v>
      </c>
      <c r="D9" s="363"/>
      <c r="E9" s="363"/>
      <c r="F9" s="363"/>
      <c r="G9" s="364"/>
    </row>
    <row r="10" spans="1:11">
      <c r="A10" s="1"/>
      <c r="B10" s="6" t="s">
        <v>8</v>
      </c>
      <c r="C10" s="388" t="s">
        <v>554</v>
      </c>
      <c r="D10" s="372"/>
      <c r="E10" s="372"/>
      <c r="F10" s="372"/>
      <c r="G10" s="373"/>
    </row>
    <row r="11" spans="1:11">
      <c r="A11" s="1"/>
      <c r="B11" s="6" t="s">
        <v>10</v>
      </c>
      <c r="C11" s="419" t="s">
        <v>553</v>
      </c>
      <c r="D11" s="374"/>
      <c r="E11" s="374"/>
      <c r="F11" s="374"/>
      <c r="G11" s="374"/>
    </row>
    <row r="12" spans="1:11">
      <c r="A12" s="1"/>
      <c r="B12" s="6"/>
      <c r="C12" s="6"/>
      <c r="D12" s="6"/>
      <c r="E12" s="6"/>
      <c r="F12" s="6"/>
      <c r="G12" s="6"/>
    </row>
    <row r="13" spans="1:11">
      <c r="A13" s="1"/>
      <c r="B13" s="375"/>
      <c r="C13" s="376"/>
      <c r="D13" s="376"/>
      <c r="E13" s="376"/>
      <c r="F13" s="376"/>
      <c r="G13" s="376"/>
      <c r="H13" s="377"/>
      <c r="I13" s="3"/>
    </row>
    <row r="14" spans="1:11">
      <c r="A14" s="1"/>
      <c r="B14" s="7"/>
    </row>
    <row r="15" spans="1:11">
      <c r="A15" s="1"/>
      <c r="B15" s="7"/>
    </row>
    <row r="16" spans="1:11" ht="25.5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>
      <c r="A17" s="9" t="s">
        <v>19</v>
      </c>
      <c r="B17" s="5" t="s">
        <v>20</v>
      </c>
    </row>
    <row r="18" spans="1:11">
      <c r="A18" s="6" t="s">
        <v>21</v>
      </c>
      <c r="B18" s="63" t="s">
        <v>22</v>
      </c>
      <c r="F18" s="11"/>
      <c r="G18" s="11"/>
      <c r="H18" s="12"/>
      <c r="I18" s="13">
        <v>0</v>
      </c>
      <c r="J18" s="12"/>
      <c r="K18" s="14">
        <v>0</v>
      </c>
    </row>
    <row r="19" spans="1:11">
      <c r="A19" s="6"/>
      <c r="B19" s="2" t="s">
        <v>23</v>
      </c>
      <c r="F19" s="11">
        <v>3734</v>
      </c>
      <c r="G19" s="11">
        <v>23670</v>
      </c>
      <c r="H19" s="12">
        <v>145474.20627365491</v>
      </c>
      <c r="I19" s="13">
        <v>104325.96471042366</v>
      </c>
      <c r="J19" s="12"/>
      <c r="K19" s="14">
        <v>249800.17098407858</v>
      </c>
    </row>
    <row r="20" spans="1:11">
      <c r="A20" s="6"/>
      <c r="B20" s="2" t="s">
        <v>24</v>
      </c>
      <c r="F20" s="11"/>
      <c r="G20" s="11"/>
      <c r="H20" s="12"/>
      <c r="I20" s="13">
        <v>0</v>
      </c>
      <c r="J20" s="12"/>
      <c r="K20" s="14">
        <v>0</v>
      </c>
    </row>
    <row r="21" spans="1:11">
      <c r="A21" s="6" t="s">
        <v>25</v>
      </c>
      <c r="B21" s="2" t="s">
        <v>26</v>
      </c>
      <c r="F21" s="11"/>
      <c r="G21" s="11"/>
      <c r="H21" s="12"/>
      <c r="I21" s="13">
        <v>0</v>
      </c>
      <c r="J21" s="12"/>
      <c r="K21" s="14">
        <v>0</v>
      </c>
    </row>
    <row r="22" spans="1:11">
      <c r="A22" s="6"/>
      <c r="B22" s="2" t="s">
        <v>27</v>
      </c>
      <c r="F22" s="11">
        <v>3356.65</v>
      </c>
      <c r="G22" s="11">
        <v>3655</v>
      </c>
      <c r="H22" s="12">
        <v>108399.28788013</v>
      </c>
      <c r="I22" s="13">
        <v>77737.906751277522</v>
      </c>
      <c r="J22" s="12"/>
      <c r="K22" s="14">
        <v>186137.1946314075</v>
      </c>
    </row>
    <row r="23" spans="1:11">
      <c r="A23" s="6"/>
      <c r="B23" s="2" t="s">
        <v>28</v>
      </c>
      <c r="F23" s="11"/>
      <c r="G23" s="11"/>
      <c r="H23" s="12"/>
      <c r="I23" s="13">
        <v>0</v>
      </c>
      <c r="J23" s="12"/>
      <c r="K23" s="14">
        <v>0</v>
      </c>
    </row>
    <row r="24" spans="1:11">
      <c r="A24" s="6"/>
      <c r="B24" s="2" t="s">
        <v>29</v>
      </c>
      <c r="F24" s="11"/>
      <c r="G24" s="11"/>
      <c r="H24" s="12"/>
      <c r="I24" s="13">
        <v>0</v>
      </c>
      <c r="J24" s="12"/>
      <c r="K24" s="14">
        <v>0</v>
      </c>
    </row>
    <row r="25" spans="1:11">
      <c r="A25" s="6"/>
      <c r="B25" s="2" t="s">
        <v>30</v>
      </c>
      <c r="F25" s="11"/>
      <c r="G25" s="11"/>
      <c r="H25" s="12"/>
      <c r="I25" s="13">
        <v>0</v>
      </c>
      <c r="J25" s="12"/>
      <c r="K25" s="14">
        <v>0</v>
      </c>
    </row>
    <row r="26" spans="1:11">
      <c r="A26" s="6" t="s">
        <v>31</v>
      </c>
      <c r="B26" s="2" t="s">
        <v>32</v>
      </c>
      <c r="F26" s="11">
        <v>3200</v>
      </c>
      <c r="G26" s="11">
        <v>16800</v>
      </c>
      <c r="H26" s="12">
        <v>152292.38</v>
      </c>
      <c r="I26" s="13">
        <v>109215.57758259257</v>
      </c>
      <c r="J26" s="12"/>
      <c r="K26" s="14">
        <v>261507.95758259256</v>
      </c>
    </row>
    <row r="27" spans="1:11">
      <c r="A27" s="6" t="s">
        <v>33</v>
      </c>
      <c r="B27" s="63" t="s">
        <v>34</v>
      </c>
      <c r="F27" s="11"/>
      <c r="G27" s="11"/>
      <c r="H27" s="12"/>
      <c r="I27" s="13">
        <v>0</v>
      </c>
      <c r="J27" s="12"/>
      <c r="K27" s="14">
        <v>0</v>
      </c>
    </row>
    <row r="28" spans="1:11">
      <c r="A28" s="6" t="s">
        <v>35</v>
      </c>
      <c r="B28" s="378" t="s">
        <v>552</v>
      </c>
      <c r="C28" s="379"/>
      <c r="D28" s="380"/>
      <c r="F28" s="11">
        <v>3423.41</v>
      </c>
      <c r="G28" s="11">
        <v>19773</v>
      </c>
      <c r="H28" s="12">
        <v>65114.289449999997</v>
      </c>
      <c r="I28" s="13">
        <v>46696.326704999046</v>
      </c>
      <c r="J28" s="12"/>
      <c r="K28" s="14">
        <v>111810.61615499904</v>
      </c>
    </row>
    <row r="29" spans="1:11">
      <c r="A29" s="6" t="s">
        <v>37</v>
      </c>
      <c r="B29" s="378" t="s">
        <v>551</v>
      </c>
      <c r="C29" s="379"/>
      <c r="D29" s="380"/>
      <c r="F29" s="11">
        <v>2155</v>
      </c>
      <c r="G29" s="11">
        <v>7433.3506518682634</v>
      </c>
      <c r="H29" s="12">
        <v>139731.67611758001</v>
      </c>
      <c r="I29" s="13">
        <v>100207.74324864616</v>
      </c>
      <c r="J29" s="12"/>
      <c r="K29" s="14">
        <v>239939.41936622618</v>
      </c>
    </row>
    <row r="30" spans="1:11">
      <c r="A30" s="6" t="s">
        <v>38</v>
      </c>
      <c r="B30" s="224" t="s">
        <v>550</v>
      </c>
      <c r="C30" s="16"/>
      <c r="D30" s="17"/>
      <c r="F30" s="11">
        <v>97.2</v>
      </c>
      <c r="G30" s="11">
        <v>183.6</v>
      </c>
      <c r="H30" s="12">
        <v>4380.2964000000002</v>
      </c>
      <c r="I30" s="13">
        <v>3141.3035984397311</v>
      </c>
      <c r="J30" s="12"/>
      <c r="K30" s="14">
        <v>7521.5999984397313</v>
      </c>
    </row>
    <row r="31" spans="1:11">
      <c r="A31" s="6" t="s">
        <v>39</v>
      </c>
      <c r="B31" s="15"/>
      <c r="C31" s="16"/>
      <c r="D31" s="17"/>
      <c r="F31" s="11"/>
      <c r="G31" s="11"/>
      <c r="H31" s="12"/>
      <c r="I31" s="13">
        <v>0</v>
      </c>
      <c r="J31" s="12"/>
      <c r="K31" s="14">
        <v>0</v>
      </c>
    </row>
    <row r="32" spans="1:11">
      <c r="A32" s="6" t="s">
        <v>40</v>
      </c>
      <c r="B32" s="378"/>
      <c r="C32" s="379"/>
      <c r="D32" s="380"/>
      <c r="F32" s="11"/>
      <c r="G32" s="11"/>
      <c r="H32" s="12"/>
      <c r="I32" s="13">
        <v>0</v>
      </c>
      <c r="J32" s="12"/>
      <c r="K32" s="14">
        <v>0</v>
      </c>
    </row>
    <row r="33" spans="1:11">
      <c r="A33" s="1"/>
      <c r="K33" s="18"/>
    </row>
    <row r="34" spans="1:11">
      <c r="A34" s="1"/>
      <c r="E34" s="5" t="s">
        <v>41</v>
      </c>
      <c r="F34" s="19">
        <f t="shared" ref="F34:K34" si="0">SUM(F18:F32)</f>
        <v>15966.26</v>
      </c>
      <c r="G34" s="19">
        <f t="shared" si="0"/>
        <v>71514.950651868276</v>
      </c>
      <c r="H34" s="14">
        <f t="shared" si="0"/>
        <v>615392.13612136489</v>
      </c>
      <c r="I34" s="14">
        <f t="shared" si="0"/>
        <v>441324.82259637862</v>
      </c>
      <c r="J34" s="14">
        <f t="shared" si="0"/>
        <v>0</v>
      </c>
      <c r="K34" s="14">
        <f t="shared" si="0"/>
        <v>1056716.9587177434</v>
      </c>
    </row>
    <row r="35" spans="1:11" ht="13.5" thickBot="1">
      <c r="A35" s="1"/>
      <c r="B35" s="5"/>
      <c r="F35" s="20"/>
      <c r="G35" s="20"/>
      <c r="H35" s="21"/>
      <c r="I35" s="21"/>
      <c r="J35" s="21"/>
      <c r="K35" s="22"/>
    </row>
    <row r="36" spans="1:11" ht="25.5">
      <c r="A36" s="1"/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>
      <c r="A37" s="9" t="s">
        <v>42</v>
      </c>
      <c r="B37" s="5" t="s">
        <v>43</v>
      </c>
    </row>
    <row r="38" spans="1:1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v>0</v>
      </c>
    </row>
    <row r="39" spans="1:1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v>0</v>
      </c>
    </row>
    <row r="40" spans="1:11">
      <c r="A40" s="6" t="s">
        <v>48</v>
      </c>
      <c r="B40" s="63" t="s">
        <v>49</v>
      </c>
      <c r="F40" s="11">
        <v>7356</v>
      </c>
      <c r="G40" s="11">
        <v>3678</v>
      </c>
      <c r="H40" s="12">
        <v>298312.3907422903</v>
      </c>
      <c r="I40" s="13">
        <v>213932.96273236568</v>
      </c>
      <c r="J40" s="12"/>
      <c r="K40" s="14">
        <v>512245.353474656</v>
      </c>
    </row>
    <row r="41" spans="1:11">
      <c r="A41" s="6" t="s">
        <v>50</v>
      </c>
      <c r="B41" s="64" t="s">
        <v>51</v>
      </c>
      <c r="C41" s="24"/>
      <c r="D41" s="24"/>
      <c r="F41" s="11">
        <v>408</v>
      </c>
      <c r="G41" s="11">
        <v>102</v>
      </c>
      <c r="H41" s="12">
        <v>15073.81175050302</v>
      </c>
      <c r="I41" s="13">
        <v>10810.094744743355</v>
      </c>
      <c r="J41" s="12"/>
      <c r="K41" s="14">
        <v>25883.906495246374</v>
      </c>
    </row>
    <row r="42" spans="1:11">
      <c r="A42" s="6" t="s">
        <v>52</v>
      </c>
      <c r="B42" s="63" t="s">
        <v>53</v>
      </c>
      <c r="F42" s="11">
        <v>1748.49</v>
      </c>
      <c r="G42" s="11">
        <v>654.375</v>
      </c>
      <c r="H42" s="12">
        <v>85450.678682012207</v>
      </c>
      <c r="I42" s="13">
        <v>61280.447695941795</v>
      </c>
      <c r="J42" s="12"/>
      <c r="K42" s="14">
        <v>146731.126377954</v>
      </c>
    </row>
    <row r="43" spans="1:1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v>0</v>
      </c>
    </row>
    <row r="44" spans="1:1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v>0</v>
      </c>
    </row>
    <row r="45" spans="1:1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v>0</v>
      </c>
    </row>
    <row r="46" spans="1:1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v>0</v>
      </c>
    </row>
    <row r="47" spans="1:11">
      <c r="A47" s="1"/>
    </row>
    <row r="48" spans="1:11">
      <c r="A48" s="1"/>
      <c r="E48" s="5" t="s">
        <v>41</v>
      </c>
      <c r="F48" s="25">
        <f t="shared" ref="F48:K48" si="1">SUM(F38:F46)</f>
        <v>9512.49</v>
      </c>
      <c r="G48" s="25">
        <f t="shared" si="1"/>
        <v>4434.375</v>
      </c>
      <c r="H48" s="14">
        <f t="shared" si="1"/>
        <v>398836.88117480552</v>
      </c>
      <c r="I48" s="14">
        <f t="shared" si="1"/>
        <v>286023.5051730508</v>
      </c>
      <c r="J48" s="14">
        <f t="shared" si="1"/>
        <v>0</v>
      </c>
      <c r="K48" s="14">
        <f t="shared" si="1"/>
        <v>684860.38634785637</v>
      </c>
    </row>
    <row r="49" spans="1:11" ht="13.5" thickBot="1">
      <c r="A49" s="1"/>
      <c r="G49" s="26"/>
      <c r="H49" s="26"/>
      <c r="I49" s="26"/>
      <c r="J49" s="26"/>
      <c r="K49" s="26"/>
    </row>
    <row r="50" spans="1:11" ht="25.5">
      <c r="A50" s="1"/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2.75" customHeight="1">
      <c r="A51" s="9" t="s">
        <v>59</v>
      </c>
      <c r="B51" s="382" t="s">
        <v>60</v>
      </c>
      <c r="C51" s="383"/>
    </row>
    <row r="52" spans="1:11">
      <c r="A52" s="6" t="s">
        <v>61</v>
      </c>
      <c r="B52" s="389" t="s">
        <v>549</v>
      </c>
      <c r="C52" s="385"/>
      <c r="D52" s="359"/>
      <c r="F52" s="223">
        <v>70720</v>
      </c>
      <c r="G52" s="223">
        <v>6655</v>
      </c>
      <c r="H52" s="48">
        <v>3197733.3344695861</v>
      </c>
      <c r="I52" s="13">
        <v>2293235.5058027557</v>
      </c>
      <c r="J52" s="12">
        <v>3146427.42141</v>
      </c>
      <c r="K52" s="14">
        <v>2344541.4188623419</v>
      </c>
    </row>
    <row r="53" spans="1:11">
      <c r="A53" s="6" t="s">
        <v>63</v>
      </c>
      <c r="B53" s="27" t="s">
        <v>409</v>
      </c>
      <c r="C53" s="28"/>
      <c r="D53" s="29"/>
      <c r="F53" s="11">
        <v>40778.506952800002</v>
      </c>
      <c r="G53" s="11">
        <v>143330.27567567569</v>
      </c>
      <c r="H53" s="12">
        <v>6116776.0429200009</v>
      </c>
      <c r="I53" s="13">
        <v>0</v>
      </c>
      <c r="J53" s="12"/>
      <c r="K53" s="14">
        <v>6116776.0429200009</v>
      </c>
    </row>
    <row r="54" spans="1:1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v>0</v>
      </c>
    </row>
    <row r="55" spans="1:1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v>0</v>
      </c>
    </row>
    <row r="56" spans="1:1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v>0</v>
      </c>
    </row>
    <row r="57" spans="1:1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v>0</v>
      </c>
    </row>
    <row r="58" spans="1:1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v>0</v>
      </c>
    </row>
    <row r="59" spans="1:1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v>0</v>
      </c>
    </row>
    <row r="60" spans="1:1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v>0</v>
      </c>
    </row>
    <row r="61" spans="1:1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v>0</v>
      </c>
    </row>
    <row r="62" spans="1:11">
      <c r="A62" s="6"/>
      <c r="I62" s="31"/>
    </row>
    <row r="63" spans="1:11">
      <c r="A63" s="6"/>
      <c r="E63" s="5" t="s">
        <v>41</v>
      </c>
      <c r="F63" s="19">
        <f t="shared" ref="F63:K63" si="2">SUM(F52:F61)</f>
        <v>111498.5069528</v>
      </c>
      <c r="G63" s="19">
        <f t="shared" si="2"/>
        <v>149985.27567567569</v>
      </c>
      <c r="H63" s="14">
        <f t="shared" si="2"/>
        <v>9314509.3773895875</v>
      </c>
      <c r="I63" s="14">
        <f t="shared" si="2"/>
        <v>2293235.5058027557</v>
      </c>
      <c r="J63" s="14">
        <f t="shared" si="2"/>
        <v>3146427.42141</v>
      </c>
      <c r="K63" s="14">
        <f t="shared" si="2"/>
        <v>8461317.4617823437</v>
      </c>
    </row>
    <row r="64" spans="1:11" ht="13.5" thickBot="1">
      <c r="A64" s="1"/>
      <c r="F64" s="26"/>
      <c r="G64" s="26"/>
      <c r="H64" s="26"/>
      <c r="I64" s="26"/>
      <c r="J64" s="26"/>
      <c r="K64" s="26"/>
    </row>
    <row r="65" spans="1:11" ht="25.5">
      <c r="A65" s="1"/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v>0</v>
      </c>
    </row>
    <row r="68" spans="1:1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v>0</v>
      </c>
    </row>
    <row r="69" spans="1:1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v>0</v>
      </c>
    </row>
    <row r="70" spans="1:1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v>0</v>
      </c>
    </row>
    <row r="71" spans="1:1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v>0</v>
      </c>
    </row>
    <row r="72" spans="1:1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v>0</v>
      </c>
    </row>
    <row r="73" spans="1:11">
      <c r="A73" s="6"/>
      <c r="B73" s="63"/>
      <c r="E73" s="5"/>
      <c r="F73" s="40"/>
      <c r="G73" s="40"/>
      <c r="H73" s="41"/>
      <c r="I73" s="42"/>
      <c r="J73" s="41"/>
      <c r="K73" s="33"/>
    </row>
    <row r="74" spans="1:11">
      <c r="A74" s="1"/>
      <c r="B74" s="63"/>
      <c r="E74" s="5" t="s">
        <v>41</v>
      </c>
      <c r="F74" s="43">
        <f t="shared" ref="F74:K74" si="3">SUM(F67:F72)</f>
        <v>0</v>
      </c>
      <c r="G74" s="43">
        <f t="shared" si="3"/>
        <v>0</v>
      </c>
      <c r="H74" s="43">
        <f t="shared" si="3"/>
        <v>0</v>
      </c>
      <c r="I74" s="43">
        <f t="shared" si="3"/>
        <v>0</v>
      </c>
      <c r="J74" s="43">
        <f t="shared" si="3"/>
        <v>0</v>
      </c>
      <c r="K74" s="43">
        <f t="shared" si="3"/>
        <v>0</v>
      </c>
    </row>
    <row r="75" spans="1:11" ht="25.5">
      <c r="A75" s="1"/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>
      <c r="A76" s="9" t="s">
        <v>89</v>
      </c>
      <c r="B76" s="5" t="s">
        <v>90</v>
      </c>
    </row>
    <row r="77" spans="1:11">
      <c r="A77" s="6" t="s">
        <v>91</v>
      </c>
      <c r="B77" s="63" t="s">
        <v>92</v>
      </c>
      <c r="F77" s="11"/>
      <c r="G77" s="11"/>
      <c r="H77" s="12">
        <v>18450</v>
      </c>
      <c r="I77" s="13">
        <v>0</v>
      </c>
      <c r="J77" s="12"/>
      <c r="K77" s="14">
        <v>18450</v>
      </c>
    </row>
    <row r="78" spans="1:1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v>0</v>
      </c>
    </row>
    <row r="79" spans="1:1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v>0</v>
      </c>
    </row>
    <row r="80" spans="1:1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v>0</v>
      </c>
    </row>
    <row r="81" spans="1:11" ht="13.5" thickBot="1">
      <c r="A81" s="6" t="s">
        <v>651</v>
      </c>
      <c r="B81" s="63" t="s">
        <v>548</v>
      </c>
      <c r="F81" s="35"/>
      <c r="G81" s="35"/>
      <c r="H81" s="36">
        <v>4720482.93</v>
      </c>
      <c r="I81" s="292">
        <v>0</v>
      </c>
      <c r="J81" s="36"/>
      <c r="K81" s="57">
        <v>4720482.93</v>
      </c>
    </row>
    <row r="82" spans="1:11" ht="13.5" thickBot="1">
      <c r="A82" s="6"/>
      <c r="E82" s="294" t="s">
        <v>41</v>
      </c>
      <c r="F82" s="19">
        <f t="shared" ref="F82:K82" si="4">SUM(F77:F81)</f>
        <v>0</v>
      </c>
      <c r="G82" s="19">
        <f t="shared" si="4"/>
        <v>0</v>
      </c>
      <c r="H82" s="14">
        <f t="shared" si="4"/>
        <v>4738932.93</v>
      </c>
      <c r="I82" s="14">
        <f t="shared" si="4"/>
        <v>0</v>
      </c>
      <c r="J82" s="14">
        <f t="shared" si="4"/>
        <v>0</v>
      </c>
      <c r="K82" s="14">
        <f t="shared" si="4"/>
        <v>4738932.93</v>
      </c>
    </row>
    <row r="83" spans="1:11" ht="13.5" thickBot="1">
      <c r="A83" s="6"/>
      <c r="F83" s="293"/>
      <c r="G83" s="293"/>
      <c r="H83" s="293"/>
      <c r="I83" s="293"/>
      <c r="J83" s="293"/>
      <c r="K83" s="293"/>
    </row>
    <row r="84" spans="1:11" ht="25.5">
      <c r="A84" s="1"/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>
      <c r="A85" s="9" t="s">
        <v>98</v>
      </c>
      <c r="B85" s="5" t="s">
        <v>99</v>
      </c>
    </row>
    <row r="86" spans="1:11">
      <c r="A86" s="6" t="s">
        <v>100</v>
      </c>
      <c r="B86" s="2" t="s">
        <v>101</v>
      </c>
      <c r="F86" s="11"/>
      <c r="G86" s="11"/>
      <c r="H86" s="12"/>
      <c r="I86" s="13">
        <v>0</v>
      </c>
      <c r="J86" s="12"/>
      <c r="K86" s="14">
        <v>0</v>
      </c>
    </row>
    <row r="87" spans="1:11">
      <c r="A87" s="6" t="s">
        <v>102</v>
      </c>
      <c r="B87" s="63" t="s">
        <v>103</v>
      </c>
      <c r="F87" s="11"/>
      <c r="G87" s="11"/>
      <c r="H87" s="12"/>
      <c r="I87" s="13">
        <v>0</v>
      </c>
      <c r="J87" s="12"/>
      <c r="K87" s="14">
        <v>0</v>
      </c>
    </row>
    <row r="88" spans="1:11">
      <c r="A88" s="6" t="s">
        <v>104</v>
      </c>
      <c r="B88" s="63" t="s">
        <v>105</v>
      </c>
      <c r="F88" s="11"/>
      <c r="G88" s="11"/>
      <c r="H88" s="12"/>
      <c r="I88" s="13">
        <v>0</v>
      </c>
      <c r="J88" s="12"/>
      <c r="K88" s="14">
        <v>0</v>
      </c>
    </row>
    <row r="89" spans="1:11">
      <c r="A89" s="6" t="s">
        <v>106</v>
      </c>
      <c r="B89" s="63" t="s">
        <v>107</v>
      </c>
      <c r="F89" s="11"/>
      <c r="G89" s="11"/>
      <c r="H89" s="12"/>
      <c r="I89" s="13">
        <v>0</v>
      </c>
      <c r="J89" s="12"/>
      <c r="K89" s="14">
        <v>0</v>
      </c>
    </row>
    <row r="90" spans="1:11">
      <c r="A90" s="6" t="s">
        <v>108</v>
      </c>
      <c r="B90" s="386" t="s">
        <v>109</v>
      </c>
      <c r="C90" s="356"/>
      <c r="F90" s="11"/>
      <c r="G90" s="11"/>
      <c r="H90" s="12"/>
      <c r="I90" s="13">
        <v>0</v>
      </c>
      <c r="J90" s="12"/>
      <c r="K90" s="14">
        <v>0</v>
      </c>
    </row>
    <row r="91" spans="1:11">
      <c r="A91" s="6" t="s">
        <v>110</v>
      </c>
      <c r="B91" s="63" t="s">
        <v>111</v>
      </c>
      <c r="F91" s="11"/>
      <c r="G91" s="11"/>
      <c r="H91" s="12"/>
      <c r="I91" s="13">
        <v>0</v>
      </c>
      <c r="J91" s="12"/>
      <c r="K91" s="14">
        <v>0</v>
      </c>
    </row>
    <row r="92" spans="1:11">
      <c r="A92" s="6" t="s">
        <v>112</v>
      </c>
      <c r="B92" s="63" t="s">
        <v>113</v>
      </c>
      <c r="F92" s="46"/>
      <c r="G92" s="46"/>
      <c r="H92" s="47"/>
      <c r="I92" s="13">
        <v>0</v>
      </c>
      <c r="J92" s="47"/>
      <c r="K92" s="14">
        <v>0</v>
      </c>
    </row>
    <row r="93" spans="1:11">
      <c r="A93" s="6" t="s">
        <v>114</v>
      </c>
      <c r="B93" s="63" t="s">
        <v>115</v>
      </c>
      <c r="F93" s="11"/>
      <c r="G93" s="11"/>
      <c r="H93" s="12"/>
      <c r="I93" s="13">
        <v>0</v>
      </c>
      <c r="J93" s="12"/>
      <c r="K93" s="14">
        <v>0</v>
      </c>
    </row>
    <row r="94" spans="1:11">
      <c r="A94" s="6" t="s">
        <v>116</v>
      </c>
      <c r="B94" s="63" t="s">
        <v>85</v>
      </c>
      <c r="F94" s="11"/>
      <c r="G94" s="11"/>
      <c r="H94" s="12"/>
      <c r="I94" s="13">
        <v>0</v>
      </c>
      <c r="J94" s="12"/>
      <c r="K94" s="14">
        <v>0</v>
      </c>
    </row>
    <row r="95" spans="1:11">
      <c r="A95" s="6"/>
      <c r="B95" s="381"/>
      <c r="C95" s="358"/>
      <c r="D95" s="359"/>
      <c r="F95" s="11"/>
      <c r="G95" s="11"/>
      <c r="H95" s="12"/>
      <c r="I95" s="13">
        <v>0</v>
      </c>
      <c r="J95" s="12"/>
      <c r="K95" s="14">
        <v>0</v>
      </c>
    </row>
    <row r="96" spans="1:11">
      <c r="A96" s="6"/>
      <c r="B96" s="381"/>
      <c r="C96" s="358"/>
      <c r="D96" s="359"/>
      <c r="F96" s="11"/>
      <c r="G96" s="11"/>
      <c r="H96" s="12"/>
      <c r="I96" s="13">
        <v>0</v>
      </c>
      <c r="J96" s="12"/>
      <c r="K96" s="14">
        <v>0</v>
      </c>
    </row>
    <row r="97" spans="1:17">
      <c r="A97" s="6"/>
      <c r="B97" s="381"/>
      <c r="C97" s="358"/>
      <c r="D97" s="359"/>
      <c r="F97" s="11"/>
      <c r="G97" s="11"/>
      <c r="H97" s="12"/>
      <c r="I97" s="13">
        <v>0</v>
      </c>
      <c r="J97" s="12"/>
      <c r="K97" s="14">
        <v>0</v>
      </c>
    </row>
    <row r="98" spans="1:17">
      <c r="A98" s="6"/>
      <c r="B98" s="63"/>
    </row>
    <row r="99" spans="1:17">
      <c r="A99" s="1"/>
      <c r="E99" s="5" t="s">
        <v>41</v>
      </c>
      <c r="F99" s="19">
        <f t="shared" ref="F99:K99" si="5">SUM(F86:F97)</f>
        <v>0</v>
      </c>
      <c r="G99" s="19">
        <f t="shared" si="5"/>
        <v>0</v>
      </c>
      <c r="H99" s="19">
        <f t="shared" si="5"/>
        <v>0</v>
      </c>
      <c r="I99" s="19">
        <f t="shared" si="5"/>
        <v>0</v>
      </c>
      <c r="J99" s="19">
        <f t="shared" si="5"/>
        <v>0</v>
      </c>
      <c r="K99" s="19">
        <f t="shared" si="5"/>
        <v>0</v>
      </c>
    </row>
    <row r="100" spans="1:17" ht="13.5" thickBot="1">
      <c r="A100" s="1"/>
      <c r="B100" s="5"/>
      <c r="F100" s="26"/>
      <c r="G100" s="26"/>
      <c r="H100" s="26"/>
      <c r="I100" s="26"/>
      <c r="J100" s="26"/>
      <c r="K100" s="26"/>
    </row>
    <row r="101" spans="1:17" ht="25.5">
      <c r="A101" s="1"/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7">
      <c r="A102" s="9" t="s">
        <v>117</v>
      </c>
      <c r="B102" s="5" t="s">
        <v>118</v>
      </c>
    </row>
    <row r="103" spans="1:17">
      <c r="A103" s="6" t="s">
        <v>119</v>
      </c>
      <c r="B103" s="2" t="s">
        <v>120</v>
      </c>
      <c r="F103" s="11"/>
      <c r="G103" s="11"/>
      <c r="H103" s="12"/>
      <c r="I103" s="13">
        <v>0</v>
      </c>
      <c r="J103" s="12"/>
      <c r="K103" s="14">
        <v>0</v>
      </c>
    </row>
    <row r="104" spans="1:17">
      <c r="A104" s="6" t="s">
        <v>121</v>
      </c>
      <c r="B104" s="386" t="s">
        <v>122</v>
      </c>
      <c r="C104" s="386"/>
      <c r="F104" s="11"/>
      <c r="G104" s="11"/>
      <c r="H104" s="12"/>
      <c r="I104" s="13">
        <v>0</v>
      </c>
      <c r="J104" s="12"/>
      <c r="K104" s="14">
        <v>0</v>
      </c>
    </row>
    <row r="105" spans="1:17">
      <c r="A105" s="6" t="s">
        <v>123</v>
      </c>
      <c r="B105" s="2" t="s">
        <v>124</v>
      </c>
      <c r="F105" s="11"/>
      <c r="G105" s="11"/>
      <c r="H105" s="12"/>
      <c r="I105" s="13">
        <v>0</v>
      </c>
      <c r="J105" s="12"/>
      <c r="K105" s="14">
        <v>0</v>
      </c>
    </row>
    <row r="106" spans="1:17">
      <c r="A106" s="6" t="s">
        <v>125</v>
      </c>
      <c r="B106" s="381"/>
      <c r="C106" s="358"/>
      <c r="D106" s="359"/>
      <c r="F106" s="11"/>
      <c r="G106" s="11"/>
      <c r="H106" s="12"/>
      <c r="I106" s="13">
        <v>0</v>
      </c>
      <c r="J106" s="12"/>
      <c r="K106" s="14">
        <v>0</v>
      </c>
    </row>
    <row r="107" spans="1:17">
      <c r="A107" s="6" t="s">
        <v>126</v>
      </c>
      <c r="B107" s="381"/>
      <c r="C107" s="358"/>
      <c r="D107" s="359"/>
      <c r="F107" s="11"/>
      <c r="G107" s="11"/>
      <c r="H107" s="12"/>
      <c r="I107" s="13">
        <v>0</v>
      </c>
      <c r="J107" s="12"/>
      <c r="K107" s="14">
        <v>0</v>
      </c>
    </row>
    <row r="108" spans="1:17">
      <c r="A108" s="6" t="s">
        <v>127</v>
      </c>
      <c r="B108" s="381"/>
      <c r="C108" s="358"/>
      <c r="D108" s="359"/>
      <c r="F108" s="11"/>
      <c r="G108" s="11"/>
      <c r="H108" s="12"/>
      <c r="I108" s="13">
        <v>0</v>
      </c>
      <c r="J108" s="12"/>
      <c r="K108" s="14">
        <v>0</v>
      </c>
    </row>
    <row r="109" spans="1:17">
      <c r="A109" s="1"/>
      <c r="B109" s="5"/>
    </row>
    <row r="110" spans="1:17">
      <c r="A110" s="1"/>
      <c r="B110" s="24"/>
      <c r="E110" s="5" t="s">
        <v>41</v>
      </c>
      <c r="F110" s="19">
        <f t="shared" ref="F110:K110" si="6">SUM(F103:F108)</f>
        <v>0</v>
      </c>
      <c r="G110" s="19">
        <f t="shared" si="6"/>
        <v>0</v>
      </c>
      <c r="H110" s="14">
        <f t="shared" si="6"/>
        <v>0</v>
      </c>
      <c r="I110" s="14">
        <f t="shared" si="6"/>
        <v>0</v>
      </c>
      <c r="J110" s="14">
        <f t="shared" si="6"/>
        <v>0</v>
      </c>
      <c r="K110" s="14">
        <f t="shared" si="6"/>
        <v>0</v>
      </c>
      <c r="L110" s="24"/>
      <c r="M110" s="24"/>
      <c r="N110" s="24"/>
      <c r="O110" s="24"/>
      <c r="P110" s="24"/>
      <c r="Q110" s="24"/>
    </row>
    <row r="111" spans="1:17" ht="13.5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  <c r="L111" s="24"/>
      <c r="M111" s="24"/>
      <c r="N111" s="24"/>
      <c r="O111" s="24"/>
      <c r="P111" s="24"/>
      <c r="Q111" s="24"/>
    </row>
    <row r="112" spans="1:17">
      <c r="A112" s="9" t="s">
        <v>128</v>
      </c>
      <c r="B112" s="5" t="s">
        <v>129</v>
      </c>
      <c r="L112" s="24"/>
      <c r="M112" s="24"/>
      <c r="N112" s="24"/>
      <c r="O112" s="24"/>
      <c r="P112" s="24"/>
      <c r="Q112" s="24"/>
    </row>
    <row r="113" spans="1:6">
      <c r="A113" s="1"/>
      <c r="B113" s="5"/>
      <c r="E113" s="5" t="s">
        <v>41</v>
      </c>
      <c r="F113" s="12">
        <v>1469041.63</v>
      </c>
    </row>
    <row r="114" spans="1:6">
      <c r="A114" s="1"/>
      <c r="B114" s="5"/>
      <c r="E114" s="5"/>
      <c r="F114" s="52"/>
    </row>
    <row r="115" spans="1:6">
      <c r="A115" s="9" t="s">
        <v>130</v>
      </c>
      <c r="B115" s="5" t="s">
        <v>131</v>
      </c>
    </row>
    <row r="116" spans="1:6">
      <c r="A116" s="6" t="s">
        <v>132</v>
      </c>
      <c r="B116" s="63" t="s">
        <v>133</v>
      </c>
      <c r="F116" s="53">
        <v>0.71714407235997335</v>
      </c>
    </row>
    <row r="117" spans="1:6">
      <c r="A117" s="6"/>
      <c r="B117" s="5"/>
    </row>
    <row r="118" spans="1:6">
      <c r="A118" s="6" t="s">
        <v>134</v>
      </c>
      <c r="B118" s="5" t="s">
        <v>135</v>
      </c>
    </row>
    <row r="119" spans="1:6">
      <c r="A119" s="6"/>
      <c r="B119" s="63" t="s">
        <v>136</v>
      </c>
      <c r="F119" s="222">
        <v>226589438</v>
      </c>
    </row>
    <row r="120" spans="1:6">
      <c r="A120" s="1"/>
      <c r="B120" s="2" t="s">
        <v>137</v>
      </c>
      <c r="F120" s="222">
        <v>761352</v>
      </c>
    </row>
    <row r="121" spans="1:6">
      <c r="A121" s="6"/>
      <c r="B121" s="5" t="s">
        <v>138</v>
      </c>
      <c r="F121" s="222">
        <v>227350790</v>
      </c>
    </row>
    <row r="122" spans="1:6">
      <c r="A122" s="6"/>
      <c r="B122" s="5"/>
    </row>
    <row r="123" spans="1:6">
      <c r="A123" s="6" t="s">
        <v>139</v>
      </c>
      <c r="B123" s="5" t="s">
        <v>140</v>
      </c>
      <c r="F123" s="222">
        <v>222131545</v>
      </c>
    </row>
    <row r="124" spans="1:6">
      <c r="A124" s="6"/>
    </row>
    <row r="125" spans="1:6">
      <c r="A125" s="6" t="s">
        <v>141</v>
      </c>
      <c r="B125" s="5" t="s">
        <v>142</v>
      </c>
      <c r="F125" s="222">
        <v>5219245</v>
      </c>
    </row>
    <row r="126" spans="1:6">
      <c r="A126" s="6"/>
    </row>
    <row r="127" spans="1:6">
      <c r="A127" s="6" t="s">
        <v>143</v>
      </c>
      <c r="B127" s="5" t="s">
        <v>144</v>
      </c>
      <c r="F127" s="222">
        <v>408593</v>
      </c>
    </row>
    <row r="128" spans="1:6">
      <c r="A128" s="6"/>
    </row>
    <row r="129" spans="1:11">
      <c r="A129" s="6" t="s">
        <v>145</v>
      </c>
      <c r="B129" s="5" t="s">
        <v>146</v>
      </c>
      <c r="F129" s="222">
        <v>5627838</v>
      </c>
    </row>
    <row r="130" spans="1:11">
      <c r="A130" s="6"/>
    </row>
    <row r="131" spans="1:11" ht="25.5">
      <c r="A131" s="1"/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>
      <c r="A132" s="9" t="s">
        <v>147</v>
      </c>
      <c r="B132" s="5" t="s">
        <v>148</v>
      </c>
    </row>
    <row r="133" spans="1:1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v>0</v>
      </c>
    </row>
    <row r="134" spans="1:1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v>0</v>
      </c>
    </row>
    <row r="135" spans="1:1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v>0</v>
      </c>
    </row>
    <row r="136" spans="1:1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v>0</v>
      </c>
    </row>
    <row r="137" spans="1:1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v>0</v>
      </c>
    </row>
    <row r="138" spans="1:1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v>0</v>
      </c>
    </row>
    <row r="139" spans="1:11">
      <c r="A139" s="9"/>
    </row>
    <row r="140" spans="1:11">
      <c r="A140" s="1"/>
      <c r="B140" s="5" t="s">
        <v>157</v>
      </c>
      <c r="F140" s="19">
        <f t="shared" ref="F140:K140" si="7">SUM(F133:F138)</f>
        <v>0</v>
      </c>
      <c r="G140" s="19">
        <f t="shared" si="7"/>
        <v>0</v>
      </c>
      <c r="H140" s="14">
        <f t="shared" si="7"/>
        <v>0</v>
      </c>
      <c r="I140" s="14">
        <f t="shared" si="7"/>
        <v>0</v>
      </c>
      <c r="J140" s="14">
        <f t="shared" si="7"/>
        <v>0</v>
      </c>
      <c r="K140" s="14">
        <f t="shared" si="7"/>
        <v>0</v>
      </c>
    </row>
    <row r="142" spans="1:11" ht="25.5">
      <c r="A142" s="1"/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>
      <c r="A143" s="9" t="s">
        <v>158</v>
      </c>
      <c r="B143" s="2" t="s">
        <v>159</v>
      </c>
    </row>
    <row r="144" spans="1:11">
      <c r="A144" s="6" t="s">
        <v>160</v>
      </c>
      <c r="B144" s="5" t="s">
        <v>161</v>
      </c>
      <c r="F144" s="54">
        <f t="shared" ref="F144:K144" si="8">F34</f>
        <v>15966.26</v>
      </c>
      <c r="G144" s="54">
        <f t="shared" si="8"/>
        <v>71514.950651868276</v>
      </c>
      <c r="H144" s="54">
        <f t="shared" si="8"/>
        <v>615392.13612136489</v>
      </c>
      <c r="I144" s="54">
        <f t="shared" si="8"/>
        <v>441324.82259637862</v>
      </c>
      <c r="J144" s="54">
        <f t="shared" si="8"/>
        <v>0</v>
      </c>
      <c r="K144" s="54">
        <f t="shared" si="8"/>
        <v>1056716.9587177434</v>
      </c>
    </row>
    <row r="145" spans="1:11">
      <c r="A145" s="6" t="s">
        <v>162</v>
      </c>
      <c r="B145" s="5" t="s">
        <v>163</v>
      </c>
      <c r="F145" s="54">
        <f t="shared" ref="F145:K145" si="9">F48</f>
        <v>9512.49</v>
      </c>
      <c r="G145" s="54">
        <f t="shared" si="9"/>
        <v>4434.375</v>
      </c>
      <c r="H145" s="54">
        <f t="shared" si="9"/>
        <v>398836.88117480552</v>
      </c>
      <c r="I145" s="54">
        <f t="shared" si="9"/>
        <v>286023.5051730508</v>
      </c>
      <c r="J145" s="54">
        <f t="shared" si="9"/>
        <v>0</v>
      </c>
      <c r="K145" s="54">
        <f t="shared" si="9"/>
        <v>684860.38634785637</v>
      </c>
    </row>
    <row r="146" spans="1:11">
      <c r="A146" s="6" t="s">
        <v>164</v>
      </c>
      <c r="B146" s="5" t="s">
        <v>165</v>
      </c>
      <c r="F146" s="54">
        <f t="shared" ref="F146:K146" si="10">F63</f>
        <v>111498.5069528</v>
      </c>
      <c r="G146" s="54">
        <f t="shared" si="10"/>
        <v>149985.27567567569</v>
      </c>
      <c r="H146" s="54">
        <f t="shared" si="10"/>
        <v>9314509.3773895875</v>
      </c>
      <c r="I146" s="54">
        <f t="shared" si="10"/>
        <v>2293235.5058027557</v>
      </c>
      <c r="J146" s="54">
        <f t="shared" si="10"/>
        <v>3146427.42141</v>
      </c>
      <c r="K146" s="54">
        <f t="shared" si="10"/>
        <v>8461317.4617823437</v>
      </c>
    </row>
    <row r="147" spans="1:11">
      <c r="A147" s="6" t="s">
        <v>166</v>
      </c>
      <c r="B147" s="5" t="s">
        <v>167</v>
      </c>
      <c r="F147" s="54">
        <f t="shared" ref="F147:K147" si="11">F74</f>
        <v>0</v>
      </c>
      <c r="G147" s="54">
        <f t="shared" si="11"/>
        <v>0</v>
      </c>
      <c r="H147" s="54">
        <f t="shared" si="11"/>
        <v>0</v>
      </c>
      <c r="I147" s="54">
        <f t="shared" si="11"/>
        <v>0</v>
      </c>
      <c r="J147" s="54">
        <f t="shared" si="11"/>
        <v>0</v>
      </c>
      <c r="K147" s="54">
        <f t="shared" si="11"/>
        <v>0</v>
      </c>
    </row>
    <row r="148" spans="1:11">
      <c r="A148" s="6" t="s">
        <v>168</v>
      </c>
      <c r="B148" s="5" t="s">
        <v>169</v>
      </c>
      <c r="F148" s="54">
        <f t="shared" ref="F148:K148" si="12">F82</f>
        <v>0</v>
      </c>
      <c r="G148" s="54">
        <f t="shared" si="12"/>
        <v>0</v>
      </c>
      <c r="H148" s="54">
        <f t="shared" si="12"/>
        <v>4738932.93</v>
      </c>
      <c r="I148" s="54">
        <f t="shared" si="12"/>
        <v>0</v>
      </c>
      <c r="J148" s="54">
        <f t="shared" si="12"/>
        <v>0</v>
      </c>
      <c r="K148" s="54">
        <f t="shared" si="12"/>
        <v>4738932.93</v>
      </c>
    </row>
    <row r="149" spans="1:11">
      <c r="A149" s="6" t="s">
        <v>170</v>
      </c>
      <c r="B149" s="5" t="s">
        <v>171</v>
      </c>
      <c r="F149" s="54">
        <f t="shared" ref="F149:K149" si="13">F99</f>
        <v>0</v>
      </c>
      <c r="G149" s="54">
        <f t="shared" si="13"/>
        <v>0</v>
      </c>
      <c r="H149" s="54">
        <f t="shared" si="13"/>
        <v>0</v>
      </c>
      <c r="I149" s="54">
        <f t="shared" si="13"/>
        <v>0</v>
      </c>
      <c r="J149" s="54">
        <f t="shared" si="13"/>
        <v>0</v>
      </c>
      <c r="K149" s="54">
        <f t="shared" si="13"/>
        <v>0</v>
      </c>
    </row>
    <row r="150" spans="1:11">
      <c r="A150" s="6" t="s">
        <v>172</v>
      </c>
      <c r="B150" s="5" t="s">
        <v>173</v>
      </c>
      <c r="F150" s="19">
        <f t="shared" ref="F150:K150" si="14">F110</f>
        <v>0</v>
      </c>
      <c r="G150" s="19">
        <f t="shared" si="14"/>
        <v>0</v>
      </c>
      <c r="H150" s="19">
        <f t="shared" si="14"/>
        <v>0</v>
      </c>
      <c r="I150" s="19">
        <f t="shared" si="14"/>
        <v>0</v>
      </c>
      <c r="J150" s="19">
        <f t="shared" si="14"/>
        <v>0</v>
      </c>
      <c r="K150" s="19">
        <f t="shared" si="14"/>
        <v>0</v>
      </c>
    </row>
    <row r="151" spans="1:1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1469041.63</v>
      </c>
    </row>
    <row r="152" spans="1:11">
      <c r="A152" s="6" t="s">
        <v>147</v>
      </c>
      <c r="B152" s="5" t="s">
        <v>177</v>
      </c>
      <c r="F152" s="19">
        <f t="shared" ref="F152:K152" si="15">F140</f>
        <v>0</v>
      </c>
      <c r="G152" s="19">
        <f t="shared" si="15"/>
        <v>0</v>
      </c>
      <c r="H152" s="19">
        <f t="shared" si="15"/>
        <v>0</v>
      </c>
      <c r="I152" s="19">
        <f t="shared" si="15"/>
        <v>0</v>
      </c>
      <c r="J152" s="19">
        <f t="shared" si="15"/>
        <v>0</v>
      </c>
      <c r="K152" s="19">
        <f t="shared" si="15"/>
        <v>0</v>
      </c>
    </row>
    <row r="153" spans="1:11">
      <c r="A153" s="1"/>
      <c r="B153" s="5"/>
      <c r="F153" s="58"/>
      <c r="G153" s="58"/>
      <c r="H153" s="58"/>
      <c r="I153" s="58"/>
      <c r="J153" s="58"/>
      <c r="K153" s="58"/>
    </row>
    <row r="154" spans="1:11">
      <c r="A154" s="9"/>
      <c r="B154" s="5" t="s">
        <v>159</v>
      </c>
      <c r="F154" s="59">
        <f t="shared" ref="F154:K154" si="16">SUM(F144:F152)</f>
        <v>136977.2569528</v>
      </c>
      <c r="G154" s="60">
        <f t="shared" si="16"/>
        <v>225934.60132754396</v>
      </c>
      <c r="H154" s="60">
        <f t="shared" si="16"/>
        <v>15067671.324685758</v>
      </c>
      <c r="I154" s="60">
        <f t="shared" si="16"/>
        <v>3020583.8335721851</v>
      </c>
      <c r="J154" s="60">
        <f t="shared" si="16"/>
        <v>3146427.42141</v>
      </c>
      <c r="K154" s="61">
        <f t="shared" si="16"/>
        <v>16410869.366847944</v>
      </c>
    </row>
    <row r="155" spans="1:11">
      <c r="A155" s="1"/>
    </row>
    <row r="156" spans="1:11" ht="15">
      <c r="A156" s="1"/>
      <c r="B156" s="5" t="s">
        <v>178</v>
      </c>
      <c r="F156" s="233">
        <f>K154/F123</f>
        <v>7.3879058315863888E-2</v>
      </c>
    </row>
    <row r="157" spans="1:11" ht="15">
      <c r="A157" s="1"/>
      <c r="B157" s="5" t="s">
        <v>179</v>
      </c>
      <c r="F157" s="233">
        <f>K154/F129</f>
        <v>2.9160166598341926</v>
      </c>
      <c r="G157" s="5"/>
    </row>
    <row r="158" spans="1:11">
      <c r="A158" s="1"/>
      <c r="G158" s="5"/>
    </row>
    <row r="159" spans="1:11">
      <c r="A159" s="1"/>
    </row>
    <row r="160" spans="1:1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</sheetData>
  <mergeCells count="33">
    <mergeCell ref="B96:D96"/>
    <mergeCell ref="B97:D97"/>
    <mergeCell ref="B104:C104"/>
    <mergeCell ref="B106:D106"/>
    <mergeCell ref="B138:D138"/>
    <mergeCell ref="B107:D107"/>
    <mergeCell ref="B108:D108"/>
    <mergeCell ref="B136:D136"/>
    <mergeCell ref="B137:D137"/>
    <mergeCell ref="B58:D58"/>
    <mergeCell ref="B61:D61"/>
    <mergeCell ref="B90:C90"/>
    <mergeCell ref="B95:D95"/>
    <mergeCell ref="B52:D52"/>
    <mergeCell ref="B54:D54"/>
    <mergeCell ref="B55:D55"/>
    <mergeCell ref="B56:D56"/>
    <mergeCell ref="B44:D44"/>
    <mergeCell ref="B45:D45"/>
    <mergeCell ref="B46:D46"/>
    <mergeCell ref="B51:C51"/>
    <mergeCell ref="B28:D28"/>
    <mergeCell ref="B29:D29"/>
    <mergeCell ref="B32:D32"/>
    <mergeCell ref="B39:C39"/>
    <mergeCell ref="C9:G9"/>
    <mergeCell ref="C10:G10"/>
    <mergeCell ref="C11:G11"/>
    <mergeCell ref="B13:H13"/>
    <mergeCell ref="D2:H2"/>
    <mergeCell ref="C5:G5"/>
    <mergeCell ref="C6:G6"/>
    <mergeCell ref="C7:G7"/>
  </mergeCells>
  <pageMargins left="0.75" right="0.75" top="1" bottom="1" header="0.5" footer="0.5"/>
  <pageSetup scale="57" orientation="landscape" r:id="rId1"/>
  <headerFooter alignWithMargins="0"/>
  <rowBreaks count="3" manualBreakCount="3">
    <brk id="49" max="16383" man="1"/>
    <brk id="83" max="16383" man="1"/>
    <brk id="130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65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566</v>
      </c>
      <c r="D5" s="363"/>
      <c r="E5" s="363"/>
      <c r="F5" s="363"/>
      <c r="G5" s="364"/>
    </row>
    <row r="6" spans="1:11" ht="18" customHeight="1">
      <c r="B6" s="6" t="s">
        <v>4</v>
      </c>
      <c r="C6" s="441">
        <v>11</v>
      </c>
      <c r="D6" s="436"/>
      <c r="E6" s="436"/>
      <c r="F6" s="436"/>
      <c r="G6" s="437"/>
    </row>
    <row r="7" spans="1:11" ht="18" customHeight="1">
      <c r="B7" s="6" t="s">
        <v>5</v>
      </c>
      <c r="C7" s="438">
        <v>3307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565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564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563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678</v>
      </c>
      <c r="G18" s="11">
        <v>17784</v>
      </c>
      <c r="H18" s="12">
        <v>713807.8</v>
      </c>
      <c r="I18" s="13">
        <f t="shared" ref="I18:I32" si="0">H18*F$116</f>
        <v>376432.64464309957</v>
      </c>
      <c r="J18" s="12">
        <v>55340.95</v>
      </c>
      <c r="K18" s="14">
        <f t="shared" ref="K18:K32" si="1">(H18+I18)-J18</f>
        <v>1034899.4946430996</v>
      </c>
    </row>
    <row r="19" spans="1:11" ht="18" customHeight="1">
      <c r="A19" s="6"/>
      <c r="B19" s="2" t="s">
        <v>23</v>
      </c>
      <c r="F19" s="11">
        <f>750+27.5</f>
        <v>777.5</v>
      </c>
      <c r="G19" s="11">
        <v>142</v>
      </c>
      <c r="H19" s="12">
        <f>70000+4133.5</f>
        <v>74133.5</v>
      </c>
      <c r="I19" s="13">
        <f t="shared" si="0"/>
        <v>39094.934885341994</v>
      </c>
      <c r="J19" s="12">
        <v>500</v>
      </c>
      <c r="K19" s="14">
        <f t="shared" si="1"/>
        <v>112728.43488534199</v>
      </c>
    </row>
    <row r="20" spans="1:11" ht="18" customHeight="1">
      <c r="A20" s="6"/>
      <c r="B20" s="2" t="s">
        <v>24</v>
      </c>
      <c r="F20" s="11">
        <v>23</v>
      </c>
      <c r="G20" s="11"/>
      <c r="H20" s="12">
        <v>1035</v>
      </c>
      <c r="I20" s="13">
        <f t="shared" si="0"/>
        <v>545.81609672184584</v>
      </c>
      <c r="J20" s="12">
        <v>0</v>
      </c>
      <c r="K20" s="14">
        <f t="shared" si="1"/>
        <v>1580.816096721846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2365</v>
      </c>
      <c r="G22" s="11">
        <v>11413</v>
      </c>
      <c r="H22" s="12">
        <v>325204.40999999997</v>
      </c>
      <c r="I22" s="13">
        <f t="shared" si="0"/>
        <v>171499.32531684136</v>
      </c>
      <c r="J22" s="12">
        <v>5400</v>
      </c>
      <c r="K22" s="14">
        <f t="shared" si="1"/>
        <v>491303.73531684134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10495</v>
      </c>
      <c r="G26" s="11"/>
      <c r="H26" s="12">
        <v>198105</v>
      </c>
      <c r="I26" s="13">
        <f t="shared" si="0"/>
        <v>104472.36506384665</v>
      </c>
      <c r="J26" s="12"/>
      <c r="K26" s="14">
        <f t="shared" si="1"/>
        <v>302577.36506384664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14338.5</v>
      </c>
      <c r="G34" s="19">
        <f t="shared" si="2"/>
        <v>29339</v>
      </c>
      <c r="H34" s="14">
        <f t="shared" si="2"/>
        <v>1312285.71</v>
      </c>
      <c r="I34" s="14">
        <f t="shared" si="2"/>
        <v>692045.08600585151</v>
      </c>
      <c r="J34" s="14">
        <f t="shared" si="2"/>
        <v>61240.95</v>
      </c>
      <c r="K34" s="14">
        <f t="shared" si="2"/>
        <v>1943089.8460058514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152880</v>
      </c>
      <c r="G38" s="11"/>
      <c r="H38" s="12">
        <v>6723084.3618299598</v>
      </c>
      <c r="I38" s="13">
        <f>H38*F$116</f>
        <v>3545476.0041601071</v>
      </c>
      <c r="J38" s="12"/>
      <c r="K38" s="14">
        <f t="shared" ref="K38:K46" si="3">(H38+I38)-J38</f>
        <v>10268560.365990067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152880</v>
      </c>
      <c r="G48" s="25">
        <f t="shared" si="4"/>
        <v>0</v>
      </c>
      <c r="H48" s="14">
        <f t="shared" si="4"/>
        <v>6723084.3618299598</v>
      </c>
      <c r="I48" s="14">
        <f t="shared" si="4"/>
        <v>3545476.0041601071</v>
      </c>
      <c r="J48" s="14">
        <f t="shared" si="4"/>
        <v>0</v>
      </c>
      <c r="K48" s="14">
        <f t="shared" si="4"/>
        <v>10268560.365990067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562</v>
      </c>
      <c r="C52" s="385"/>
      <c r="D52" s="359"/>
      <c r="F52" s="11"/>
      <c r="G52" s="11"/>
      <c r="H52" s="12">
        <v>250</v>
      </c>
      <c r="I52" s="13">
        <f t="shared" ref="I52:I57" si="5">H52*F$116</f>
        <v>131.83963688933474</v>
      </c>
      <c r="J52" s="12"/>
      <c r="K52" s="14">
        <f t="shared" ref="K52:K61" si="6">(H52+I52)-J52</f>
        <v>381.83963688933477</v>
      </c>
    </row>
    <row r="53" spans="1:11" ht="18" customHeight="1">
      <c r="A53" s="6" t="s">
        <v>63</v>
      </c>
      <c r="B53" s="27" t="s">
        <v>561</v>
      </c>
      <c r="C53" s="28"/>
      <c r="D53" s="29"/>
      <c r="F53" s="11"/>
      <c r="G53" s="11"/>
      <c r="H53" s="12">
        <v>4000</v>
      </c>
      <c r="I53" s="13">
        <f t="shared" si="5"/>
        <v>2109.4341902293559</v>
      </c>
      <c r="J53" s="12"/>
      <c r="K53" s="14">
        <f t="shared" si="6"/>
        <v>6109.4341902293563</v>
      </c>
    </row>
    <row r="54" spans="1:11" ht="18" customHeight="1">
      <c r="A54" s="6" t="s">
        <v>65</v>
      </c>
      <c r="B54" s="381" t="s">
        <v>560</v>
      </c>
      <c r="C54" s="358"/>
      <c r="D54" s="359"/>
      <c r="F54" s="11"/>
      <c r="G54" s="11">
        <v>9100</v>
      </c>
      <c r="H54" s="12">
        <v>2108</v>
      </c>
      <c r="I54" s="13">
        <f t="shared" si="5"/>
        <v>1111.6718182508707</v>
      </c>
      <c r="J54" s="12"/>
      <c r="K54" s="14">
        <f t="shared" si="6"/>
        <v>3219.6718182508707</v>
      </c>
    </row>
    <row r="55" spans="1:11" ht="18" customHeight="1">
      <c r="A55" s="6" t="s">
        <v>67</v>
      </c>
      <c r="B55" s="421" t="s">
        <v>559</v>
      </c>
      <c r="C55" s="358"/>
      <c r="D55" s="359"/>
      <c r="F55" s="11"/>
      <c r="G55" s="11"/>
      <c r="H55" s="12">
        <v>97760</v>
      </c>
      <c r="I55" s="13">
        <f t="shared" si="5"/>
        <v>51554.571609205464</v>
      </c>
      <c r="J55" s="12"/>
      <c r="K55" s="14">
        <f t="shared" si="6"/>
        <v>149314.57160920545</v>
      </c>
    </row>
    <row r="56" spans="1:11" ht="18" customHeight="1">
      <c r="A56" s="6" t="s">
        <v>69</v>
      </c>
      <c r="B56" s="381" t="s">
        <v>558</v>
      </c>
      <c r="C56" s="358"/>
      <c r="D56" s="359"/>
      <c r="F56" s="11">
        <v>5964</v>
      </c>
      <c r="G56" s="11">
        <v>3348</v>
      </c>
      <c r="H56" s="12">
        <v>1132369.3319999999</v>
      </c>
      <c r="I56" s="13">
        <f t="shared" si="5"/>
        <v>597164.64622199419</v>
      </c>
      <c r="J56" s="12">
        <v>466877</v>
      </c>
      <c r="K56" s="14">
        <f t="shared" si="6"/>
        <v>1262656.9782219941</v>
      </c>
    </row>
    <row r="57" spans="1:11" ht="18" customHeight="1">
      <c r="A57" s="6" t="s">
        <v>71</v>
      </c>
      <c r="B57" s="27" t="s">
        <v>557</v>
      </c>
      <c r="C57" s="28"/>
      <c r="D57" s="29"/>
      <c r="F57" s="11"/>
      <c r="G57" s="11"/>
      <c r="H57" s="12">
        <v>1279900</v>
      </c>
      <c r="I57" s="13">
        <f t="shared" si="5"/>
        <v>674966.20501863817</v>
      </c>
      <c r="J57" s="12"/>
      <c r="K57" s="14">
        <f t="shared" si="6"/>
        <v>1954866.2050186382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6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6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6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6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7">SUM(F52:F61)</f>
        <v>5964</v>
      </c>
      <c r="G63" s="19">
        <f t="shared" si="7"/>
        <v>12448</v>
      </c>
      <c r="H63" s="14">
        <f t="shared" si="7"/>
        <v>2516387.3319999999</v>
      </c>
      <c r="I63" s="14">
        <f t="shared" si="7"/>
        <v>1327038.3684952073</v>
      </c>
      <c r="J63" s="14">
        <f t="shared" si="7"/>
        <v>466877</v>
      </c>
      <c r="K63" s="14">
        <f t="shared" si="7"/>
        <v>3376548.7004952072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11404</v>
      </c>
      <c r="G67" s="34"/>
      <c r="H67" s="34">
        <v>516838</v>
      </c>
      <c r="I67" s="13">
        <f>H67*F$116</f>
        <v>272558.93700243998</v>
      </c>
      <c r="J67" s="34">
        <v>523841</v>
      </c>
      <c r="K67" s="14">
        <f t="shared" ref="K67:K72" si="8">(H67+I67)-J67</f>
        <v>265555.93700243998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8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8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8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8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8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9">SUM(F67:F72)</f>
        <v>11404</v>
      </c>
      <c r="G74" s="43">
        <f t="shared" si="9"/>
        <v>0</v>
      </c>
      <c r="H74" s="43">
        <f t="shared" si="9"/>
        <v>516838</v>
      </c>
      <c r="I74" s="43">
        <f t="shared" si="9"/>
        <v>272558.93700243998</v>
      </c>
      <c r="J74" s="43">
        <f t="shared" si="9"/>
        <v>523841</v>
      </c>
      <c r="K74" s="43">
        <f t="shared" si="9"/>
        <v>265555.93700243998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406624</v>
      </c>
      <c r="I77" s="13">
        <v>0</v>
      </c>
      <c r="J77" s="12"/>
      <c r="K77" s="14">
        <f>(H77+I77)-J77</f>
        <v>406624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</v>
      </c>
      <c r="G79" s="11">
        <v>910</v>
      </c>
      <c r="H79" s="12">
        <v>218704.02</v>
      </c>
      <c r="I79" s="13">
        <v>0</v>
      </c>
      <c r="J79" s="12"/>
      <c r="K79" s="14">
        <f>(H79+I79)-J79</f>
        <v>218704.02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0">SUM(F77:F80)</f>
        <v>1</v>
      </c>
      <c r="G82" s="44">
        <f t="shared" si="10"/>
        <v>910</v>
      </c>
      <c r="H82" s="45">
        <f t="shared" si="10"/>
        <v>625328.02</v>
      </c>
      <c r="I82" s="45">
        <f t="shared" si="10"/>
        <v>0</v>
      </c>
      <c r="J82" s="45">
        <f t="shared" si="10"/>
        <v>0</v>
      </c>
      <c r="K82" s="45">
        <f t="shared" si="10"/>
        <v>625328.02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1">H86*F$116</f>
        <v>0</v>
      </c>
      <c r="J86" s="12"/>
      <c r="K86" s="14">
        <f t="shared" ref="K86:K97" si="12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1"/>
        <v>0</v>
      </c>
      <c r="J87" s="12"/>
      <c r="K87" s="14">
        <f t="shared" si="12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>
        <v>74601</v>
      </c>
      <c r="I88" s="13">
        <f t="shared" si="11"/>
        <v>39341.475006325047</v>
      </c>
      <c r="J88" s="12">
        <v>74601</v>
      </c>
      <c r="K88" s="14">
        <f t="shared" si="12"/>
        <v>39341.475006325054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1"/>
        <v>0</v>
      </c>
      <c r="J89" s="12"/>
      <c r="K89" s="14">
        <f t="shared" si="12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1"/>
        <v>0</v>
      </c>
      <c r="J90" s="12"/>
      <c r="K90" s="14">
        <f t="shared" si="12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1"/>
        <v>0</v>
      </c>
      <c r="J91" s="12"/>
      <c r="K91" s="14">
        <f t="shared" si="12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1"/>
        <v>0</v>
      </c>
      <c r="J92" s="47"/>
      <c r="K92" s="14">
        <f t="shared" si="12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1"/>
        <v>0</v>
      </c>
      <c r="J93" s="12"/>
      <c r="K93" s="14">
        <f t="shared" si="12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1"/>
        <v>0</v>
      </c>
      <c r="J94" s="12"/>
      <c r="K94" s="14">
        <f t="shared" si="12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1"/>
        <v>0</v>
      </c>
      <c r="J95" s="12"/>
      <c r="K95" s="14">
        <f t="shared" si="12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1"/>
        <v>0</v>
      </c>
      <c r="J96" s="12"/>
      <c r="K96" s="14">
        <f t="shared" si="12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1"/>
        <v>0</v>
      </c>
      <c r="J97" s="12"/>
      <c r="K97" s="14">
        <f t="shared" si="12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3">SUM(F86:F97)</f>
        <v>0</v>
      </c>
      <c r="G99" s="19">
        <f t="shared" si="13"/>
        <v>0</v>
      </c>
      <c r="H99" s="19">
        <f t="shared" si="13"/>
        <v>74601</v>
      </c>
      <c r="I99" s="19">
        <f t="shared" si="13"/>
        <v>39341.475006325047</v>
      </c>
      <c r="J99" s="19">
        <f t="shared" si="13"/>
        <v>74601</v>
      </c>
      <c r="K99" s="19">
        <f t="shared" si="13"/>
        <v>39341.475006325054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4">H103*F$116</f>
        <v>0</v>
      </c>
      <c r="J103" s="12"/>
      <c r="K103" s="14">
        <f t="shared" ref="K103:K108" si="15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4"/>
        <v>0</v>
      </c>
      <c r="J104" s="12"/>
      <c r="K104" s="14">
        <f t="shared" si="15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4"/>
        <v>0</v>
      </c>
      <c r="J105" s="12"/>
      <c r="K105" s="14">
        <f t="shared" si="15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4"/>
        <v>0</v>
      </c>
      <c r="J106" s="12"/>
      <c r="K106" s="14">
        <f t="shared" si="15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4"/>
        <v>0</v>
      </c>
      <c r="J107" s="12"/>
      <c r="K107" s="14">
        <f t="shared" si="15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4"/>
        <v>0</v>
      </c>
      <c r="J108" s="12"/>
      <c r="K108" s="14">
        <f t="shared" si="15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6">SUM(F103:F108)</f>
        <v>0</v>
      </c>
      <c r="G110" s="19">
        <f t="shared" si="16"/>
        <v>0</v>
      </c>
      <c r="H110" s="14">
        <f t="shared" si="16"/>
        <v>0</v>
      </c>
      <c r="I110" s="14">
        <f t="shared" si="16"/>
        <v>0</v>
      </c>
      <c r="J110" s="14">
        <f t="shared" si="16"/>
        <v>0</v>
      </c>
      <c r="K110" s="14">
        <f t="shared" si="16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13158163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0.52735854755733902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369976663</v>
      </c>
    </row>
    <row r="120" spans="1:6" ht="18" customHeight="1">
      <c r="B120" s="2" t="s">
        <v>137</v>
      </c>
      <c r="F120" s="12">
        <v>6851637</v>
      </c>
    </row>
    <row r="121" spans="1:6" ht="18" customHeight="1">
      <c r="A121" s="6"/>
      <c r="B121" s="5" t="s">
        <v>138</v>
      </c>
      <c r="F121" s="12">
        <f>+F119+F120</f>
        <v>376828300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358103038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18725262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-37124996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-18399734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>
        <v>850</v>
      </c>
      <c r="H133" s="12">
        <v>75000</v>
      </c>
      <c r="I133" s="13">
        <f>H133*F$116</f>
        <v>39551.891066800425</v>
      </c>
      <c r="J133" s="12"/>
      <c r="K133" s="14">
        <f t="shared" ref="K133:K138" si="17">(H133+I133)-J133</f>
        <v>114551.89106680042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7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7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7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7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7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8">SUM(F133:F138)</f>
        <v>0</v>
      </c>
      <c r="G140" s="19">
        <f t="shared" si="18"/>
        <v>850</v>
      </c>
      <c r="H140" s="14">
        <f t="shared" si="18"/>
        <v>75000</v>
      </c>
      <c r="I140" s="14">
        <f t="shared" si="18"/>
        <v>39551.891066800425</v>
      </c>
      <c r="J140" s="14">
        <f t="shared" si="18"/>
        <v>0</v>
      </c>
      <c r="K140" s="14">
        <f t="shared" si="18"/>
        <v>114551.89106680042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9">F34</f>
        <v>14338.5</v>
      </c>
      <c r="G144" s="54">
        <f t="shared" si="19"/>
        <v>29339</v>
      </c>
      <c r="H144" s="54">
        <f t="shared" si="19"/>
        <v>1312285.71</v>
      </c>
      <c r="I144" s="54">
        <f t="shared" si="19"/>
        <v>692045.08600585151</v>
      </c>
      <c r="J144" s="54">
        <f t="shared" si="19"/>
        <v>61240.95</v>
      </c>
      <c r="K144" s="54">
        <f t="shared" si="19"/>
        <v>1943089.8460058514</v>
      </c>
    </row>
    <row r="145" spans="1:11" ht="18" customHeight="1">
      <c r="A145" s="6" t="s">
        <v>162</v>
      </c>
      <c r="B145" s="5" t="s">
        <v>163</v>
      </c>
      <c r="F145" s="54">
        <f t="shared" ref="F145:K145" si="20">F48</f>
        <v>152880</v>
      </c>
      <c r="G145" s="54">
        <f t="shared" si="20"/>
        <v>0</v>
      </c>
      <c r="H145" s="54">
        <f t="shared" si="20"/>
        <v>6723084.3618299598</v>
      </c>
      <c r="I145" s="54">
        <f t="shared" si="20"/>
        <v>3545476.0041601071</v>
      </c>
      <c r="J145" s="54">
        <f t="shared" si="20"/>
        <v>0</v>
      </c>
      <c r="K145" s="54">
        <f t="shared" si="20"/>
        <v>10268560.365990067</v>
      </c>
    </row>
    <row r="146" spans="1:11" ht="18" customHeight="1">
      <c r="A146" s="6" t="s">
        <v>164</v>
      </c>
      <c r="B146" s="5" t="s">
        <v>165</v>
      </c>
      <c r="F146" s="54">
        <f t="shared" ref="F146:K146" si="21">F63</f>
        <v>5964</v>
      </c>
      <c r="G146" s="54">
        <f t="shared" si="21"/>
        <v>12448</v>
      </c>
      <c r="H146" s="54">
        <f t="shared" si="21"/>
        <v>2516387.3319999999</v>
      </c>
      <c r="I146" s="54">
        <f t="shared" si="21"/>
        <v>1327038.3684952073</v>
      </c>
      <c r="J146" s="54">
        <f t="shared" si="21"/>
        <v>466877</v>
      </c>
      <c r="K146" s="54">
        <f t="shared" si="21"/>
        <v>3376548.7004952072</v>
      </c>
    </row>
    <row r="147" spans="1:11" ht="18" customHeight="1">
      <c r="A147" s="6" t="s">
        <v>166</v>
      </c>
      <c r="B147" s="5" t="s">
        <v>167</v>
      </c>
      <c r="F147" s="54">
        <f t="shared" ref="F147:K147" si="22">F74</f>
        <v>11404</v>
      </c>
      <c r="G147" s="54">
        <f t="shared" si="22"/>
        <v>0</v>
      </c>
      <c r="H147" s="54">
        <f t="shared" si="22"/>
        <v>516838</v>
      </c>
      <c r="I147" s="54">
        <f t="shared" si="22"/>
        <v>272558.93700243998</v>
      </c>
      <c r="J147" s="54">
        <f t="shared" si="22"/>
        <v>523841</v>
      </c>
      <c r="K147" s="54">
        <f t="shared" si="22"/>
        <v>265555.93700243998</v>
      </c>
    </row>
    <row r="148" spans="1:11" ht="18" customHeight="1">
      <c r="A148" s="6" t="s">
        <v>168</v>
      </c>
      <c r="B148" s="5" t="s">
        <v>169</v>
      </c>
      <c r="F148" s="54">
        <f t="shared" ref="F148:K148" si="23">F82</f>
        <v>1</v>
      </c>
      <c r="G148" s="54">
        <f t="shared" si="23"/>
        <v>910</v>
      </c>
      <c r="H148" s="54">
        <f t="shared" si="23"/>
        <v>625328.02</v>
      </c>
      <c r="I148" s="54">
        <f t="shared" si="23"/>
        <v>0</v>
      </c>
      <c r="J148" s="54">
        <f t="shared" si="23"/>
        <v>0</v>
      </c>
      <c r="K148" s="54">
        <f t="shared" si="23"/>
        <v>625328.02</v>
      </c>
    </row>
    <row r="149" spans="1:11" ht="18" customHeight="1">
      <c r="A149" s="6" t="s">
        <v>170</v>
      </c>
      <c r="B149" s="5" t="s">
        <v>171</v>
      </c>
      <c r="F149" s="54">
        <f t="shared" ref="F149:K149" si="24">F99</f>
        <v>0</v>
      </c>
      <c r="G149" s="54">
        <f t="shared" si="24"/>
        <v>0</v>
      </c>
      <c r="H149" s="54">
        <f t="shared" si="24"/>
        <v>74601</v>
      </c>
      <c r="I149" s="54">
        <f t="shared" si="24"/>
        <v>39341.475006325047</v>
      </c>
      <c r="J149" s="54">
        <f t="shared" si="24"/>
        <v>74601</v>
      </c>
      <c r="K149" s="54">
        <f t="shared" si="24"/>
        <v>39341.475006325054</v>
      </c>
    </row>
    <row r="150" spans="1:11" ht="18" customHeight="1">
      <c r="A150" s="6" t="s">
        <v>172</v>
      </c>
      <c r="B150" s="5" t="s">
        <v>173</v>
      </c>
      <c r="F150" s="19">
        <f t="shared" ref="F150:K150" si="25">F110</f>
        <v>0</v>
      </c>
      <c r="G150" s="19">
        <f t="shared" si="25"/>
        <v>0</v>
      </c>
      <c r="H150" s="19">
        <f t="shared" si="25"/>
        <v>0</v>
      </c>
      <c r="I150" s="19">
        <f t="shared" si="25"/>
        <v>0</v>
      </c>
      <c r="J150" s="19">
        <f t="shared" si="25"/>
        <v>0</v>
      </c>
      <c r="K150" s="19">
        <f t="shared" si="25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13158163</v>
      </c>
    </row>
    <row r="152" spans="1:11" ht="18" customHeight="1">
      <c r="A152" s="6" t="s">
        <v>147</v>
      </c>
      <c r="B152" s="5" t="s">
        <v>177</v>
      </c>
      <c r="F152" s="19">
        <f t="shared" ref="F152:K152" si="26">F140</f>
        <v>0</v>
      </c>
      <c r="G152" s="19">
        <f t="shared" si="26"/>
        <v>850</v>
      </c>
      <c r="H152" s="19">
        <f t="shared" si="26"/>
        <v>75000</v>
      </c>
      <c r="I152" s="19">
        <f t="shared" si="26"/>
        <v>39551.891066800425</v>
      </c>
      <c r="J152" s="19">
        <f t="shared" si="26"/>
        <v>0</v>
      </c>
      <c r="K152" s="19">
        <f t="shared" si="26"/>
        <v>114551.89106680042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7">SUM(F144:F152)</f>
        <v>184587.5</v>
      </c>
      <c r="G154" s="60">
        <f t="shared" si="27"/>
        <v>43547</v>
      </c>
      <c r="H154" s="60">
        <f t="shared" si="27"/>
        <v>11843524.42382996</v>
      </c>
      <c r="I154" s="60">
        <f t="shared" si="27"/>
        <v>5916011.761736732</v>
      </c>
      <c r="J154" s="60">
        <f t="shared" si="27"/>
        <v>1126559.95</v>
      </c>
      <c r="K154" s="61">
        <f t="shared" si="27"/>
        <v>29791139.235566694</v>
      </c>
    </row>
    <row r="156" spans="1:11" ht="18" customHeight="1">
      <c r="B156" s="5" t="s">
        <v>178</v>
      </c>
      <c r="F156" s="233">
        <f>K154/F123</f>
        <v>8.3191528901708708E-2</v>
      </c>
    </row>
    <row r="157" spans="1:11" ht="18" customHeight="1">
      <c r="B157" s="5" t="s">
        <v>179</v>
      </c>
      <c r="F157" s="233">
        <f>K154/F129</f>
        <v>-1.6191070607633076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75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574</v>
      </c>
      <c r="D5" s="363"/>
      <c r="E5" s="363"/>
      <c r="F5" s="363"/>
      <c r="G5" s="364"/>
    </row>
    <row r="6" spans="1:11" ht="18" customHeight="1">
      <c r="B6" s="6" t="s">
        <v>4</v>
      </c>
      <c r="C6" s="441">
        <v>7</v>
      </c>
      <c r="D6" s="436"/>
      <c r="E6" s="436"/>
      <c r="F6" s="436"/>
      <c r="G6" s="437"/>
    </row>
    <row r="7" spans="1:11" ht="18" customHeight="1">
      <c r="B7" s="6" t="s">
        <v>5</v>
      </c>
      <c r="C7" s="438">
        <v>2633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573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572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571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664</v>
      </c>
      <c r="G18" s="11">
        <v>5846</v>
      </c>
      <c r="H18" s="12">
        <v>678465</v>
      </c>
      <c r="I18" s="13">
        <v>206134</v>
      </c>
      <c r="J18" s="12">
        <v>0</v>
      </c>
      <c r="K18" s="14">
        <f t="shared" ref="K18:K32" si="0">(H18+I18)-J18</f>
        <v>884599</v>
      </c>
    </row>
    <row r="19" spans="1:11" ht="18" customHeight="1">
      <c r="A19" s="6"/>
      <c r="B19" s="2" t="s">
        <v>23</v>
      </c>
      <c r="F19" s="11">
        <v>224</v>
      </c>
      <c r="G19" s="11">
        <v>559</v>
      </c>
      <c r="H19" s="12">
        <v>8200</v>
      </c>
      <c r="I19" s="13">
        <v>0</v>
      </c>
      <c r="J19" s="12">
        <v>0</v>
      </c>
      <c r="K19" s="14">
        <f t="shared" si="0"/>
        <v>8200</v>
      </c>
    </row>
    <row r="20" spans="1:11" ht="18" customHeight="1">
      <c r="A20" s="6"/>
      <c r="B20" s="2" t="s">
        <v>24</v>
      </c>
      <c r="F20" s="11">
        <v>1589</v>
      </c>
      <c r="G20" s="11">
        <v>12418</v>
      </c>
      <c r="H20" s="12">
        <v>149563</v>
      </c>
      <c r="I20" s="13">
        <v>0</v>
      </c>
      <c r="J20" s="12">
        <v>116704</v>
      </c>
      <c r="K20" s="14">
        <f t="shared" si="0"/>
        <v>32859</v>
      </c>
    </row>
    <row r="21" spans="1:11" ht="18" customHeight="1">
      <c r="A21" s="6" t="s">
        <v>25</v>
      </c>
      <c r="B21" s="2" t="s">
        <v>26</v>
      </c>
      <c r="F21" s="11">
        <v>0</v>
      </c>
      <c r="G21" s="11">
        <v>0</v>
      </c>
      <c r="H21" s="12">
        <v>379582</v>
      </c>
      <c r="I21" s="13">
        <v>130113</v>
      </c>
      <c r="J21" s="12">
        <v>0</v>
      </c>
      <c r="K21" s="14">
        <f t="shared" si="0"/>
        <v>509695</v>
      </c>
    </row>
    <row r="22" spans="1:11" ht="18" customHeight="1">
      <c r="A22" s="6"/>
      <c r="B22" s="2" t="s">
        <v>27</v>
      </c>
      <c r="F22" s="11">
        <v>1215</v>
      </c>
      <c r="G22" s="11">
        <v>4575</v>
      </c>
      <c r="H22" s="12">
        <v>80628</v>
      </c>
      <c r="I22" s="13">
        <v>38771</v>
      </c>
      <c r="J22" s="12">
        <v>0</v>
      </c>
      <c r="K22" s="14">
        <f t="shared" si="0"/>
        <v>119399</v>
      </c>
    </row>
    <row r="23" spans="1:11" ht="18" customHeight="1">
      <c r="A23" s="6"/>
      <c r="B23" s="2" t="s">
        <v>28</v>
      </c>
      <c r="F23" s="11">
        <v>196</v>
      </c>
      <c r="G23" s="11">
        <v>3238</v>
      </c>
      <c r="H23" s="12">
        <v>41569</v>
      </c>
      <c r="I23" s="13">
        <v>0</v>
      </c>
      <c r="J23" s="12">
        <v>0</v>
      </c>
      <c r="K23" s="14">
        <f t="shared" si="0"/>
        <v>41569</v>
      </c>
    </row>
    <row r="24" spans="1:11" ht="18" customHeight="1">
      <c r="A24" s="6"/>
      <c r="B24" s="2" t="s">
        <v>29</v>
      </c>
      <c r="F24" s="11"/>
      <c r="G24" s="11"/>
      <c r="H24" s="12"/>
      <c r="I24" s="13">
        <f>H24*F$116</f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>H25*F$116</f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264</v>
      </c>
      <c r="G26" s="11">
        <v>2960</v>
      </c>
      <c r="H26" s="12">
        <v>113152</v>
      </c>
      <c r="I26" s="13">
        <v>0</v>
      </c>
      <c r="J26" s="12">
        <v>0</v>
      </c>
      <c r="K26" s="14">
        <f t="shared" si="0"/>
        <v>113152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 t="s">
        <v>570</v>
      </c>
      <c r="C28" s="379"/>
      <c r="D28" s="380"/>
      <c r="F28" s="11">
        <v>93.2</v>
      </c>
      <c r="G28" s="11">
        <v>480</v>
      </c>
      <c r="H28" s="12">
        <v>3379</v>
      </c>
      <c r="I28" s="13">
        <v>0</v>
      </c>
      <c r="J28" s="12"/>
      <c r="K28" s="14">
        <f t="shared" si="0"/>
        <v>3379</v>
      </c>
    </row>
    <row r="29" spans="1:11" ht="18" customHeight="1">
      <c r="A29" s="6" t="s">
        <v>37</v>
      </c>
      <c r="B29" s="378" t="s">
        <v>569</v>
      </c>
      <c r="C29" s="379"/>
      <c r="D29" s="380"/>
      <c r="F29" s="11"/>
      <c r="G29" s="11"/>
      <c r="H29" s="12"/>
      <c r="I29" s="13">
        <f>H29*F$116</f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 t="s">
        <v>568</v>
      </c>
      <c r="C30" s="16"/>
      <c r="D30" s="17"/>
      <c r="F30" s="11"/>
      <c r="G30" s="11"/>
      <c r="H30" s="12"/>
      <c r="I30" s="13">
        <f>H30*F$116</f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>H31*F$116</f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>H32*F$116</f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4245.2</v>
      </c>
      <c r="G34" s="19">
        <f t="shared" si="1"/>
        <v>30076</v>
      </c>
      <c r="H34" s="14">
        <f t="shared" si="1"/>
        <v>1454538</v>
      </c>
      <c r="I34" s="14">
        <f t="shared" si="1"/>
        <v>375018</v>
      </c>
      <c r="J34" s="14">
        <f t="shared" si="1"/>
        <v>116704</v>
      </c>
      <c r="K34" s="14">
        <f t="shared" si="1"/>
        <v>1712852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2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>
        <v>264</v>
      </c>
      <c r="G39" s="11">
        <v>354</v>
      </c>
      <c r="H39" s="12">
        <v>10993</v>
      </c>
      <c r="I39" s="13">
        <v>0</v>
      </c>
      <c r="J39" s="12">
        <v>0</v>
      </c>
      <c r="K39" s="14">
        <f t="shared" si="2"/>
        <v>10993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2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2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264</v>
      </c>
      <c r="G48" s="25">
        <f t="shared" si="3"/>
        <v>354</v>
      </c>
      <c r="H48" s="14">
        <f t="shared" si="3"/>
        <v>10993</v>
      </c>
      <c r="I48" s="14">
        <f t="shared" si="3"/>
        <v>0</v>
      </c>
      <c r="J48" s="14">
        <f t="shared" si="3"/>
        <v>0</v>
      </c>
      <c r="K48" s="14">
        <f t="shared" si="3"/>
        <v>10993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/>
      <c r="C52" s="385"/>
      <c r="D52" s="359"/>
      <c r="F52" s="11"/>
      <c r="G52" s="11"/>
      <c r="H52" s="12"/>
      <c r="I52" s="13">
        <v>0</v>
      </c>
      <c r="J52" s="12"/>
      <c r="K52" s="14">
        <f t="shared" ref="K52:K61" si="4">(H52+I52)-J52</f>
        <v>0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4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4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4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4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4"/>
        <v>0</v>
      </c>
    </row>
    <row r="61" spans="1:11" ht="18" customHeight="1">
      <c r="A61" s="6" t="s">
        <v>77</v>
      </c>
      <c r="B61" s="381" t="s">
        <v>567</v>
      </c>
      <c r="C61" s="358"/>
      <c r="D61" s="359"/>
      <c r="F61" s="11">
        <v>22.5</v>
      </c>
      <c r="G61" s="11">
        <v>6</v>
      </c>
      <c r="H61" s="12">
        <v>909</v>
      </c>
      <c r="I61" s="13">
        <v>0</v>
      </c>
      <c r="J61" s="12">
        <v>0</v>
      </c>
      <c r="K61" s="14">
        <f t="shared" si="4"/>
        <v>909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22.5</v>
      </c>
      <c r="G63" s="19">
        <f t="shared" si="5"/>
        <v>6</v>
      </c>
      <c r="H63" s="14">
        <f t="shared" si="5"/>
        <v>909</v>
      </c>
      <c r="I63" s="14">
        <f t="shared" si="5"/>
        <v>0</v>
      </c>
      <c r="J63" s="14">
        <f t="shared" si="5"/>
        <v>0</v>
      </c>
      <c r="K63" s="14">
        <f t="shared" si="5"/>
        <v>909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0</v>
      </c>
      <c r="G74" s="43">
        <f t="shared" si="7"/>
        <v>0</v>
      </c>
      <c r="H74" s="43">
        <f t="shared" si="7"/>
        <v>0</v>
      </c>
      <c r="I74" s="43">
        <f t="shared" si="7"/>
        <v>0</v>
      </c>
      <c r="J74" s="43">
        <f t="shared" si="7"/>
        <v>0</v>
      </c>
      <c r="K74" s="43">
        <f t="shared" si="7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0</v>
      </c>
      <c r="G79" s="11">
        <v>1328</v>
      </c>
      <c r="H79" s="12">
        <v>56035</v>
      </c>
      <c r="I79" s="13">
        <v>0</v>
      </c>
      <c r="J79" s="12">
        <v>0</v>
      </c>
      <c r="K79" s="14">
        <f>(H79+I79)-J79</f>
        <v>56035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0</v>
      </c>
      <c r="G82" s="44">
        <f t="shared" si="8"/>
        <v>1328</v>
      </c>
      <c r="H82" s="45">
        <f t="shared" si="8"/>
        <v>56035</v>
      </c>
      <c r="I82" s="45">
        <f t="shared" si="8"/>
        <v>0</v>
      </c>
      <c r="J82" s="45">
        <f t="shared" si="8"/>
        <v>0</v>
      </c>
      <c r="K82" s="45">
        <f t="shared" si="8"/>
        <v>56035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>H86*F$116</f>
        <v>0</v>
      </c>
      <c r="J86" s="12"/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>H87*F$116</f>
        <v>0</v>
      </c>
      <c r="J87" s="12"/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>H88*F$116</f>
        <v>0</v>
      </c>
      <c r="J88" s="12"/>
      <c r="K88" s="14">
        <f t="shared" si="9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>H89*F$116</f>
        <v>0</v>
      </c>
      <c r="J89" s="12"/>
      <c r="K89" s="14">
        <f t="shared" si="9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>H90*F$116</f>
        <v>0</v>
      </c>
      <c r="J90" s="12"/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31</v>
      </c>
      <c r="G91" s="11">
        <v>15</v>
      </c>
      <c r="H91" s="12">
        <v>1222</v>
      </c>
      <c r="I91" s="13">
        <v>0</v>
      </c>
      <c r="J91" s="12">
        <v>0</v>
      </c>
      <c r="K91" s="14">
        <f t="shared" si="9"/>
        <v>1222</v>
      </c>
    </row>
    <row r="92" spans="1:11" ht="18" customHeight="1">
      <c r="A92" s="6" t="s">
        <v>112</v>
      </c>
      <c r="B92" s="63" t="s">
        <v>113</v>
      </c>
      <c r="F92" s="46">
        <v>4</v>
      </c>
      <c r="G92" s="46">
        <v>24</v>
      </c>
      <c r="H92" s="47">
        <v>184</v>
      </c>
      <c r="I92" s="13">
        <v>0</v>
      </c>
      <c r="J92" s="47">
        <v>0</v>
      </c>
      <c r="K92" s="14">
        <f t="shared" si="9"/>
        <v>184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>H93*F$116</f>
        <v>0</v>
      </c>
      <c r="J93" s="12"/>
      <c r="K93" s="14">
        <f t="shared" si="9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>H94*F$116</f>
        <v>0</v>
      </c>
      <c r="J94" s="12"/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>H95*F$116</f>
        <v>0</v>
      </c>
      <c r="J95" s="12"/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>H96*F$116</f>
        <v>0</v>
      </c>
      <c r="J96" s="12"/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>H97*F$116</f>
        <v>0</v>
      </c>
      <c r="J97" s="12"/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35</v>
      </c>
      <c r="G99" s="19">
        <f t="shared" si="10"/>
        <v>39</v>
      </c>
      <c r="H99" s="19">
        <f t="shared" si="10"/>
        <v>1406</v>
      </c>
      <c r="I99" s="19">
        <f t="shared" si="10"/>
        <v>0</v>
      </c>
      <c r="J99" s="19">
        <f t="shared" si="10"/>
        <v>0</v>
      </c>
      <c r="K99" s="19">
        <f t="shared" si="10"/>
        <v>1406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1">H103*F$116</f>
        <v>0</v>
      </c>
      <c r="J103" s="12"/>
      <c r="K103" s="14">
        <f t="shared" ref="K103:K108" si="12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1"/>
        <v>0</v>
      </c>
      <c r="J104" s="12"/>
      <c r="K104" s="14">
        <f t="shared" si="12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1"/>
        <v>0</v>
      </c>
      <c r="J105" s="12"/>
      <c r="K105" s="14">
        <f t="shared" si="12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1"/>
        <v>0</v>
      </c>
      <c r="J106" s="12"/>
      <c r="K106" s="14">
        <f t="shared" si="12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1"/>
        <v>0</v>
      </c>
      <c r="J107" s="12"/>
      <c r="K107" s="14">
        <f t="shared" si="12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1"/>
        <v>0</v>
      </c>
      <c r="J108" s="12"/>
      <c r="K108" s="14">
        <f t="shared" si="12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3">SUM(F103:F108)</f>
        <v>0</v>
      </c>
      <c r="G110" s="19">
        <f t="shared" si="13"/>
        <v>0</v>
      </c>
      <c r="H110" s="14">
        <f t="shared" si="13"/>
        <v>0</v>
      </c>
      <c r="I110" s="14">
        <f t="shared" si="13"/>
        <v>0</v>
      </c>
      <c r="J110" s="14">
        <f t="shared" si="13"/>
        <v>0</v>
      </c>
      <c r="K110" s="14">
        <f t="shared" si="13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4018865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0.48089999999999999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356958919</v>
      </c>
    </row>
    <row r="120" spans="1:6" ht="18" customHeight="1">
      <c r="B120" s="2" t="s">
        <v>137</v>
      </c>
      <c r="F120" s="12">
        <v>14161609</v>
      </c>
    </row>
    <row r="121" spans="1:6" ht="18" customHeight="1">
      <c r="A121" s="6"/>
      <c r="B121" s="5" t="s">
        <v>138</v>
      </c>
      <c r="F121" s="12">
        <v>371100548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358442985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12657563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4055000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16712563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4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4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4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4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4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4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5">SUM(F133:F138)</f>
        <v>0</v>
      </c>
      <c r="G140" s="19">
        <f t="shared" si="15"/>
        <v>0</v>
      </c>
      <c r="H140" s="14">
        <f t="shared" si="15"/>
        <v>0</v>
      </c>
      <c r="I140" s="14">
        <f t="shared" si="15"/>
        <v>0</v>
      </c>
      <c r="J140" s="14">
        <f t="shared" si="15"/>
        <v>0</v>
      </c>
      <c r="K140" s="14">
        <f t="shared" si="15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6">F34</f>
        <v>4245.2</v>
      </c>
      <c r="G144" s="54">
        <f t="shared" si="16"/>
        <v>30076</v>
      </c>
      <c r="H144" s="54">
        <f t="shared" si="16"/>
        <v>1454538</v>
      </c>
      <c r="I144" s="54">
        <f t="shared" si="16"/>
        <v>375018</v>
      </c>
      <c r="J144" s="54">
        <f t="shared" si="16"/>
        <v>116704</v>
      </c>
      <c r="K144" s="54">
        <f t="shared" si="16"/>
        <v>1712852</v>
      </c>
    </row>
    <row r="145" spans="1:11" ht="18" customHeight="1">
      <c r="A145" s="6" t="s">
        <v>162</v>
      </c>
      <c r="B145" s="5" t="s">
        <v>163</v>
      </c>
      <c r="F145" s="54">
        <f t="shared" ref="F145:K145" si="17">F48</f>
        <v>264</v>
      </c>
      <c r="G145" s="54">
        <f t="shared" si="17"/>
        <v>354</v>
      </c>
      <c r="H145" s="54">
        <f t="shared" si="17"/>
        <v>10993</v>
      </c>
      <c r="I145" s="54">
        <f t="shared" si="17"/>
        <v>0</v>
      </c>
      <c r="J145" s="54">
        <f t="shared" si="17"/>
        <v>0</v>
      </c>
      <c r="K145" s="54">
        <f t="shared" si="17"/>
        <v>10993</v>
      </c>
    </row>
    <row r="146" spans="1:11" ht="18" customHeight="1">
      <c r="A146" s="6" t="s">
        <v>164</v>
      </c>
      <c r="B146" s="5" t="s">
        <v>165</v>
      </c>
      <c r="F146" s="54">
        <f t="shared" ref="F146:K146" si="18">F63</f>
        <v>22.5</v>
      </c>
      <c r="G146" s="54">
        <f t="shared" si="18"/>
        <v>6</v>
      </c>
      <c r="H146" s="54">
        <f t="shared" si="18"/>
        <v>909</v>
      </c>
      <c r="I146" s="54">
        <f t="shared" si="18"/>
        <v>0</v>
      </c>
      <c r="J146" s="54">
        <f t="shared" si="18"/>
        <v>0</v>
      </c>
      <c r="K146" s="54">
        <f t="shared" si="18"/>
        <v>909</v>
      </c>
    </row>
    <row r="147" spans="1:11" ht="18" customHeight="1">
      <c r="A147" s="6" t="s">
        <v>166</v>
      </c>
      <c r="B147" s="5" t="s">
        <v>167</v>
      </c>
      <c r="F147" s="54">
        <f t="shared" ref="F147:K147" si="19">F74</f>
        <v>0</v>
      </c>
      <c r="G147" s="54">
        <f t="shared" si="19"/>
        <v>0</v>
      </c>
      <c r="H147" s="54">
        <f t="shared" si="19"/>
        <v>0</v>
      </c>
      <c r="I147" s="54">
        <f t="shared" si="19"/>
        <v>0</v>
      </c>
      <c r="J147" s="54">
        <f t="shared" si="19"/>
        <v>0</v>
      </c>
      <c r="K147" s="54">
        <f t="shared" si="19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0">F82</f>
        <v>0</v>
      </c>
      <c r="G148" s="54">
        <f t="shared" si="20"/>
        <v>1328</v>
      </c>
      <c r="H148" s="54">
        <f t="shared" si="20"/>
        <v>56035</v>
      </c>
      <c r="I148" s="54">
        <f t="shared" si="20"/>
        <v>0</v>
      </c>
      <c r="J148" s="54">
        <f t="shared" si="20"/>
        <v>0</v>
      </c>
      <c r="K148" s="54">
        <f t="shared" si="20"/>
        <v>56035</v>
      </c>
    </row>
    <row r="149" spans="1:11" ht="18" customHeight="1">
      <c r="A149" s="6" t="s">
        <v>170</v>
      </c>
      <c r="B149" s="5" t="s">
        <v>171</v>
      </c>
      <c r="F149" s="54">
        <f t="shared" ref="F149:K149" si="21">F99</f>
        <v>35</v>
      </c>
      <c r="G149" s="54">
        <f t="shared" si="21"/>
        <v>39</v>
      </c>
      <c r="H149" s="54">
        <f t="shared" si="21"/>
        <v>1406</v>
      </c>
      <c r="I149" s="54">
        <f t="shared" si="21"/>
        <v>0</v>
      </c>
      <c r="J149" s="54">
        <f t="shared" si="21"/>
        <v>0</v>
      </c>
      <c r="K149" s="54">
        <f t="shared" si="21"/>
        <v>1406</v>
      </c>
    </row>
    <row r="150" spans="1:11" ht="18" customHeight="1">
      <c r="A150" s="6" t="s">
        <v>172</v>
      </c>
      <c r="B150" s="5" t="s">
        <v>173</v>
      </c>
      <c r="F150" s="19">
        <f t="shared" ref="F150:K150" si="22">F110</f>
        <v>0</v>
      </c>
      <c r="G150" s="19">
        <f t="shared" si="22"/>
        <v>0</v>
      </c>
      <c r="H150" s="19">
        <f t="shared" si="22"/>
        <v>0</v>
      </c>
      <c r="I150" s="19">
        <f t="shared" si="22"/>
        <v>0</v>
      </c>
      <c r="J150" s="19">
        <f t="shared" si="22"/>
        <v>0</v>
      </c>
      <c r="K150" s="19">
        <f t="shared" si="22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4018865</v>
      </c>
    </row>
    <row r="152" spans="1:11" ht="18" customHeight="1">
      <c r="A152" s="6" t="s">
        <v>147</v>
      </c>
      <c r="B152" s="5" t="s">
        <v>177</v>
      </c>
      <c r="F152" s="19">
        <f t="shared" ref="F152:K152" si="23">F140</f>
        <v>0</v>
      </c>
      <c r="G152" s="19">
        <f t="shared" si="23"/>
        <v>0</v>
      </c>
      <c r="H152" s="19">
        <f t="shared" si="23"/>
        <v>0</v>
      </c>
      <c r="I152" s="19">
        <f t="shared" si="23"/>
        <v>0</v>
      </c>
      <c r="J152" s="19">
        <f t="shared" si="23"/>
        <v>0</v>
      </c>
      <c r="K152" s="19">
        <f t="shared" si="23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4">SUM(F144:F152)</f>
        <v>4566.7</v>
      </c>
      <c r="G154" s="60">
        <f t="shared" si="24"/>
        <v>31803</v>
      </c>
      <c r="H154" s="60">
        <f t="shared" si="24"/>
        <v>1523881</v>
      </c>
      <c r="I154" s="60">
        <f t="shared" si="24"/>
        <v>375018</v>
      </c>
      <c r="J154" s="60">
        <f t="shared" si="24"/>
        <v>116704</v>
      </c>
      <c r="K154" s="61">
        <f t="shared" si="24"/>
        <v>5801060</v>
      </c>
    </row>
    <row r="156" spans="1:11" ht="18" customHeight="1">
      <c r="B156" s="5" t="s">
        <v>178</v>
      </c>
      <c r="F156" s="233">
        <f>K154/F123</f>
        <v>1.6184052255897825E-2</v>
      </c>
    </row>
    <row r="157" spans="1:11" ht="18" customHeight="1">
      <c r="B157" s="5" t="s">
        <v>179</v>
      </c>
      <c r="F157" s="233">
        <f>K154/F129</f>
        <v>0.34710774164321773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584</v>
      </c>
      <c r="D5" s="363"/>
      <c r="E5" s="363"/>
      <c r="F5" s="363"/>
      <c r="G5" s="364"/>
    </row>
    <row r="6" spans="1:11" ht="18" customHeight="1">
      <c r="B6" s="6" t="s">
        <v>4</v>
      </c>
      <c r="C6" s="435">
        <v>28</v>
      </c>
      <c r="D6" s="436"/>
      <c r="E6" s="436"/>
      <c r="F6" s="436"/>
      <c r="G6" s="437"/>
    </row>
    <row r="7" spans="1:11" ht="18" customHeight="1">
      <c r="B7" s="6" t="s">
        <v>5</v>
      </c>
      <c r="C7" s="438"/>
      <c r="D7" s="439"/>
      <c r="E7" s="439"/>
      <c r="F7" s="439"/>
      <c r="G7" s="440"/>
    </row>
    <row r="9" spans="1:11" ht="18" customHeight="1">
      <c r="B9" s="6" t="s">
        <v>6</v>
      </c>
      <c r="C9" s="387" t="s">
        <v>583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582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581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2962</v>
      </c>
      <c r="G18" s="11">
        <v>11936</v>
      </c>
      <c r="H18" s="12">
        <v>167980</v>
      </c>
      <c r="I18" s="13">
        <v>46800</v>
      </c>
      <c r="J18" s="12">
        <v>16225</v>
      </c>
      <c r="K18" s="14">
        <f t="shared" ref="K18:K32" si="0">(H18+I18)-J18</f>
        <v>198555</v>
      </c>
    </row>
    <row r="19" spans="1:11" ht="18" customHeight="1">
      <c r="A19" s="6"/>
      <c r="B19" s="2" t="s">
        <v>23</v>
      </c>
      <c r="F19" s="11">
        <v>296</v>
      </c>
      <c r="G19" s="11">
        <v>326</v>
      </c>
      <c r="H19" s="12">
        <v>6368</v>
      </c>
      <c r="I19" s="13">
        <v>800</v>
      </c>
      <c r="J19" s="12"/>
      <c r="K19" s="14">
        <f t="shared" si="0"/>
        <v>7168</v>
      </c>
    </row>
    <row r="20" spans="1:11" ht="18" customHeight="1">
      <c r="A20" s="6"/>
      <c r="B20" s="2" t="s">
        <v>24</v>
      </c>
      <c r="F20" s="11">
        <v>574</v>
      </c>
      <c r="G20" s="11">
        <v>2297</v>
      </c>
      <c r="H20" s="12">
        <v>8851</v>
      </c>
      <c r="I20" s="13">
        <v>27500</v>
      </c>
      <c r="J20" s="12">
        <v>17420</v>
      </c>
      <c r="K20" s="14">
        <f t="shared" si="0"/>
        <v>18931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>H21*F$116</f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142</v>
      </c>
      <c r="G22" s="11">
        <v>627</v>
      </c>
      <c r="H22" s="12">
        <v>4792</v>
      </c>
      <c r="I22" s="13">
        <v>1400</v>
      </c>
      <c r="J22" s="12"/>
      <c r="K22" s="14">
        <f t="shared" si="0"/>
        <v>6192</v>
      </c>
    </row>
    <row r="23" spans="1:11" ht="18" customHeight="1">
      <c r="A23" s="6"/>
      <c r="B23" s="2" t="s">
        <v>28</v>
      </c>
      <c r="F23" s="11">
        <v>52</v>
      </c>
      <c r="G23" s="11">
        <v>381</v>
      </c>
      <c r="H23" s="12">
        <v>1583</v>
      </c>
      <c r="I23" s="13">
        <v>300</v>
      </c>
      <c r="J23" s="12"/>
      <c r="K23" s="14">
        <f t="shared" si="0"/>
        <v>1883</v>
      </c>
    </row>
    <row r="24" spans="1:11" ht="18" customHeight="1">
      <c r="A24" s="6"/>
      <c r="B24" s="2" t="s">
        <v>29</v>
      </c>
      <c r="F24" s="11"/>
      <c r="G24" s="11"/>
      <c r="H24" s="12"/>
      <c r="I24" s="13">
        <f>H24*F$116</f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>
        <v>2083</v>
      </c>
      <c r="G25" s="11">
        <v>9991</v>
      </c>
      <c r="H25" s="12">
        <v>59503</v>
      </c>
      <c r="I25" s="13">
        <v>5286</v>
      </c>
      <c r="J25" s="12"/>
      <c r="K25" s="14">
        <f t="shared" si="0"/>
        <v>64789</v>
      </c>
    </row>
    <row r="26" spans="1:11" ht="18" customHeight="1">
      <c r="A26" s="6" t="s">
        <v>31</v>
      </c>
      <c r="B26" s="2" t="s">
        <v>32</v>
      </c>
      <c r="F26" s="11">
        <v>10</v>
      </c>
      <c r="G26" s="11">
        <v>100</v>
      </c>
      <c r="H26" s="12">
        <v>5286</v>
      </c>
      <c r="I26" s="13">
        <f>H26*F$116</f>
        <v>24.262740000000001</v>
      </c>
      <c r="J26" s="12"/>
      <c r="K26" s="14">
        <f t="shared" si="0"/>
        <v>5310.2627400000001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>H27*F$116</f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580</v>
      </c>
      <c r="C28" s="379"/>
      <c r="D28" s="380"/>
      <c r="F28" s="11">
        <v>193</v>
      </c>
      <c r="G28" s="11">
        <v>727</v>
      </c>
      <c r="H28" s="12">
        <v>6096</v>
      </c>
      <c r="I28" s="13">
        <v>1200</v>
      </c>
      <c r="J28" s="12"/>
      <c r="K28" s="14">
        <f t="shared" si="0"/>
        <v>7296</v>
      </c>
    </row>
    <row r="29" spans="1:11" ht="18" customHeight="1">
      <c r="A29" s="6" t="s">
        <v>37</v>
      </c>
      <c r="B29" s="378" t="s">
        <v>579</v>
      </c>
      <c r="C29" s="379"/>
      <c r="D29" s="380"/>
      <c r="F29" s="11">
        <v>30</v>
      </c>
      <c r="G29" s="11">
        <v>30</v>
      </c>
      <c r="H29" s="12">
        <v>177</v>
      </c>
      <c r="I29" s="13">
        <v>100</v>
      </c>
      <c r="J29" s="12">
        <v>600</v>
      </c>
      <c r="K29" s="14">
        <f t="shared" si="0"/>
        <v>-323</v>
      </c>
    </row>
    <row r="30" spans="1:11" ht="18" customHeight="1">
      <c r="A30" s="6" t="s">
        <v>38</v>
      </c>
      <c r="B30" s="15" t="s">
        <v>578</v>
      </c>
      <c r="C30" s="16"/>
      <c r="D30" s="17"/>
      <c r="F30" s="11"/>
      <c r="G30" s="11">
        <v>1</v>
      </c>
      <c r="H30" s="12">
        <v>1.7</v>
      </c>
      <c r="I30" s="13">
        <f>H30*F$116</f>
        <v>7.803E-3</v>
      </c>
      <c r="J30" s="12"/>
      <c r="K30" s="14">
        <f t="shared" si="0"/>
        <v>1.707803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>H31*F$116</f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>H32*F$116</f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6342</v>
      </c>
      <c r="G34" s="19">
        <f t="shared" si="1"/>
        <v>26416</v>
      </c>
      <c r="H34" s="14">
        <f t="shared" si="1"/>
        <v>260637.7</v>
      </c>
      <c r="I34" s="14">
        <f t="shared" si="1"/>
        <v>83410.270543000006</v>
      </c>
      <c r="J34" s="14">
        <f t="shared" si="1"/>
        <v>34245</v>
      </c>
      <c r="K34" s="14">
        <f t="shared" si="1"/>
        <v>309802.97054299997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130</v>
      </c>
      <c r="G38" s="11">
        <v>246</v>
      </c>
      <c r="H38" s="12">
        <v>20446</v>
      </c>
      <c r="I38" s="13">
        <v>4733</v>
      </c>
      <c r="J38" s="12">
        <v>1233</v>
      </c>
      <c r="K38" s="14">
        <f t="shared" ref="K38:K46" si="2">(H38+I38)-J38</f>
        <v>23946</v>
      </c>
    </row>
    <row r="39" spans="1:11" ht="18" customHeight="1">
      <c r="A39" s="6" t="s">
        <v>46</v>
      </c>
      <c r="B39" s="386" t="s">
        <v>47</v>
      </c>
      <c r="C39" s="356"/>
      <c r="F39" s="11">
        <v>6</v>
      </c>
      <c r="G39" s="11">
        <v>1</v>
      </c>
      <c r="H39" s="12">
        <v>129</v>
      </c>
      <c r="I39" s="13">
        <v>0</v>
      </c>
      <c r="J39" s="12"/>
      <c r="K39" s="14">
        <f t="shared" si="2"/>
        <v>129</v>
      </c>
    </row>
    <row r="40" spans="1:11" ht="18" customHeight="1">
      <c r="A40" s="6" t="s">
        <v>48</v>
      </c>
      <c r="B40" s="63" t="s">
        <v>49</v>
      </c>
      <c r="F40" s="11">
        <v>171</v>
      </c>
      <c r="G40" s="11">
        <v>263</v>
      </c>
      <c r="H40" s="12">
        <v>11378</v>
      </c>
      <c r="I40" s="13">
        <v>4483</v>
      </c>
      <c r="J40" s="12">
        <v>3063</v>
      </c>
      <c r="K40" s="14">
        <f t="shared" si="2"/>
        <v>12798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2</v>
      </c>
      <c r="G41" s="11">
        <v>1</v>
      </c>
      <c r="H41" s="12">
        <v>93</v>
      </c>
      <c r="I41" s="13">
        <v>0</v>
      </c>
      <c r="J41" s="12"/>
      <c r="K41" s="14">
        <f t="shared" si="2"/>
        <v>93</v>
      </c>
    </row>
    <row r="42" spans="1:11" ht="18" customHeight="1">
      <c r="A42" s="6" t="s">
        <v>52</v>
      </c>
      <c r="B42" s="63" t="s">
        <v>53</v>
      </c>
      <c r="F42" s="11">
        <v>300</v>
      </c>
      <c r="G42" s="11">
        <v>510</v>
      </c>
      <c r="H42" s="12">
        <v>16414</v>
      </c>
      <c r="I42" s="13">
        <v>8183</v>
      </c>
      <c r="J42" s="12">
        <v>1103</v>
      </c>
      <c r="K42" s="14">
        <f t="shared" si="2"/>
        <v>23494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2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2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609</v>
      </c>
      <c r="G48" s="25">
        <f t="shared" si="3"/>
        <v>1021</v>
      </c>
      <c r="H48" s="14">
        <f t="shared" si="3"/>
        <v>48460</v>
      </c>
      <c r="I48" s="14">
        <f t="shared" si="3"/>
        <v>17399</v>
      </c>
      <c r="J48" s="14">
        <f t="shared" si="3"/>
        <v>5399</v>
      </c>
      <c r="K48" s="14">
        <f t="shared" si="3"/>
        <v>60460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577</v>
      </c>
      <c r="C52" s="385"/>
      <c r="D52" s="359"/>
      <c r="F52" s="11">
        <v>310</v>
      </c>
      <c r="G52" s="11">
        <v>57</v>
      </c>
      <c r="H52" s="12">
        <v>2748819</v>
      </c>
      <c r="I52" s="13">
        <v>22097.94</v>
      </c>
      <c r="J52" s="12"/>
      <c r="K52" s="14">
        <f t="shared" ref="K52:K61" si="4">(H52+I52)-J52</f>
        <v>2770916.94</v>
      </c>
    </row>
    <row r="53" spans="1:11" ht="18" customHeight="1">
      <c r="A53" s="6" t="s">
        <v>63</v>
      </c>
      <c r="B53" s="27" t="s">
        <v>261</v>
      </c>
      <c r="C53" s="28"/>
      <c r="D53" s="29"/>
      <c r="F53" s="11">
        <v>484</v>
      </c>
      <c r="G53" s="11">
        <v>241</v>
      </c>
      <c r="H53" s="12">
        <v>7757</v>
      </c>
      <c r="I53" s="13">
        <v>0</v>
      </c>
      <c r="J53" s="12"/>
      <c r="K53" s="14">
        <f t="shared" si="4"/>
        <v>7757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4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4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4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794</v>
      </c>
      <c r="G63" s="19">
        <f t="shared" si="5"/>
        <v>298</v>
      </c>
      <c r="H63" s="14">
        <f t="shared" si="5"/>
        <v>2756576</v>
      </c>
      <c r="I63" s="14">
        <f t="shared" si="5"/>
        <v>22097.94</v>
      </c>
      <c r="J63" s="14">
        <f t="shared" si="5"/>
        <v>0</v>
      </c>
      <c r="K63" s="14">
        <f t="shared" si="5"/>
        <v>2778673.94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6">(H67+I67)-J67</f>
        <v>0</v>
      </c>
    </row>
    <row r="68" spans="1:11" ht="18" customHeight="1">
      <c r="A68" s="6" t="s">
        <v>82</v>
      </c>
      <c r="B68" s="63" t="s">
        <v>83</v>
      </c>
      <c r="F68" s="34">
        <v>43</v>
      </c>
      <c r="G68" s="34">
        <v>20</v>
      </c>
      <c r="H68" s="34">
        <v>1994.34</v>
      </c>
      <c r="I68" s="13">
        <v>0</v>
      </c>
      <c r="J68" s="34"/>
      <c r="K68" s="14">
        <f t="shared" si="6"/>
        <v>1994.34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43</v>
      </c>
      <c r="G74" s="43">
        <f t="shared" si="7"/>
        <v>20</v>
      </c>
      <c r="H74" s="43">
        <f t="shared" si="7"/>
        <v>1994.34</v>
      </c>
      <c r="I74" s="43">
        <f t="shared" si="7"/>
        <v>0</v>
      </c>
      <c r="J74" s="43">
        <f t="shared" si="7"/>
        <v>0</v>
      </c>
      <c r="K74" s="43">
        <f t="shared" si="7"/>
        <v>1994.34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27400</v>
      </c>
      <c r="I77" s="13">
        <v>0</v>
      </c>
      <c r="J77" s="12"/>
      <c r="K77" s="14">
        <f>(H77+I77)-J77</f>
        <v>27400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1740</v>
      </c>
      <c r="G79" s="11">
        <v>119</v>
      </c>
      <c r="H79" s="12">
        <v>88242</v>
      </c>
      <c r="I79" s="13">
        <v>0</v>
      </c>
      <c r="J79" s="12"/>
      <c r="K79" s="14">
        <f>(H79+I79)-J79</f>
        <v>88242</v>
      </c>
    </row>
    <row r="80" spans="1:11" ht="18" customHeight="1">
      <c r="A80" s="6" t="s">
        <v>93</v>
      </c>
      <c r="B80" s="63" t="s">
        <v>97</v>
      </c>
      <c r="F80" s="11">
        <v>64</v>
      </c>
      <c r="G80" s="11">
        <v>12</v>
      </c>
      <c r="H80" s="12">
        <v>1628.56</v>
      </c>
      <c r="I80" s="13">
        <v>0</v>
      </c>
      <c r="J80" s="12"/>
      <c r="K80" s="14">
        <f>(H80+I80)-J80</f>
        <v>1628.56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1804</v>
      </c>
      <c r="G82" s="44">
        <f t="shared" si="8"/>
        <v>131</v>
      </c>
      <c r="H82" s="45">
        <f t="shared" si="8"/>
        <v>117270.56</v>
      </c>
      <c r="I82" s="45">
        <f t="shared" si="8"/>
        <v>0</v>
      </c>
      <c r="J82" s="45">
        <f t="shared" si="8"/>
        <v>0</v>
      </c>
      <c r="K82" s="45">
        <f t="shared" si="8"/>
        <v>117270.56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113</v>
      </c>
      <c r="G86" s="11">
        <v>22</v>
      </c>
      <c r="H86" s="12">
        <v>5889</v>
      </c>
      <c r="I86" s="13">
        <v>975</v>
      </c>
      <c r="J86" s="12"/>
      <c r="K86" s="14">
        <f t="shared" ref="K86:K97" si="9">(H86+I86)-J86</f>
        <v>6864</v>
      </c>
    </row>
    <row r="87" spans="1:11" ht="18" customHeight="1">
      <c r="A87" s="6" t="s">
        <v>102</v>
      </c>
      <c r="B87" s="63" t="s">
        <v>103</v>
      </c>
      <c r="F87" s="11">
        <v>173</v>
      </c>
      <c r="G87" s="11">
        <v>68</v>
      </c>
      <c r="H87" s="12">
        <v>26449</v>
      </c>
      <c r="I87" s="13">
        <v>10453.43</v>
      </c>
      <c r="J87" s="12"/>
      <c r="K87" s="14">
        <f t="shared" si="9"/>
        <v>36902.43</v>
      </c>
    </row>
    <row r="88" spans="1:11" ht="18" customHeight="1">
      <c r="A88" s="6" t="s">
        <v>104</v>
      </c>
      <c r="B88" s="63" t="s">
        <v>105</v>
      </c>
      <c r="F88" s="11">
        <v>260</v>
      </c>
      <c r="G88" s="11">
        <v>139</v>
      </c>
      <c r="H88" s="12">
        <v>100014</v>
      </c>
      <c r="I88" s="13">
        <v>1492.52</v>
      </c>
      <c r="J88" s="12"/>
      <c r="K88" s="14">
        <f t="shared" si="9"/>
        <v>101506.52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>H89*F$116</f>
        <v>0</v>
      </c>
      <c r="J89" s="12"/>
      <c r="K89" s="14">
        <f t="shared" si="9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16</v>
      </c>
      <c r="G90" s="11">
        <v>6</v>
      </c>
      <c r="H90" s="12">
        <v>956</v>
      </c>
      <c r="I90" s="13">
        <v>200.82</v>
      </c>
      <c r="J90" s="12"/>
      <c r="K90" s="14">
        <f t="shared" si="9"/>
        <v>1156.82</v>
      </c>
    </row>
    <row r="91" spans="1:11" ht="18" customHeight="1">
      <c r="A91" s="6" t="s">
        <v>110</v>
      </c>
      <c r="B91" s="63" t="s">
        <v>111</v>
      </c>
      <c r="F91" s="11">
        <v>81</v>
      </c>
      <c r="G91" s="11">
        <v>20</v>
      </c>
      <c r="H91" s="12">
        <v>5838</v>
      </c>
      <c r="I91" s="13">
        <v>1218.8800000000001</v>
      </c>
      <c r="J91" s="12"/>
      <c r="K91" s="14">
        <f t="shared" si="9"/>
        <v>7056.88</v>
      </c>
    </row>
    <row r="92" spans="1:11" ht="18" customHeight="1">
      <c r="A92" s="6" t="s">
        <v>112</v>
      </c>
      <c r="B92" s="63" t="s">
        <v>113</v>
      </c>
      <c r="F92" s="46">
        <v>16</v>
      </c>
      <c r="G92" s="46">
        <v>9</v>
      </c>
      <c r="H92" s="47">
        <v>3988</v>
      </c>
      <c r="I92" s="13">
        <v>831.86</v>
      </c>
      <c r="J92" s="47"/>
      <c r="K92" s="14">
        <f t="shared" si="9"/>
        <v>4819.8599999999997</v>
      </c>
    </row>
    <row r="93" spans="1:11" ht="18" customHeight="1">
      <c r="A93" s="6" t="s">
        <v>114</v>
      </c>
      <c r="B93" s="63" t="s">
        <v>115</v>
      </c>
      <c r="F93" s="11">
        <v>478</v>
      </c>
      <c r="G93" s="11">
        <v>61</v>
      </c>
      <c r="H93" s="12">
        <v>19897</v>
      </c>
      <c r="I93" s="13">
        <v>2823.55</v>
      </c>
      <c r="J93" s="12"/>
      <c r="K93" s="14">
        <f t="shared" si="9"/>
        <v>22720.55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>H94*F$116</f>
        <v>0</v>
      </c>
      <c r="J94" s="12"/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>H95*F$116</f>
        <v>0</v>
      </c>
      <c r="J95" s="12"/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>H96*F$116</f>
        <v>0</v>
      </c>
      <c r="J96" s="12"/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>H97*F$116</f>
        <v>0</v>
      </c>
      <c r="J97" s="12"/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1137</v>
      </c>
      <c r="G99" s="19">
        <f t="shared" si="10"/>
        <v>325</v>
      </c>
      <c r="H99" s="19">
        <f t="shared" si="10"/>
        <v>163031</v>
      </c>
      <c r="I99" s="19">
        <f t="shared" si="10"/>
        <v>17996.060000000001</v>
      </c>
      <c r="J99" s="19">
        <f t="shared" si="10"/>
        <v>0</v>
      </c>
      <c r="K99" s="19">
        <f t="shared" si="10"/>
        <v>181027.06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48</v>
      </c>
      <c r="G103" s="11"/>
      <c r="H103" s="12">
        <v>989</v>
      </c>
      <c r="I103" s="13">
        <f t="shared" ref="I103:I108" si="11">H103*F$116</f>
        <v>4.5395099999999999</v>
      </c>
      <c r="J103" s="12"/>
      <c r="K103" s="14">
        <f t="shared" ref="K103:K108" si="12">(H103+I103)-J103</f>
        <v>993.53950999999995</v>
      </c>
    </row>
    <row r="104" spans="1:11" ht="18" customHeight="1">
      <c r="A104" s="6" t="s">
        <v>121</v>
      </c>
      <c r="B104" s="386" t="s">
        <v>122</v>
      </c>
      <c r="C104" s="386"/>
      <c r="F104" s="11">
        <v>4.25</v>
      </c>
      <c r="G104" s="11">
        <v>3</v>
      </c>
      <c r="H104" s="12">
        <v>507.44</v>
      </c>
      <c r="I104" s="13">
        <f t="shared" si="11"/>
        <v>2.3291496</v>
      </c>
      <c r="J104" s="12"/>
      <c r="K104" s="14">
        <f t="shared" si="12"/>
        <v>509.76914959999999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1"/>
        <v>0</v>
      </c>
      <c r="J105" s="12"/>
      <c r="K105" s="14">
        <f t="shared" si="12"/>
        <v>0</v>
      </c>
    </row>
    <row r="106" spans="1:11" ht="18" customHeight="1">
      <c r="A106" s="6" t="s">
        <v>125</v>
      </c>
      <c r="B106" s="381" t="s">
        <v>576</v>
      </c>
      <c r="C106" s="358"/>
      <c r="D106" s="359"/>
      <c r="F106" s="11">
        <v>1</v>
      </c>
      <c r="G106" s="11">
        <v>1</v>
      </c>
      <c r="H106" s="12">
        <v>21.54</v>
      </c>
      <c r="I106" s="13">
        <f t="shared" si="11"/>
        <v>9.8868600000000001E-2</v>
      </c>
      <c r="J106" s="12"/>
      <c r="K106" s="14">
        <f t="shared" si="12"/>
        <v>21.638868599999999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1"/>
        <v>0</v>
      </c>
      <c r="J107" s="12"/>
      <c r="K107" s="14">
        <f t="shared" si="12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1"/>
        <v>0</v>
      </c>
      <c r="J108" s="12"/>
      <c r="K108" s="14">
        <f t="shared" si="12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3">SUM(F103:F108)</f>
        <v>53.25</v>
      </c>
      <c r="G110" s="19">
        <f t="shared" si="13"/>
        <v>4</v>
      </c>
      <c r="H110" s="14">
        <f t="shared" si="13"/>
        <v>1517.98</v>
      </c>
      <c r="I110" s="14">
        <f t="shared" si="13"/>
        <v>6.9675282000000003</v>
      </c>
      <c r="J110" s="14">
        <f t="shared" si="13"/>
        <v>0</v>
      </c>
      <c r="K110" s="14">
        <f t="shared" si="13"/>
        <v>1524.9475281999999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3365310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4.5900000000000003E-3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114178465</v>
      </c>
    </row>
    <row r="120" spans="1:6" ht="18" customHeight="1">
      <c r="B120" s="2" t="s">
        <v>137</v>
      </c>
      <c r="F120" s="12">
        <v>3813531</v>
      </c>
    </row>
    <row r="121" spans="1:6" ht="18" customHeight="1">
      <c r="A121" s="6"/>
      <c r="B121" s="5" t="s">
        <v>138</v>
      </c>
      <c r="F121" s="12">
        <v>117991996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114970861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3021135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-1402521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1618614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>
        <v>1.5</v>
      </c>
      <c r="G133" s="11">
        <v>1</v>
      </c>
      <c r="H133" s="12">
        <v>57.63</v>
      </c>
      <c r="I133" s="13">
        <v>0</v>
      </c>
      <c r="J133" s="12"/>
      <c r="K133" s="14">
        <f t="shared" ref="K133:K138" si="14">(H133+I133)-J133</f>
        <v>57.63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4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4"/>
        <v>0</v>
      </c>
    </row>
    <row r="136" spans="1:11" ht="18" customHeight="1">
      <c r="A136" s="6" t="s">
        <v>154</v>
      </c>
      <c r="B136" s="378" t="s">
        <v>575</v>
      </c>
      <c r="C136" s="379"/>
      <c r="D136" s="380"/>
      <c r="F136" s="11">
        <v>120</v>
      </c>
      <c r="G136" s="11">
        <v>15</v>
      </c>
      <c r="H136" s="12">
        <v>120604</v>
      </c>
      <c r="I136" s="13">
        <v>0</v>
      </c>
      <c r="J136" s="12"/>
      <c r="K136" s="14">
        <f t="shared" si="14"/>
        <v>120604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4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4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5">SUM(F133:F138)</f>
        <v>121.5</v>
      </c>
      <c r="G140" s="19">
        <f t="shared" si="15"/>
        <v>16</v>
      </c>
      <c r="H140" s="14">
        <f t="shared" si="15"/>
        <v>120661.63</v>
      </c>
      <c r="I140" s="14">
        <f t="shared" si="15"/>
        <v>0</v>
      </c>
      <c r="J140" s="14">
        <f t="shared" si="15"/>
        <v>0</v>
      </c>
      <c r="K140" s="14">
        <f t="shared" si="15"/>
        <v>120661.63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6">F34</f>
        <v>6342</v>
      </c>
      <c r="G144" s="54">
        <f t="shared" si="16"/>
        <v>26416</v>
      </c>
      <c r="H144" s="54">
        <f t="shared" si="16"/>
        <v>260637.7</v>
      </c>
      <c r="I144" s="54">
        <f t="shared" si="16"/>
        <v>83410.270543000006</v>
      </c>
      <c r="J144" s="54">
        <f t="shared" si="16"/>
        <v>34245</v>
      </c>
      <c r="K144" s="54">
        <f t="shared" si="16"/>
        <v>309802.97054299997</v>
      </c>
    </row>
    <row r="145" spans="1:11" ht="18" customHeight="1">
      <c r="A145" s="6" t="s">
        <v>162</v>
      </c>
      <c r="B145" s="5" t="s">
        <v>163</v>
      </c>
      <c r="F145" s="54">
        <f t="shared" ref="F145:K145" si="17">F48</f>
        <v>609</v>
      </c>
      <c r="G145" s="54">
        <f t="shared" si="17"/>
        <v>1021</v>
      </c>
      <c r="H145" s="54">
        <f t="shared" si="17"/>
        <v>48460</v>
      </c>
      <c r="I145" s="54">
        <f t="shared" si="17"/>
        <v>17399</v>
      </c>
      <c r="J145" s="54">
        <f t="shared" si="17"/>
        <v>5399</v>
      </c>
      <c r="K145" s="54">
        <f t="shared" si="17"/>
        <v>60460</v>
      </c>
    </row>
    <row r="146" spans="1:11" ht="18" customHeight="1">
      <c r="A146" s="6" t="s">
        <v>164</v>
      </c>
      <c r="B146" s="5" t="s">
        <v>165</v>
      </c>
      <c r="F146" s="54">
        <f t="shared" ref="F146:K146" si="18">F63</f>
        <v>794</v>
      </c>
      <c r="G146" s="54">
        <f t="shared" si="18"/>
        <v>298</v>
      </c>
      <c r="H146" s="54">
        <f t="shared" si="18"/>
        <v>2756576</v>
      </c>
      <c r="I146" s="54">
        <f t="shared" si="18"/>
        <v>22097.94</v>
      </c>
      <c r="J146" s="54">
        <f t="shared" si="18"/>
        <v>0</v>
      </c>
      <c r="K146" s="54">
        <f t="shared" si="18"/>
        <v>2778673.94</v>
      </c>
    </row>
    <row r="147" spans="1:11" ht="18" customHeight="1">
      <c r="A147" s="6" t="s">
        <v>166</v>
      </c>
      <c r="B147" s="5" t="s">
        <v>167</v>
      </c>
      <c r="F147" s="54">
        <f t="shared" ref="F147:K147" si="19">F74</f>
        <v>43</v>
      </c>
      <c r="G147" s="54">
        <f t="shared" si="19"/>
        <v>20</v>
      </c>
      <c r="H147" s="54">
        <f t="shared" si="19"/>
        <v>1994.34</v>
      </c>
      <c r="I147" s="54">
        <f t="shared" si="19"/>
        <v>0</v>
      </c>
      <c r="J147" s="54">
        <f t="shared" si="19"/>
        <v>0</v>
      </c>
      <c r="K147" s="54">
        <f t="shared" si="19"/>
        <v>1994.34</v>
      </c>
    </row>
    <row r="148" spans="1:11" ht="18" customHeight="1">
      <c r="A148" s="6" t="s">
        <v>168</v>
      </c>
      <c r="B148" s="5" t="s">
        <v>169</v>
      </c>
      <c r="F148" s="54">
        <f t="shared" ref="F148:K148" si="20">F82</f>
        <v>1804</v>
      </c>
      <c r="G148" s="54">
        <f t="shared" si="20"/>
        <v>131</v>
      </c>
      <c r="H148" s="54">
        <f t="shared" si="20"/>
        <v>117270.56</v>
      </c>
      <c r="I148" s="54">
        <f t="shared" si="20"/>
        <v>0</v>
      </c>
      <c r="J148" s="54">
        <f t="shared" si="20"/>
        <v>0</v>
      </c>
      <c r="K148" s="54">
        <f t="shared" si="20"/>
        <v>117270.56</v>
      </c>
    </row>
    <row r="149" spans="1:11" ht="18" customHeight="1">
      <c r="A149" s="6" t="s">
        <v>170</v>
      </c>
      <c r="B149" s="5" t="s">
        <v>171</v>
      </c>
      <c r="F149" s="54">
        <f t="shared" ref="F149:K149" si="21">F99</f>
        <v>1137</v>
      </c>
      <c r="G149" s="54">
        <f t="shared" si="21"/>
        <v>325</v>
      </c>
      <c r="H149" s="54">
        <f t="shared" si="21"/>
        <v>163031</v>
      </c>
      <c r="I149" s="54">
        <f t="shared" si="21"/>
        <v>17996.060000000001</v>
      </c>
      <c r="J149" s="54">
        <f t="shared" si="21"/>
        <v>0</v>
      </c>
      <c r="K149" s="54">
        <f t="shared" si="21"/>
        <v>181027.06</v>
      </c>
    </row>
    <row r="150" spans="1:11" ht="18" customHeight="1">
      <c r="A150" s="6" t="s">
        <v>172</v>
      </c>
      <c r="B150" s="5" t="s">
        <v>173</v>
      </c>
      <c r="F150" s="19">
        <f t="shared" ref="F150:K150" si="22">F110</f>
        <v>53.25</v>
      </c>
      <c r="G150" s="19">
        <f t="shared" si="22"/>
        <v>4</v>
      </c>
      <c r="H150" s="19">
        <f t="shared" si="22"/>
        <v>1517.98</v>
      </c>
      <c r="I150" s="19">
        <f t="shared" si="22"/>
        <v>6.9675282000000003</v>
      </c>
      <c r="J150" s="19">
        <f t="shared" si="22"/>
        <v>0</v>
      </c>
      <c r="K150" s="19">
        <f t="shared" si="22"/>
        <v>1524.9475281999999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3365310</v>
      </c>
    </row>
    <row r="152" spans="1:11" ht="18" customHeight="1">
      <c r="A152" s="6" t="s">
        <v>147</v>
      </c>
      <c r="B152" s="5" t="s">
        <v>177</v>
      </c>
      <c r="F152" s="19">
        <f t="shared" ref="F152:K152" si="23">F140</f>
        <v>121.5</v>
      </c>
      <c r="G152" s="19">
        <f t="shared" si="23"/>
        <v>16</v>
      </c>
      <c r="H152" s="19">
        <f t="shared" si="23"/>
        <v>120661.63</v>
      </c>
      <c r="I152" s="19">
        <f t="shared" si="23"/>
        <v>0</v>
      </c>
      <c r="J152" s="19">
        <f t="shared" si="23"/>
        <v>0</v>
      </c>
      <c r="K152" s="19">
        <f t="shared" si="23"/>
        <v>120661.63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4">SUM(F144:F152)</f>
        <v>10903.75</v>
      </c>
      <c r="G154" s="60">
        <f t="shared" si="24"/>
        <v>28231</v>
      </c>
      <c r="H154" s="60">
        <f t="shared" si="24"/>
        <v>3470149.21</v>
      </c>
      <c r="I154" s="60">
        <f t="shared" si="24"/>
        <v>140910.23807120003</v>
      </c>
      <c r="J154" s="60">
        <f t="shared" si="24"/>
        <v>39644</v>
      </c>
      <c r="K154" s="61">
        <f t="shared" si="24"/>
        <v>6936725.4480711995</v>
      </c>
    </row>
    <row r="156" spans="1:11" ht="18" customHeight="1">
      <c r="B156" s="5" t="s">
        <v>178</v>
      </c>
      <c r="F156" s="233">
        <f>K154/F123</f>
        <v>6.0334639470702056E-2</v>
      </c>
    </row>
    <row r="157" spans="1:11" ht="18" customHeight="1">
      <c r="B157" s="5" t="s">
        <v>179</v>
      </c>
      <c r="F157" s="233">
        <f>K154/F129</f>
        <v>4.2855958542748303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597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596</v>
      </c>
      <c r="D6" s="366"/>
      <c r="E6" s="366"/>
      <c r="F6" s="366"/>
      <c r="G6" s="367"/>
    </row>
    <row r="7" spans="1:11" ht="18" customHeight="1">
      <c r="B7" s="6" t="s">
        <v>5</v>
      </c>
      <c r="C7" s="442">
        <v>1600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595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594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593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9545</v>
      </c>
      <c r="G18" s="11">
        <v>91455</v>
      </c>
      <c r="H18" s="12">
        <v>507256</v>
      </c>
      <c r="I18" s="13">
        <f t="shared" ref="I18:I32" si="0">H18*F$116</f>
        <v>312888.08026436676</v>
      </c>
      <c r="J18" s="12">
        <v>58370</v>
      </c>
      <c r="K18" s="14">
        <f t="shared" ref="K18:K32" si="1">(H18+I18)-J18</f>
        <v>761774.0802643667</v>
      </c>
    </row>
    <row r="19" spans="1:11" ht="18" customHeight="1">
      <c r="A19" s="6"/>
      <c r="B19" s="2" t="s">
        <v>23</v>
      </c>
      <c r="F19" s="11">
        <v>230</v>
      </c>
      <c r="G19" s="11">
        <v>3061</v>
      </c>
      <c r="H19" s="12">
        <v>11002</v>
      </c>
      <c r="I19" s="13">
        <f t="shared" si="0"/>
        <v>6786.3064390930076</v>
      </c>
      <c r="J19" s="12"/>
      <c r="K19" s="14">
        <f t="shared" si="1"/>
        <v>17788.306439093009</v>
      </c>
    </row>
    <row r="20" spans="1:11" ht="18" customHeight="1">
      <c r="A20" s="6"/>
      <c r="B20" s="2" t="s">
        <v>24</v>
      </c>
      <c r="F20" s="11">
        <v>191</v>
      </c>
      <c r="G20" s="11">
        <v>3061</v>
      </c>
      <c r="H20" s="12">
        <v>10398</v>
      </c>
      <c r="I20" s="13">
        <f t="shared" si="0"/>
        <v>6413.7442604698326</v>
      </c>
      <c r="J20" s="12"/>
      <c r="K20" s="14">
        <f t="shared" si="1"/>
        <v>16811.744260469834</v>
      </c>
    </row>
    <row r="21" spans="1:11" ht="18" customHeight="1">
      <c r="A21" s="6" t="s">
        <v>25</v>
      </c>
      <c r="B21" s="2" t="s">
        <v>26</v>
      </c>
      <c r="F21" s="11">
        <v>4736</v>
      </c>
      <c r="G21" s="11">
        <v>58783</v>
      </c>
      <c r="H21" s="12">
        <v>431662</v>
      </c>
      <c r="I21" s="13">
        <f t="shared" si="0"/>
        <v>266259.82640535955</v>
      </c>
      <c r="J21" s="12">
        <v>58370</v>
      </c>
      <c r="K21" s="14">
        <f t="shared" si="1"/>
        <v>639551.82640535955</v>
      </c>
    </row>
    <row r="22" spans="1:11" ht="18" customHeight="1">
      <c r="A22" s="6"/>
      <c r="B22" s="2" t="s">
        <v>27</v>
      </c>
      <c r="F22" s="11">
        <v>103</v>
      </c>
      <c r="G22" s="11">
        <v>42965</v>
      </c>
      <c r="H22" s="12">
        <v>94687</v>
      </c>
      <c r="I22" s="13">
        <f t="shared" si="0"/>
        <v>58405.289747173207</v>
      </c>
      <c r="J22" s="12"/>
      <c r="K22" s="14">
        <f t="shared" si="1"/>
        <v>153092.2897471732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>
        <v>1669</v>
      </c>
      <c r="G24" s="11">
        <v>3756</v>
      </c>
      <c r="H24" s="12">
        <v>179571</v>
      </c>
      <c r="I24" s="13">
        <f t="shared" si="0"/>
        <v>110763.84598930835</v>
      </c>
      <c r="J24" s="12"/>
      <c r="K24" s="14">
        <f t="shared" si="1"/>
        <v>290334.84598930832</v>
      </c>
    </row>
    <row r="25" spans="1:11" ht="18" customHeight="1">
      <c r="A25" s="6"/>
      <c r="B25" s="2" t="s">
        <v>30</v>
      </c>
      <c r="F25" s="11"/>
      <c r="G25" s="11">
        <v>12000</v>
      </c>
      <c r="H25" s="12">
        <v>9600</v>
      </c>
      <c r="I25" s="13">
        <f t="shared" si="0"/>
        <v>5921.5180708319285</v>
      </c>
      <c r="J25" s="12"/>
      <c r="K25" s="14">
        <f t="shared" si="1"/>
        <v>15521.518070831928</v>
      </c>
    </row>
    <row r="26" spans="1:11" ht="18" customHeight="1">
      <c r="A26" s="6" t="s">
        <v>31</v>
      </c>
      <c r="B26" s="2" t="s">
        <v>32</v>
      </c>
      <c r="F26" s="11">
        <v>1777</v>
      </c>
      <c r="G26" s="11">
        <v>2842</v>
      </c>
      <c r="H26" s="12">
        <v>387514</v>
      </c>
      <c r="I26" s="13">
        <f t="shared" si="0"/>
        <v>239028.24517712125</v>
      </c>
      <c r="J26" s="12"/>
      <c r="K26" s="14">
        <f t="shared" si="1"/>
        <v>626542.24517712125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592</v>
      </c>
      <c r="C28" s="379"/>
      <c r="D28" s="380"/>
      <c r="F28" s="11">
        <v>162</v>
      </c>
      <c r="G28" s="11">
        <v>1066</v>
      </c>
      <c r="H28" s="12">
        <v>8091</v>
      </c>
      <c r="I28" s="13">
        <f t="shared" si="0"/>
        <v>4990.7294490730346</v>
      </c>
      <c r="J28" s="12"/>
      <c r="K28" s="14">
        <f t="shared" si="1"/>
        <v>13081.729449073035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18413</v>
      </c>
      <c r="G34" s="19">
        <f t="shared" si="2"/>
        <v>218989</v>
      </c>
      <c r="H34" s="14">
        <f t="shared" si="2"/>
        <v>1639781</v>
      </c>
      <c r="I34" s="14">
        <f t="shared" si="2"/>
        <v>1011457.5858027969</v>
      </c>
      <c r="J34" s="14">
        <f t="shared" si="2"/>
        <v>116740</v>
      </c>
      <c r="K34" s="14">
        <f t="shared" si="2"/>
        <v>2534498.5858027963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343</v>
      </c>
      <c r="G38" s="11">
        <v>123</v>
      </c>
      <c r="H38" s="12">
        <v>191185</v>
      </c>
      <c r="I38" s="13">
        <f t="shared" ref="I38:I44" si="3">H38*F$116</f>
        <v>117927.64920541691</v>
      </c>
      <c r="J38" s="12"/>
      <c r="K38" s="14">
        <f t="shared" ref="K38:K46" si="4">(H38+I38)-J38</f>
        <v>309112.64920541691</v>
      </c>
    </row>
    <row r="39" spans="1:11" ht="18" customHeight="1">
      <c r="A39" s="6" t="s">
        <v>46</v>
      </c>
      <c r="B39" s="386" t="s">
        <v>47</v>
      </c>
      <c r="C39" s="356"/>
      <c r="F39" s="11">
        <v>996</v>
      </c>
      <c r="G39" s="11">
        <v>43</v>
      </c>
      <c r="H39" s="12">
        <v>36495</v>
      </c>
      <c r="I39" s="13">
        <f t="shared" si="3"/>
        <v>22511.021041147003</v>
      </c>
      <c r="J39" s="12"/>
      <c r="K39" s="14">
        <f t="shared" si="4"/>
        <v>59006.021041147003</v>
      </c>
    </row>
    <row r="40" spans="1:11" ht="18" customHeight="1">
      <c r="A40" s="6" t="s">
        <v>48</v>
      </c>
      <c r="B40" s="63" t="s">
        <v>49</v>
      </c>
      <c r="F40" s="11">
        <v>29407</v>
      </c>
      <c r="G40" s="11">
        <v>949</v>
      </c>
      <c r="H40" s="12">
        <v>807815</v>
      </c>
      <c r="I40" s="13">
        <f t="shared" si="3"/>
        <v>498280.32504053065</v>
      </c>
      <c r="J40" s="12"/>
      <c r="K40" s="14">
        <f t="shared" si="4"/>
        <v>1306095.3250405306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1024</v>
      </c>
      <c r="G41" s="11">
        <v>10</v>
      </c>
      <c r="H41" s="12">
        <v>80418</v>
      </c>
      <c r="I41" s="13">
        <f t="shared" si="3"/>
        <v>49603.816689600208</v>
      </c>
      <c r="J41" s="12"/>
      <c r="K41" s="14">
        <f t="shared" si="4"/>
        <v>130021.81668960021</v>
      </c>
    </row>
    <row r="42" spans="1:11" ht="18" customHeight="1">
      <c r="A42" s="6" t="s">
        <v>52</v>
      </c>
      <c r="B42" s="63" t="s">
        <v>53</v>
      </c>
      <c r="F42" s="11">
        <v>5218</v>
      </c>
      <c r="G42" s="11">
        <v>4915</v>
      </c>
      <c r="H42" s="12">
        <v>248118</v>
      </c>
      <c r="I42" s="13">
        <f t="shared" si="3"/>
        <v>153045.33548944545</v>
      </c>
      <c r="J42" s="12"/>
      <c r="K42" s="14">
        <f t="shared" si="4"/>
        <v>401163.33548944548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f t="shared" si="3"/>
        <v>0</v>
      </c>
      <c r="J43" s="12"/>
      <c r="K43" s="14">
        <f t="shared" si="4"/>
        <v>0</v>
      </c>
    </row>
    <row r="44" spans="1:11" ht="18" customHeight="1">
      <c r="A44" s="6" t="s">
        <v>55</v>
      </c>
      <c r="B44" s="378" t="s">
        <v>591</v>
      </c>
      <c r="C44" s="379"/>
      <c r="D44" s="380"/>
      <c r="F44" s="11">
        <v>2377</v>
      </c>
      <c r="G44" s="11">
        <v>146</v>
      </c>
      <c r="H44" s="12">
        <v>125529</v>
      </c>
      <c r="I44" s="13">
        <f t="shared" si="3"/>
        <v>77429.400199318872</v>
      </c>
      <c r="J44" s="12"/>
      <c r="K44" s="14">
        <f t="shared" si="4"/>
        <v>202958.40019931889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4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4"/>
        <v>0</v>
      </c>
    </row>
    <row r="48" spans="1:11" ht="18" customHeight="1">
      <c r="E48" s="5" t="s">
        <v>41</v>
      </c>
      <c r="F48" s="25">
        <f t="shared" ref="F48:K48" si="5">SUM(F38:F46)</f>
        <v>39365</v>
      </c>
      <c r="G48" s="25">
        <f t="shared" si="5"/>
        <v>6186</v>
      </c>
      <c r="H48" s="14">
        <f t="shared" si="5"/>
        <v>1489560</v>
      </c>
      <c r="I48" s="14">
        <f t="shared" si="5"/>
        <v>918797.5476654591</v>
      </c>
      <c r="J48" s="14">
        <f t="shared" si="5"/>
        <v>0</v>
      </c>
      <c r="K48" s="14">
        <f t="shared" si="5"/>
        <v>2408357.5476654591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590</v>
      </c>
      <c r="C52" s="385"/>
      <c r="D52" s="359"/>
      <c r="F52" s="11"/>
      <c r="G52" s="11"/>
      <c r="H52" s="12">
        <v>1029038</v>
      </c>
      <c r="I52" s="13">
        <f t="shared" ref="I52:I57" si="6">H52*F$116</f>
        <v>634736.15755966108</v>
      </c>
      <c r="J52" s="12">
        <v>632481</v>
      </c>
      <c r="K52" s="14">
        <f t="shared" ref="K52:K61" si="7">(H52+I52)-J52</f>
        <v>1031293.1575596612</v>
      </c>
    </row>
    <row r="53" spans="1:11" ht="18" customHeight="1">
      <c r="A53" s="6" t="s">
        <v>63</v>
      </c>
      <c r="B53" s="27" t="s">
        <v>589</v>
      </c>
      <c r="C53" s="28"/>
      <c r="D53" s="29"/>
      <c r="F53" s="11">
        <v>6840</v>
      </c>
      <c r="G53" s="11">
        <v>5509</v>
      </c>
      <c r="H53" s="12">
        <v>575094</v>
      </c>
      <c r="I53" s="13">
        <f t="shared" si="6"/>
        <v>354732.24098198093</v>
      </c>
      <c r="J53" s="12">
        <v>234984</v>
      </c>
      <c r="K53" s="14">
        <f t="shared" si="7"/>
        <v>694842.24098198093</v>
      </c>
    </row>
    <row r="54" spans="1:11" ht="18" customHeight="1">
      <c r="A54" s="6" t="s">
        <v>65</v>
      </c>
      <c r="B54" s="381" t="s">
        <v>588</v>
      </c>
      <c r="C54" s="358"/>
      <c r="D54" s="359"/>
      <c r="F54" s="11">
        <v>1560</v>
      </c>
      <c r="G54" s="11">
        <v>7263</v>
      </c>
      <c r="H54" s="12">
        <v>152332</v>
      </c>
      <c r="I54" s="13">
        <f t="shared" si="6"/>
        <v>93962.155288121809</v>
      </c>
      <c r="J54" s="12"/>
      <c r="K54" s="14">
        <f t="shared" si="7"/>
        <v>246294.15528812181</v>
      </c>
    </row>
    <row r="55" spans="1:11" ht="18" customHeight="1">
      <c r="A55" s="6" t="s">
        <v>67</v>
      </c>
      <c r="B55" s="381" t="s">
        <v>587</v>
      </c>
      <c r="C55" s="358"/>
      <c r="D55" s="359"/>
      <c r="F55" s="11"/>
      <c r="G55" s="11"/>
      <c r="H55" s="12">
        <f>46800+80884.73</f>
        <v>127684.73</v>
      </c>
      <c r="I55" s="13">
        <f t="shared" si="6"/>
        <v>78759.107923364121</v>
      </c>
      <c r="J55" s="12"/>
      <c r="K55" s="14">
        <f t="shared" si="7"/>
        <v>206443.83792336413</v>
      </c>
    </row>
    <row r="56" spans="1:11" ht="18" customHeight="1">
      <c r="A56" s="6" t="s">
        <v>69</v>
      </c>
      <c r="B56" s="381" t="s">
        <v>586</v>
      </c>
      <c r="C56" s="358"/>
      <c r="D56" s="359"/>
      <c r="F56" s="11"/>
      <c r="G56" s="11"/>
      <c r="H56" s="12">
        <v>93589.63</v>
      </c>
      <c r="I56" s="13">
        <f t="shared" si="6"/>
        <v>57728.404717445206</v>
      </c>
      <c r="J56" s="12"/>
      <c r="K56" s="14">
        <f t="shared" si="7"/>
        <v>151318.0347174452</v>
      </c>
    </row>
    <row r="57" spans="1:11" ht="18" customHeight="1">
      <c r="A57" s="6" t="s">
        <v>71</v>
      </c>
      <c r="B57" s="381" t="s">
        <v>585</v>
      </c>
      <c r="C57" s="358"/>
      <c r="D57" s="359"/>
      <c r="F57" s="11"/>
      <c r="G57" s="11"/>
      <c r="H57" s="12">
        <v>234000</v>
      </c>
      <c r="I57" s="13">
        <f t="shared" si="6"/>
        <v>144337.00297652825</v>
      </c>
      <c r="J57" s="12"/>
      <c r="K57" s="14">
        <f t="shared" si="7"/>
        <v>378337.00297652825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7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7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7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7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8">SUM(F52:F61)</f>
        <v>8400</v>
      </c>
      <c r="G63" s="19">
        <f t="shared" si="8"/>
        <v>12772</v>
      </c>
      <c r="H63" s="14">
        <f t="shared" si="8"/>
        <v>2211738.36</v>
      </c>
      <c r="I63" s="14">
        <f t="shared" si="8"/>
        <v>1364255.0694471011</v>
      </c>
      <c r="J63" s="14">
        <f t="shared" si="8"/>
        <v>867465</v>
      </c>
      <c r="K63" s="14">
        <f t="shared" si="8"/>
        <v>2708528.4294471019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9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9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9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9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9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9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10">SUM(F67:F72)</f>
        <v>0</v>
      </c>
      <c r="G74" s="43">
        <f t="shared" si="10"/>
        <v>0</v>
      </c>
      <c r="H74" s="43">
        <f t="shared" si="10"/>
        <v>0</v>
      </c>
      <c r="I74" s="43">
        <f t="shared" si="10"/>
        <v>0</v>
      </c>
      <c r="J74" s="43">
        <f t="shared" si="10"/>
        <v>0</v>
      </c>
      <c r="K74" s="43">
        <f t="shared" si="10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211616</v>
      </c>
      <c r="I77" s="13">
        <v>0</v>
      </c>
      <c r="J77" s="12"/>
      <c r="K77" s="14">
        <f>(H77+I77)-J77</f>
        <v>211616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288</v>
      </c>
      <c r="G79" s="11">
        <v>9625</v>
      </c>
      <c r="H79" s="12">
        <v>194467</v>
      </c>
      <c r="I79" s="13">
        <f>H79*F$116</f>
        <v>119952.06819588256</v>
      </c>
      <c r="J79" s="12"/>
      <c r="K79" s="14">
        <f>(H79+I79)-J79</f>
        <v>314419.06819588254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11">SUM(F77:F80)</f>
        <v>288</v>
      </c>
      <c r="G82" s="44">
        <f t="shared" si="11"/>
        <v>9625</v>
      </c>
      <c r="H82" s="45">
        <f t="shared" si="11"/>
        <v>406083</v>
      </c>
      <c r="I82" s="45">
        <f t="shared" si="11"/>
        <v>119952.06819588256</v>
      </c>
      <c r="J82" s="45">
        <f t="shared" si="11"/>
        <v>0</v>
      </c>
      <c r="K82" s="45">
        <f t="shared" si="11"/>
        <v>526035.06819588249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2">H86*F$116</f>
        <v>0</v>
      </c>
      <c r="J86" s="12"/>
      <c r="K86" s="14">
        <f t="shared" ref="K86:K97" si="13">(H86+I86)-J86</f>
        <v>0</v>
      </c>
    </row>
    <row r="87" spans="1:11" ht="18" customHeight="1">
      <c r="A87" s="6" t="s">
        <v>102</v>
      </c>
      <c r="B87" s="63" t="s">
        <v>103</v>
      </c>
      <c r="F87" s="11">
        <v>23</v>
      </c>
      <c r="G87" s="11">
        <v>24</v>
      </c>
      <c r="H87" s="12">
        <v>1767</v>
      </c>
      <c r="I87" s="13">
        <f t="shared" si="12"/>
        <v>1089.9294199125018</v>
      </c>
      <c r="J87" s="12"/>
      <c r="K87" s="14">
        <f t="shared" si="13"/>
        <v>2856.9294199125015</v>
      </c>
    </row>
    <row r="88" spans="1:11" ht="18" customHeight="1">
      <c r="A88" s="6" t="s">
        <v>104</v>
      </c>
      <c r="B88" s="63" t="s">
        <v>105</v>
      </c>
      <c r="F88" s="11">
        <v>733</v>
      </c>
      <c r="G88" s="11">
        <v>118</v>
      </c>
      <c r="H88" s="12">
        <v>615040</v>
      </c>
      <c r="I88" s="13">
        <f t="shared" si="12"/>
        <v>379371.92440463224</v>
      </c>
      <c r="J88" s="12"/>
      <c r="K88" s="14">
        <f t="shared" si="13"/>
        <v>994411.9244046323</v>
      </c>
    </row>
    <row r="89" spans="1:11" ht="18" customHeight="1">
      <c r="A89" s="6" t="s">
        <v>106</v>
      </c>
      <c r="B89" s="63" t="s">
        <v>107</v>
      </c>
      <c r="F89" s="11"/>
      <c r="G89" s="11"/>
      <c r="H89" s="12">
        <v>30000</v>
      </c>
      <c r="I89" s="13">
        <f t="shared" si="12"/>
        <v>18504.743971349777</v>
      </c>
      <c r="J89" s="12"/>
      <c r="K89" s="14">
        <f t="shared" si="13"/>
        <v>48504.743971349773</v>
      </c>
    </row>
    <row r="90" spans="1:11" ht="18" customHeight="1">
      <c r="A90" s="6" t="s">
        <v>108</v>
      </c>
      <c r="B90" s="386" t="s">
        <v>109</v>
      </c>
      <c r="C90" s="356"/>
      <c r="F90" s="11">
        <v>2104</v>
      </c>
      <c r="G90" s="11">
        <v>3470</v>
      </c>
      <c r="H90" s="12">
        <v>274259</v>
      </c>
      <c r="I90" s="13">
        <f t="shared" si="12"/>
        <v>169169.75256128062</v>
      </c>
      <c r="J90" s="12"/>
      <c r="K90" s="14">
        <f t="shared" si="13"/>
        <v>443428.75256128062</v>
      </c>
    </row>
    <row r="91" spans="1:11" ht="18" customHeight="1">
      <c r="A91" s="6" t="s">
        <v>110</v>
      </c>
      <c r="B91" s="63" t="s">
        <v>111</v>
      </c>
      <c r="F91" s="11">
        <v>1503</v>
      </c>
      <c r="G91" s="11">
        <v>201</v>
      </c>
      <c r="H91" s="12">
        <v>142626</v>
      </c>
      <c r="I91" s="13">
        <f t="shared" si="12"/>
        <v>87975.253788591101</v>
      </c>
      <c r="J91" s="12"/>
      <c r="K91" s="14">
        <f t="shared" si="13"/>
        <v>230601.2537885911</v>
      </c>
    </row>
    <row r="92" spans="1:11" ht="18" customHeight="1">
      <c r="A92" s="6" t="s">
        <v>112</v>
      </c>
      <c r="B92" s="63" t="s">
        <v>113</v>
      </c>
      <c r="F92" s="46">
        <v>496</v>
      </c>
      <c r="G92" s="46">
        <v>1181</v>
      </c>
      <c r="H92" s="47">
        <v>105167</v>
      </c>
      <c r="I92" s="13">
        <f t="shared" si="12"/>
        <v>64869.613641164731</v>
      </c>
      <c r="J92" s="47"/>
      <c r="K92" s="14">
        <f t="shared" si="13"/>
        <v>170036.61364116473</v>
      </c>
    </row>
    <row r="93" spans="1:11" ht="18" customHeight="1">
      <c r="A93" s="6" t="s">
        <v>114</v>
      </c>
      <c r="B93" s="63" t="s">
        <v>115</v>
      </c>
      <c r="F93" s="11">
        <v>4877</v>
      </c>
      <c r="G93" s="11">
        <v>1723</v>
      </c>
      <c r="H93" s="12">
        <v>309900</v>
      </c>
      <c r="I93" s="13">
        <f t="shared" si="12"/>
        <v>191154.00522404318</v>
      </c>
      <c r="J93" s="12">
        <v>31950</v>
      </c>
      <c r="K93" s="14">
        <f t="shared" si="13"/>
        <v>469104.00522404315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2"/>
        <v>0</v>
      </c>
      <c r="J94" s="12"/>
      <c r="K94" s="14">
        <f t="shared" si="13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2"/>
        <v>0</v>
      </c>
      <c r="J95" s="12"/>
      <c r="K95" s="14">
        <f t="shared" si="13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2"/>
        <v>0</v>
      </c>
      <c r="J96" s="12"/>
      <c r="K96" s="14">
        <f t="shared" si="13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2"/>
        <v>0</v>
      </c>
      <c r="J97" s="12"/>
      <c r="K97" s="14">
        <f t="shared" si="13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4">SUM(F86:F97)</f>
        <v>9736</v>
      </c>
      <c r="G99" s="19">
        <f t="shared" si="14"/>
        <v>6717</v>
      </c>
      <c r="H99" s="19">
        <f t="shared" si="14"/>
        <v>1478759</v>
      </c>
      <c r="I99" s="19">
        <f t="shared" si="14"/>
        <v>912135.22301097412</v>
      </c>
      <c r="J99" s="19">
        <f t="shared" si="14"/>
        <v>31950</v>
      </c>
      <c r="K99" s="19">
        <f t="shared" si="14"/>
        <v>2358944.2230109745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1426</v>
      </c>
      <c r="G103" s="11">
        <v>16930</v>
      </c>
      <c r="H103" s="12">
        <v>65000</v>
      </c>
      <c r="I103" s="13">
        <f t="shared" ref="I103:I108" si="15">H103*F$116</f>
        <v>40093.611937924514</v>
      </c>
      <c r="J103" s="12">
        <v>14318</v>
      </c>
      <c r="K103" s="14">
        <f t="shared" ref="K103:K108" si="16">(H103+I103)-J103</f>
        <v>90775.611937924521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>
        <v>25000</v>
      </c>
      <c r="I104" s="13">
        <f t="shared" si="15"/>
        <v>15420.619976124814</v>
      </c>
      <c r="J104" s="12"/>
      <c r="K104" s="14">
        <f t="shared" si="16"/>
        <v>40420.619976124814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5"/>
        <v>0</v>
      </c>
      <c r="J105" s="12"/>
      <c r="K105" s="14">
        <f t="shared" si="16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5"/>
        <v>0</v>
      </c>
      <c r="J106" s="12"/>
      <c r="K106" s="14">
        <f t="shared" si="16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5"/>
        <v>0</v>
      </c>
      <c r="J107" s="12"/>
      <c r="K107" s="14">
        <f t="shared" si="16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5"/>
        <v>0</v>
      </c>
      <c r="J108" s="12"/>
      <c r="K108" s="14">
        <f t="shared" si="16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7">SUM(F103:F108)</f>
        <v>1426</v>
      </c>
      <c r="G110" s="19">
        <f t="shared" si="17"/>
        <v>16930</v>
      </c>
      <c r="H110" s="14">
        <f t="shared" si="17"/>
        <v>90000</v>
      </c>
      <c r="I110" s="14">
        <f t="shared" si="17"/>
        <v>55514.231914049327</v>
      </c>
      <c r="J110" s="14">
        <f t="shared" si="17"/>
        <v>14318</v>
      </c>
      <c r="K110" s="14">
        <f t="shared" si="17"/>
        <v>131196.23191404933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4337800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0.61682479904499254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224285000</v>
      </c>
    </row>
    <row r="120" spans="1:6" ht="18" customHeight="1">
      <c r="B120" s="2" t="s">
        <v>137</v>
      </c>
      <c r="F120" s="12">
        <v>13683000</v>
      </c>
    </row>
    <row r="121" spans="1:6" ht="18" customHeight="1">
      <c r="A121" s="6"/>
      <c r="B121" s="5" t="s">
        <v>138</v>
      </c>
      <c r="F121" s="12">
        <f>F119+F120</f>
        <v>237968000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230094500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7873500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-5539000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2334500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>
        <v>242656</v>
      </c>
      <c r="I133" s="13">
        <f>H133*F$116</f>
        <v>149676.23843706172</v>
      </c>
      <c r="J133" s="12"/>
      <c r="K133" s="14">
        <f t="shared" ref="K133:K138" si="18">(H133+I133)-J133</f>
        <v>392332.23843706172</v>
      </c>
    </row>
    <row r="134" spans="1:11" ht="18" customHeight="1">
      <c r="A134" s="6" t="s">
        <v>151</v>
      </c>
      <c r="B134" s="2" t="s">
        <v>152</v>
      </c>
      <c r="F134" s="11">
        <v>244</v>
      </c>
      <c r="G134" s="11">
        <v>1889</v>
      </c>
      <c r="H134" s="12">
        <v>238525</v>
      </c>
      <c r="I134" s="13">
        <f>H134*F$116</f>
        <v>147128.13519220686</v>
      </c>
      <c r="J134" s="12"/>
      <c r="K134" s="14">
        <f t="shared" si="18"/>
        <v>385653.13519220683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8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8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8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8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9">SUM(F133:F138)</f>
        <v>244</v>
      </c>
      <c r="G140" s="19">
        <f t="shared" si="19"/>
        <v>1889</v>
      </c>
      <c r="H140" s="14">
        <f t="shared" si="19"/>
        <v>481181</v>
      </c>
      <c r="I140" s="14">
        <f t="shared" si="19"/>
        <v>296804.37362926861</v>
      </c>
      <c r="J140" s="14">
        <f t="shared" si="19"/>
        <v>0</v>
      </c>
      <c r="K140" s="14">
        <f t="shared" si="19"/>
        <v>777985.37362926849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20">F34</f>
        <v>18413</v>
      </c>
      <c r="G144" s="54">
        <f t="shared" si="20"/>
        <v>218989</v>
      </c>
      <c r="H144" s="54">
        <f t="shared" si="20"/>
        <v>1639781</v>
      </c>
      <c r="I144" s="54">
        <f t="shared" si="20"/>
        <v>1011457.5858027969</v>
      </c>
      <c r="J144" s="54">
        <f t="shared" si="20"/>
        <v>116740</v>
      </c>
      <c r="K144" s="54">
        <f t="shared" si="20"/>
        <v>2534498.5858027963</v>
      </c>
    </row>
    <row r="145" spans="1:11" ht="18" customHeight="1">
      <c r="A145" s="6" t="s">
        <v>162</v>
      </c>
      <c r="B145" s="5" t="s">
        <v>163</v>
      </c>
      <c r="F145" s="54">
        <f t="shared" ref="F145:K145" si="21">F48</f>
        <v>39365</v>
      </c>
      <c r="G145" s="54">
        <f t="shared" si="21"/>
        <v>6186</v>
      </c>
      <c r="H145" s="54">
        <f t="shared" si="21"/>
        <v>1489560</v>
      </c>
      <c r="I145" s="54">
        <f t="shared" si="21"/>
        <v>918797.5476654591</v>
      </c>
      <c r="J145" s="54">
        <f t="shared" si="21"/>
        <v>0</v>
      </c>
      <c r="K145" s="54">
        <f t="shared" si="21"/>
        <v>2408357.5476654591</v>
      </c>
    </row>
    <row r="146" spans="1:11" ht="18" customHeight="1">
      <c r="A146" s="6" t="s">
        <v>164</v>
      </c>
      <c r="B146" s="5" t="s">
        <v>165</v>
      </c>
      <c r="F146" s="54">
        <f t="shared" ref="F146:K146" si="22">F63</f>
        <v>8400</v>
      </c>
      <c r="G146" s="54">
        <f t="shared" si="22"/>
        <v>12772</v>
      </c>
      <c r="H146" s="54">
        <f t="shared" si="22"/>
        <v>2211738.36</v>
      </c>
      <c r="I146" s="54">
        <f t="shared" si="22"/>
        <v>1364255.0694471011</v>
      </c>
      <c r="J146" s="54">
        <f t="shared" si="22"/>
        <v>867465</v>
      </c>
      <c r="K146" s="54">
        <f t="shared" si="22"/>
        <v>2708528.4294471019</v>
      </c>
    </row>
    <row r="147" spans="1:11" ht="18" customHeight="1">
      <c r="A147" s="6" t="s">
        <v>166</v>
      </c>
      <c r="B147" s="5" t="s">
        <v>167</v>
      </c>
      <c r="F147" s="54">
        <f t="shared" ref="F147:K147" si="23">F74</f>
        <v>0</v>
      </c>
      <c r="G147" s="54">
        <f t="shared" si="23"/>
        <v>0</v>
      </c>
      <c r="H147" s="54">
        <f t="shared" si="23"/>
        <v>0</v>
      </c>
      <c r="I147" s="54">
        <f t="shared" si="23"/>
        <v>0</v>
      </c>
      <c r="J147" s="54">
        <f t="shared" si="23"/>
        <v>0</v>
      </c>
      <c r="K147" s="54">
        <f t="shared" si="23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4">F82</f>
        <v>288</v>
      </c>
      <c r="G148" s="54">
        <f t="shared" si="24"/>
        <v>9625</v>
      </c>
      <c r="H148" s="54">
        <f t="shared" si="24"/>
        <v>406083</v>
      </c>
      <c r="I148" s="54">
        <f t="shared" si="24"/>
        <v>119952.06819588256</v>
      </c>
      <c r="J148" s="54">
        <f t="shared" si="24"/>
        <v>0</v>
      </c>
      <c r="K148" s="54">
        <f t="shared" si="24"/>
        <v>526035.06819588249</v>
      </c>
    </row>
    <row r="149" spans="1:11" ht="18" customHeight="1">
      <c r="A149" s="6" t="s">
        <v>170</v>
      </c>
      <c r="B149" s="5" t="s">
        <v>171</v>
      </c>
      <c r="F149" s="54">
        <f t="shared" ref="F149:K149" si="25">F99</f>
        <v>9736</v>
      </c>
      <c r="G149" s="54">
        <f t="shared" si="25"/>
        <v>6717</v>
      </c>
      <c r="H149" s="54">
        <f t="shared" si="25"/>
        <v>1478759</v>
      </c>
      <c r="I149" s="54">
        <f t="shared" si="25"/>
        <v>912135.22301097412</v>
      </c>
      <c r="J149" s="54">
        <f t="shared" si="25"/>
        <v>31950</v>
      </c>
      <c r="K149" s="54">
        <f t="shared" si="25"/>
        <v>2358944.2230109745</v>
      </c>
    </row>
    <row r="150" spans="1:11" ht="18" customHeight="1">
      <c r="A150" s="6" t="s">
        <v>172</v>
      </c>
      <c r="B150" s="5" t="s">
        <v>173</v>
      </c>
      <c r="F150" s="19">
        <f t="shared" ref="F150:K150" si="26">F110</f>
        <v>1426</v>
      </c>
      <c r="G150" s="19">
        <f t="shared" si="26"/>
        <v>16930</v>
      </c>
      <c r="H150" s="19">
        <f t="shared" si="26"/>
        <v>90000</v>
      </c>
      <c r="I150" s="19">
        <f t="shared" si="26"/>
        <v>55514.231914049327</v>
      </c>
      <c r="J150" s="19">
        <f t="shared" si="26"/>
        <v>14318</v>
      </c>
      <c r="K150" s="19">
        <f t="shared" si="26"/>
        <v>131196.23191404933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4337800</v>
      </c>
    </row>
    <row r="152" spans="1:11" ht="18" customHeight="1">
      <c r="A152" s="6" t="s">
        <v>147</v>
      </c>
      <c r="B152" s="5" t="s">
        <v>177</v>
      </c>
      <c r="F152" s="19">
        <f t="shared" ref="F152:K152" si="27">F140</f>
        <v>244</v>
      </c>
      <c r="G152" s="19">
        <f t="shared" si="27"/>
        <v>1889</v>
      </c>
      <c r="H152" s="19">
        <f t="shared" si="27"/>
        <v>481181</v>
      </c>
      <c r="I152" s="19">
        <f t="shared" si="27"/>
        <v>296804.37362926861</v>
      </c>
      <c r="J152" s="19">
        <f t="shared" si="27"/>
        <v>0</v>
      </c>
      <c r="K152" s="19">
        <f t="shared" si="27"/>
        <v>777985.37362926849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8">SUM(F144:F152)</f>
        <v>77872</v>
      </c>
      <c r="G154" s="60">
        <f t="shared" si="28"/>
        <v>273108</v>
      </c>
      <c r="H154" s="60">
        <f t="shared" si="28"/>
        <v>7797102.3599999994</v>
      </c>
      <c r="I154" s="60">
        <f t="shared" si="28"/>
        <v>4678916.099665531</v>
      </c>
      <c r="J154" s="60">
        <f t="shared" si="28"/>
        <v>1030473</v>
      </c>
      <c r="K154" s="61">
        <f t="shared" si="28"/>
        <v>15783345.459665531</v>
      </c>
    </row>
    <row r="156" spans="1:11" ht="18" customHeight="1">
      <c r="B156" s="5" t="s">
        <v>178</v>
      </c>
      <c r="F156" s="233">
        <f>K154/F123</f>
        <v>6.8595057507526397E-2</v>
      </c>
    </row>
    <row r="157" spans="1:11" ht="18" customHeight="1">
      <c r="B157" s="5" t="s">
        <v>179</v>
      </c>
      <c r="F157" s="233">
        <f>K154/F129</f>
        <v>6.7609104560571991</v>
      </c>
      <c r="G157" s="5"/>
    </row>
    <row r="158" spans="1:11" ht="18" customHeight="1">
      <c r="G158" s="5"/>
    </row>
  </sheetData>
  <sheetProtection password="EF72" sheet="1" objects="1" scenarios="1"/>
  <mergeCells count="34">
    <mergeCell ref="B138:D138"/>
    <mergeCell ref="B136:D136"/>
    <mergeCell ref="B106:D106"/>
    <mergeCell ref="B55:D55"/>
    <mergeCell ref="B58:D58"/>
    <mergeCell ref="B61:D61"/>
    <mergeCell ref="B107:D107"/>
    <mergeCell ref="B108:D108"/>
    <mergeCell ref="B95:D95"/>
    <mergeCell ref="B97:D97"/>
    <mergeCell ref="B54:D54"/>
    <mergeCell ref="B90:C90"/>
    <mergeCell ref="B137:D137"/>
    <mergeCell ref="B96:D96"/>
    <mergeCell ref="B104:C104"/>
    <mergeCell ref="B57:D57"/>
    <mergeCell ref="B56:D56"/>
    <mergeCell ref="B51:C51"/>
    <mergeCell ref="B45:D45"/>
    <mergeCell ref="B46:D46"/>
    <mergeCell ref="B32:D32"/>
    <mergeCell ref="B52:D52"/>
    <mergeCell ref="D2:H2"/>
    <mergeCell ref="B44:D44"/>
    <mergeCell ref="C5:G5"/>
    <mergeCell ref="C6:G6"/>
    <mergeCell ref="C7:G7"/>
    <mergeCell ref="C9:G9"/>
    <mergeCell ref="C11:G11"/>
    <mergeCell ref="B39:C39"/>
    <mergeCell ref="B13:H13"/>
    <mergeCell ref="C10:G10"/>
    <mergeCell ref="B28:D28"/>
    <mergeCell ref="B29:D29"/>
  </mergeCells>
  <pageMargins left="0.17" right="0.16" top="0.35" bottom="0.32" header="0.17" footer="0.17"/>
  <pageSetup scale="62" fitToHeight="3" orientation="landscape" r:id="rId1"/>
  <headerFooter alignWithMargins="0">
    <oddFooter>&amp;C&amp;P of &amp;N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dimension ref="A1:K158"/>
  <sheetViews>
    <sheetView view="pageBreakPreview" zoomScale="60" zoomScaleNormal="6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617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616</v>
      </c>
      <c r="D6" s="366"/>
      <c r="E6" s="366"/>
      <c r="F6" s="366"/>
      <c r="G6" s="367"/>
    </row>
    <row r="7" spans="1:11" ht="18" customHeight="1">
      <c r="B7" s="6" t="s">
        <v>5</v>
      </c>
      <c r="C7" s="438">
        <v>5937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615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614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613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4473.2551322751324</v>
      </c>
      <c r="G18" s="11">
        <v>31540</v>
      </c>
      <c r="H18" s="12">
        <v>255702.98344232803</v>
      </c>
      <c r="I18" s="13">
        <v>120575.93065785104</v>
      </c>
      <c r="J18" s="12"/>
      <c r="K18" s="14">
        <v>376278.9141001791</v>
      </c>
    </row>
    <row r="19" spans="1:11" ht="18" customHeight="1">
      <c r="A19" s="6"/>
      <c r="B19" s="2" t="s">
        <v>23</v>
      </c>
      <c r="F19" s="11">
        <v>180</v>
      </c>
      <c r="G19" s="11">
        <v>33</v>
      </c>
      <c r="H19" s="12">
        <v>18943.2</v>
      </c>
      <c r="I19" s="13">
        <v>8932.6058651676431</v>
      </c>
      <c r="J19" s="12"/>
      <c r="K19" s="14">
        <v>27875.805865167644</v>
      </c>
    </row>
    <row r="20" spans="1:11" ht="18" customHeight="1">
      <c r="A20" s="6"/>
      <c r="B20" s="2" t="s">
        <v>24</v>
      </c>
      <c r="F20" s="11"/>
      <c r="G20" s="11"/>
      <c r="H20" s="12"/>
      <c r="I20" s="13">
        <v>0</v>
      </c>
      <c r="J20" s="12"/>
      <c r="K20" s="14"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v>0</v>
      </c>
      <c r="J21" s="12"/>
      <c r="K21" s="14">
        <v>0</v>
      </c>
    </row>
    <row r="22" spans="1:11" ht="18" customHeight="1">
      <c r="A22" s="6"/>
      <c r="B22" s="2" t="s">
        <v>27</v>
      </c>
      <c r="F22" s="11"/>
      <c r="G22" s="11"/>
      <c r="H22" s="12"/>
      <c r="I22" s="13">
        <v>0</v>
      </c>
      <c r="J22" s="12"/>
      <c r="K22" s="14"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v>0</v>
      </c>
      <c r="J23" s="12"/>
      <c r="K23" s="14"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v>0</v>
      </c>
      <c r="J24" s="12"/>
      <c r="K24" s="14"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v>0</v>
      </c>
      <c r="J25" s="12"/>
      <c r="K25" s="14">
        <v>0</v>
      </c>
    </row>
    <row r="26" spans="1:11" ht="18" customHeight="1">
      <c r="A26" s="6" t="s">
        <v>31</v>
      </c>
      <c r="B26" s="2" t="s">
        <v>32</v>
      </c>
      <c r="F26" s="11"/>
      <c r="G26" s="11"/>
      <c r="H26" s="12"/>
      <c r="I26" s="13">
        <v>0</v>
      </c>
      <c r="J26" s="12"/>
      <c r="K26" s="14">
        <v>0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v>0</v>
      </c>
      <c r="J27" s="12"/>
      <c r="K27" s="14"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v>0</v>
      </c>
      <c r="J28" s="12"/>
      <c r="K28" s="14"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v>0</v>
      </c>
      <c r="J29" s="12"/>
      <c r="K29" s="14"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v>0</v>
      </c>
      <c r="J30" s="12"/>
      <c r="K30" s="14"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v>0</v>
      </c>
      <c r="J31" s="12"/>
      <c r="K31" s="14"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v>0</v>
      </c>
      <c r="J32" s="12"/>
      <c r="K32" s="14"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0">SUM(F18:F32)</f>
        <v>4653.2551322751324</v>
      </c>
      <c r="G34" s="19">
        <f t="shared" si="0"/>
        <v>31573</v>
      </c>
      <c r="H34" s="14">
        <f t="shared" si="0"/>
        <v>274646.18344232801</v>
      </c>
      <c r="I34" s="14">
        <f t="shared" si="0"/>
        <v>129508.53652301869</v>
      </c>
      <c r="J34" s="14">
        <f t="shared" si="0"/>
        <v>0</v>
      </c>
      <c r="K34" s="14">
        <f t="shared" si="0"/>
        <v>404154.71996534674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1960459.1337138505</v>
      </c>
      <c r="G38" s="11"/>
      <c r="H38" s="12">
        <v>62155039.847127914</v>
      </c>
      <c r="I38" s="13">
        <v>29309011.861152463</v>
      </c>
      <c r="J38" s="12"/>
      <c r="K38" s="14">
        <v>91464051.708280385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v>0</v>
      </c>
    </row>
    <row r="48" spans="1:11" ht="18" customHeight="1">
      <c r="E48" s="5" t="s">
        <v>41</v>
      </c>
      <c r="F48" s="25">
        <f t="shared" ref="F48:K48" si="1">SUM(F38:F46)</f>
        <v>1960459.1337138505</v>
      </c>
      <c r="G48" s="25">
        <f t="shared" si="1"/>
        <v>0</v>
      </c>
      <c r="H48" s="14">
        <f t="shared" si="1"/>
        <v>62155039.847127914</v>
      </c>
      <c r="I48" s="14">
        <f t="shared" si="1"/>
        <v>29309011.861152463</v>
      </c>
      <c r="J48" s="14">
        <f t="shared" si="1"/>
        <v>0</v>
      </c>
      <c r="K48" s="14">
        <f t="shared" si="1"/>
        <v>91464051.708280385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612</v>
      </c>
      <c r="C52" s="385"/>
      <c r="D52" s="359"/>
      <c r="F52" s="11">
        <v>65000</v>
      </c>
      <c r="G52" s="11">
        <v>30877</v>
      </c>
      <c r="H52" s="12">
        <v>7646133</v>
      </c>
      <c r="I52" s="13">
        <v>3605509.7597898911</v>
      </c>
      <c r="J52" s="12">
        <v>4047131</v>
      </c>
      <c r="K52" s="14">
        <v>7204511.7597898915</v>
      </c>
    </row>
    <row r="53" spans="1:11" ht="18" customHeight="1">
      <c r="A53" s="6" t="s">
        <v>63</v>
      </c>
      <c r="B53" s="27" t="s">
        <v>611</v>
      </c>
      <c r="C53" s="28"/>
      <c r="D53" s="29"/>
      <c r="F53" s="11">
        <v>239870</v>
      </c>
      <c r="G53" s="11">
        <v>50683</v>
      </c>
      <c r="H53" s="12">
        <v>9203206</v>
      </c>
      <c r="I53" s="13">
        <v>4339742.5933287954</v>
      </c>
      <c r="J53" s="12">
        <v>6826328</v>
      </c>
      <c r="K53" s="14">
        <v>6716620.5933287963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2">SUM(F52:F61)</f>
        <v>304870</v>
      </c>
      <c r="G63" s="19">
        <f t="shared" si="2"/>
        <v>81560</v>
      </c>
      <c r="H63" s="14">
        <f t="shared" si="2"/>
        <v>16849339</v>
      </c>
      <c r="I63" s="14">
        <f t="shared" si="2"/>
        <v>7945252.353118686</v>
      </c>
      <c r="J63" s="14">
        <f t="shared" si="2"/>
        <v>10873459</v>
      </c>
      <c r="K63" s="14">
        <f t="shared" si="2"/>
        <v>13921132.353118688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151450</v>
      </c>
      <c r="I77" s="13">
        <v>71415.767044619672</v>
      </c>
      <c r="J77" s="12"/>
      <c r="K77" s="14">
        <v>222865.76704461966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3">SUM(F77:F80)</f>
        <v>0</v>
      </c>
      <c r="G82" s="44">
        <f t="shared" si="3"/>
        <v>0</v>
      </c>
      <c r="H82" s="45">
        <f t="shared" si="3"/>
        <v>151450</v>
      </c>
      <c r="I82" s="45">
        <f t="shared" si="3"/>
        <v>71415.767044619672</v>
      </c>
      <c r="J82" s="45">
        <f t="shared" si="3"/>
        <v>0</v>
      </c>
      <c r="K82" s="45">
        <f t="shared" si="3"/>
        <v>222865.76704461966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v>0</v>
      </c>
      <c r="J86" s="12"/>
      <c r="K86" s="14"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v>0</v>
      </c>
      <c r="J87" s="12"/>
      <c r="K87" s="14">
        <v>0</v>
      </c>
    </row>
    <row r="88" spans="1:11" ht="18" customHeight="1">
      <c r="A88" s="6" t="s">
        <v>104</v>
      </c>
      <c r="B88" s="63" t="s">
        <v>105</v>
      </c>
      <c r="F88" s="11">
        <v>442</v>
      </c>
      <c r="G88" s="11"/>
      <c r="H88" s="12">
        <v>15250</v>
      </c>
      <c r="I88" s="13">
        <v>7191.0891213631567</v>
      </c>
      <c r="J88" s="12"/>
      <c r="K88" s="14">
        <v>22441.089121363155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v>0</v>
      </c>
      <c r="J89" s="12"/>
      <c r="K89" s="14"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v>0</v>
      </c>
      <c r="J90" s="12"/>
      <c r="K90" s="14"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v>0</v>
      </c>
      <c r="J91" s="12"/>
      <c r="K91" s="14">
        <v>0</v>
      </c>
    </row>
    <row r="92" spans="1:11" ht="18" customHeight="1">
      <c r="A92" s="6" t="s">
        <v>112</v>
      </c>
      <c r="B92" s="63" t="s">
        <v>113</v>
      </c>
      <c r="F92" s="11">
        <v>18</v>
      </c>
      <c r="G92" s="46"/>
      <c r="H92" s="47">
        <v>1318</v>
      </c>
      <c r="I92" s="13">
        <v>621.49871881682884</v>
      </c>
      <c r="J92" s="47"/>
      <c r="K92" s="14">
        <v>1939.4987188168288</v>
      </c>
    </row>
    <row r="93" spans="1:11" ht="18" customHeight="1">
      <c r="A93" s="6" t="s">
        <v>114</v>
      </c>
      <c r="B93" s="63" t="s">
        <v>115</v>
      </c>
      <c r="F93" s="11">
        <v>5432</v>
      </c>
      <c r="G93" s="11">
        <v>951</v>
      </c>
      <c r="H93" s="12">
        <v>208928.64000000001</v>
      </c>
      <c r="I93" s="13">
        <v>98519.637393127821</v>
      </c>
      <c r="J93" s="12"/>
      <c r="K93" s="14">
        <v>307448.27739312785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v>0</v>
      </c>
      <c r="J94" s="12"/>
      <c r="K94" s="14"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v>0</v>
      </c>
      <c r="J95" s="12"/>
      <c r="K95" s="14"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v>0</v>
      </c>
      <c r="J96" s="12"/>
      <c r="K96" s="14"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v>0</v>
      </c>
      <c r="J97" s="12"/>
      <c r="K97" s="14"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4">SUM(F86:F97)</f>
        <v>5892</v>
      </c>
      <c r="G99" s="19">
        <f t="shared" si="4"/>
        <v>951</v>
      </c>
      <c r="H99" s="19">
        <f t="shared" si="4"/>
        <v>225496.64</v>
      </c>
      <c r="I99" s="19">
        <f t="shared" si="4"/>
        <v>106332.22523330781</v>
      </c>
      <c r="J99" s="19">
        <f t="shared" si="4"/>
        <v>0</v>
      </c>
      <c r="K99" s="19">
        <f t="shared" si="4"/>
        <v>331828.86523330782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2566</v>
      </c>
      <c r="G103" s="11"/>
      <c r="H103" s="12">
        <v>270045.84000000003</v>
      </c>
      <c r="I103" s="13">
        <v>127339.25916677871</v>
      </c>
      <c r="J103" s="12"/>
      <c r="K103" s="14">
        <v>397385.09916677867</v>
      </c>
    </row>
    <row r="104" spans="1:11" ht="18" customHeight="1">
      <c r="A104" s="6" t="s">
        <v>121</v>
      </c>
      <c r="B104" s="386" t="s">
        <v>122</v>
      </c>
      <c r="C104" s="386"/>
      <c r="F104" s="11">
        <v>1056</v>
      </c>
      <c r="G104" s="11"/>
      <c r="H104" s="12">
        <v>52702.080000000002</v>
      </c>
      <c r="I104" s="13">
        <v>24851.49863352202</v>
      </c>
      <c r="J104" s="12"/>
      <c r="K104" s="14">
        <v>77553.578633522018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v>0</v>
      </c>
      <c r="J105" s="12"/>
      <c r="K105" s="14"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>
        <v>20750</v>
      </c>
      <c r="I106" s="13">
        <v>9784.5966733301975</v>
      </c>
      <c r="J106" s="12"/>
      <c r="K106" s="14">
        <v>30534.596673330198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v>0</v>
      </c>
      <c r="J107" s="12"/>
      <c r="K107" s="14"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v>0</v>
      </c>
      <c r="J108" s="12"/>
      <c r="K108" s="14"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5">SUM(F103:F108)</f>
        <v>3622</v>
      </c>
      <c r="G110" s="19">
        <f t="shared" si="5"/>
        <v>0</v>
      </c>
      <c r="H110" s="14">
        <f t="shared" si="5"/>
        <v>343497.92000000004</v>
      </c>
      <c r="I110" s="14">
        <f t="shared" si="5"/>
        <v>161975.35447363093</v>
      </c>
      <c r="J110" s="14">
        <f t="shared" si="5"/>
        <v>0</v>
      </c>
      <c r="K110" s="14">
        <f t="shared" si="5"/>
        <v>505473.27447363088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43218000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0.47154682763037092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1095538000</v>
      </c>
    </row>
    <row r="120" spans="1:6" ht="18" customHeight="1">
      <c r="B120" s="2" t="s">
        <v>137</v>
      </c>
      <c r="F120" s="12">
        <v>48404000</v>
      </c>
    </row>
    <row r="121" spans="1:6" ht="18" customHeight="1">
      <c r="A121" s="6"/>
      <c r="B121" s="5" t="s">
        <v>138</v>
      </c>
      <c r="F121" s="12">
        <v>1143942000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1119376000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24566000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-60523000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-35957000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>
        <v>1425</v>
      </c>
      <c r="G133" s="11"/>
      <c r="H133" s="12">
        <v>2600000</v>
      </c>
      <c r="I133" s="13">
        <v>0</v>
      </c>
      <c r="J133" s="12"/>
      <c r="K133" s="14">
        <v>2600000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6">SUM(F133:F138)</f>
        <v>1425</v>
      </c>
      <c r="G140" s="19">
        <f t="shared" si="6"/>
        <v>0</v>
      </c>
      <c r="H140" s="14">
        <f t="shared" si="6"/>
        <v>2600000</v>
      </c>
      <c r="I140" s="14">
        <f t="shared" si="6"/>
        <v>0</v>
      </c>
      <c r="J140" s="14">
        <f t="shared" si="6"/>
        <v>0</v>
      </c>
      <c r="K140" s="14">
        <f t="shared" si="6"/>
        <v>2600000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7">F34</f>
        <v>4653.2551322751324</v>
      </c>
      <c r="G144" s="54">
        <f t="shared" si="7"/>
        <v>31573</v>
      </c>
      <c r="H144" s="54">
        <f t="shared" si="7"/>
        <v>274646.18344232801</v>
      </c>
      <c r="I144" s="54">
        <f t="shared" si="7"/>
        <v>129508.53652301869</v>
      </c>
      <c r="J144" s="54">
        <f t="shared" si="7"/>
        <v>0</v>
      </c>
      <c r="K144" s="54">
        <f t="shared" si="7"/>
        <v>404154.71996534674</v>
      </c>
    </row>
    <row r="145" spans="1:11" ht="18" customHeight="1">
      <c r="A145" s="6" t="s">
        <v>162</v>
      </c>
      <c r="B145" s="5" t="s">
        <v>163</v>
      </c>
      <c r="F145" s="54">
        <f t="shared" ref="F145:K145" si="8">F48</f>
        <v>1960459.1337138505</v>
      </c>
      <c r="G145" s="54">
        <f t="shared" si="8"/>
        <v>0</v>
      </c>
      <c r="H145" s="54">
        <f t="shared" si="8"/>
        <v>62155039.847127914</v>
      </c>
      <c r="I145" s="54">
        <f t="shared" si="8"/>
        <v>29309011.861152463</v>
      </c>
      <c r="J145" s="54">
        <f t="shared" si="8"/>
        <v>0</v>
      </c>
      <c r="K145" s="54">
        <f t="shared" si="8"/>
        <v>91464051.708280385</v>
      </c>
    </row>
    <row r="146" spans="1:11" ht="18" customHeight="1">
      <c r="A146" s="6" t="s">
        <v>164</v>
      </c>
      <c r="B146" s="5" t="s">
        <v>165</v>
      </c>
      <c r="F146" s="54">
        <f t="shared" ref="F146:K146" si="9">F63</f>
        <v>304870</v>
      </c>
      <c r="G146" s="54">
        <f t="shared" si="9"/>
        <v>81560</v>
      </c>
      <c r="H146" s="54">
        <f t="shared" si="9"/>
        <v>16849339</v>
      </c>
      <c r="I146" s="54">
        <f t="shared" si="9"/>
        <v>7945252.353118686</v>
      </c>
      <c r="J146" s="54">
        <f t="shared" si="9"/>
        <v>10873459</v>
      </c>
      <c r="K146" s="54">
        <f t="shared" si="9"/>
        <v>13921132.353118688</v>
      </c>
    </row>
    <row r="147" spans="1:11" ht="18" customHeight="1">
      <c r="A147" s="6" t="s">
        <v>166</v>
      </c>
      <c r="B147" s="5" t="s">
        <v>167</v>
      </c>
      <c r="F147" s="54">
        <f t="shared" ref="F147:K147" si="10">F74</f>
        <v>0</v>
      </c>
      <c r="G147" s="54">
        <f t="shared" si="10"/>
        <v>0</v>
      </c>
      <c r="H147" s="54">
        <f t="shared" si="10"/>
        <v>0</v>
      </c>
      <c r="I147" s="54">
        <f t="shared" si="10"/>
        <v>0</v>
      </c>
      <c r="J147" s="54">
        <f t="shared" si="10"/>
        <v>0</v>
      </c>
      <c r="K147" s="54">
        <f t="shared" si="10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11">F82</f>
        <v>0</v>
      </c>
      <c r="G148" s="54">
        <f t="shared" si="11"/>
        <v>0</v>
      </c>
      <c r="H148" s="54">
        <f t="shared" si="11"/>
        <v>151450</v>
      </c>
      <c r="I148" s="54">
        <f t="shared" si="11"/>
        <v>71415.767044619672</v>
      </c>
      <c r="J148" s="54">
        <f t="shared" si="11"/>
        <v>0</v>
      </c>
      <c r="K148" s="54">
        <f t="shared" si="11"/>
        <v>222865.76704461966</v>
      </c>
    </row>
    <row r="149" spans="1:11" ht="18" customHeight="1">
      <c r="A149" s="6" t="s">
        <v>170</v>
      </c>
      <c r="B149" s="5" t="s">
        <v>171</v>
      </c>
      <c r="F149" s="54">
        <f t="shared" ref="F149:K149" si="12">F99</f>
        <v>5892</v>
      </c>
      <c r="G149" s="54">
        <f t="shared" si="12"/>
        <v>951</v>
      </c>
      <c r="H149" s="54">
        <f t="shared" si="12"/>
        <v>225496.64</v>
      </c>
      <c r="I149" s="54">
        <f t="shared" si="12"/>
        <v>106332.22523330781</v>
      </c>
      <c r="J149" s="54">
        <f t="shared" si="12"/>
        <v>0</v>
      </c>
      <c r="K149" s="54">
        <f t="shared" si="12"/>
        <v>331828.86523330782</v>
      </c>
    </row>
    <row r="150" spans="1:11" ht="18" customHeight="1">
      <c r="A150" s="6" t="s">
        <v>172</v>
      </c>
      <c r="B150" s="5" t="s">
        <v>173</v>
      </c>
      <c r="F150" s="19">
        <f t="shared" ref="F150:K150" si="13">F110</f>
        <v>3622</v>
      </c>
      <c r="G150" s="19">
        <f t="shared" si="13"/>
        <v>0</v>
      </c>
      <c r="H150" s="19">
        <f t="shared" si="13"/>
        <v>343497.92000000004</v>
      </c>
      <c r="I150" s="19">
        <f t="shared" si="13"/>
        <v>161975.35447363093</v>
      </c>
      <c r="J150" s="19">
        <f t="shared" si="13"/>
        <v>0</v>
      </c>
      <c r="K150" s="19">
        <f t="shared" si="13"/>
        <v>505473.27447363088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43218000</v>
      </c>
    </row>
    <row r="152" spans="1:11" ht="18" customHeight="1">
      <c r="A152" s="6" t="s">
        <v>147</v>
      </c>
      <c r="B152" s="5" t="s">
        <v>177</v>
      </c>
      <c r="F152" s="19">
        <f t="shared" ref="F152:K152" si="14">F140</f>
        <v>1425</v>
      </c>
      <c r="G152" s="19">
        <f t="shared" si="14"/>
        <v>0</v>
      </c>
      <c r="H152" s="19">
        <f t="shared" si="14"/>
        <v>2600000</v>
      </c>
      <c r="I152" s="19">
        <f t="shared" si="14"/>
        <v>0</v>
      </c>
      <c r="J152" s="19">
        <f t="shared" si="14"/>
        <v>0</v>
      </c>
      <c r="K152" s="19">
        <f t="shared" si="14"/>
        <v>2600000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15">SUM(F144:F152)</f>
        <v>2280921.3888461255</v>
      </c>
      <c r="G154" s="60">
        <f t="shared" si="15"/>
        <v>114084</v>
      </c>
      <c r="H154" s="60">
        <f t="shared" si="15"/>
        <v>82599469.590570241</v>
      </c>
      <c r="I154" s="60">
        <f t="shared" si="15"/>
        <v>37723496.097545721</v>
      </c>
      <c r="J154" s="60">
        <f t="shared" si="15"/>
        <v>10873459</v>
      </c>
      <c r="K154" s="61">
        <f t="shared" si="15"/>
        <v>152667506.68811598</v>
      </c>
    </row>
    <row r="156" spans="1:11" ht="18" customHeight="1">
      <c r="B156" s="5" t="s">
        <v>178</v>
      </c>
      <c r="F156" s="233">
        <f>K154/F123</f>
        <v>0.13638626045950242</v>
      </c>
    </row>
    <row r="157" spans="1:11" ht="18" customHeight="1">
      <c r="B157" s="5" t="s">
        <v>179</v>
      </c>
      <c r="F157" s="233">
        <f>K154/F129</f>
        <v>-4.2458354892820864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96:D96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97:D97"/>
    <mergeCell ref="B104:C104"/>
    <mergeCell ref="B106:D106"/>
    <mergeCell ref="B138:D138"/>
    <mergeCell ref="B107:D107"/>
    <mergeCell ref="B108:D108"/>
    <mergeCell ref="B136:D136"/>
    <mergeCell ref="B137:D137"/>
  </mergeCells>
  <pageMargins left="0.75" right="0.75" top="1" bottom="1" header="0.5" footer="0.5"/>
  <pageSetup scale="53" orientation="landscape" r:id="rId1"/>
  <headerFooter alignWithMargins="0"/>
  <rowBreaks count="4" manualBreakCount="4">
    <brk id="35" max="16383" man="1"/>
    <brk id="74" max="16383" man="1"/>
    <brk id="111" max="16383" man="1"/>
    <brk id="141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M24" sqref="M2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610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609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608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607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606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605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5095.8</v>
      </c>
      <c r="G18" s="11">
        <v>41371</v>
      </c>
      <c r="H18" s="12">
        <v>223278</v>
      </c>
      <c r="I18" s="13"/>
      <c r="J18" s="12">
        <v>15654</v>
      </c>
      <c r="K18" s="14">
        <f t="shared" ref="K18:K32" si="0">(H18+I18)-J18</f>
        <v>207624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ref="I19:I26" si="1">H19*F$116</f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1"/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40</v>
      </c>
      <c r="G21" s="11">
        <v>600</v>
      </c>
      <c r="H21" s="12">
        <v>3648</v>
      </c>
      <c r="I21" s="13">
        <f t="shared" si="1"/>
        <v>2867.328</v>
      </c>
      <c r="J21" s="12"/>
      <c r="K21" s="14">
        <f t="shared" si="0"/>
        <v>6515.3279999999995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1"/>
        <v>0</v>
      </c>
      <c r="J22" s="12"/>
      <c r="K22" s="14">
        <f t="shared" si="0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30</v>
      </c>
      <c r="G26" s="11">
        <v>831</v>
      </c>
      <c r="H26" s="12">
        <v>400397</v>
      </c>
      <c r="I26" s="13">
        <f t="shared" si="1"/>
        <v>314712.04200000002</v>
      </c>
      <c r="J26" s="12"/>
      <c r="K26" s="14">
        <f t="shared" si="0"/>
        <v>715109.04200000002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604</v>
      </c>
      <c r="C28" s="379"/>
      <c r="D28" s="380"/>
      <c r="F28" s="11">
        <v>405</v>
      </c>
      <c r="G28" s="11">
        <v>90</v>
      </c>
      <c r="H28" s="12">
        <v>111883</v>
      </c>
      <c r="I28" s="13">
        <f>H28*F$116</f>
        <v>87940.038</v>
      </c>
      <c r="J28" s="12">
        <v>119591</v>
      </c>
      <c r="K28" s="14">
        <f t="shared" si="0"/>
        <v>80232.038</v>
      </c>
    </row>
    <row r="29" spans="1:11" ht="18" customHeight="1">
      <c r="A29" s="6" t="s">
        <v>37</v>
      </c>
      <c r="B29" s="378" t="s">
        <v>603</v>
      </c>
      <c r="C29" s="379"/>
      <c r="D29" s="380"/>
      <c r="F29" s="11">
        <v>2165</v>
      </c>
      <c r="G29" s="11">
        <v>25080</v>
      </c>
      <c r="H29" s="12">
        <v>152798</v>
      </c>
      <c r="I29" s="13">
        <f>H29*F$116</f>
        <v>120099.228</v>
      </c>
      <c r="J29" s="12">
        <v>152667</v>
      </c>
      <c r="K29" s="14">
        <f t="shared" si="0"/>
        <v>120230.228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>H30*F$116</f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>H31*F$116</f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>H32*F$116</f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7735.8</v>
      </c>
      <c r="G34" s="19">
        <f t="shared" si="2"/>
        <v>67972</v>
      </c>
      <c r="H34" s="14">
        <f t="shared" si="2"/>
        <v>892004</v>
      </c>
      <c r="I34" s="14">
        <f t="shared" si="2"/>
        <v>525618.63599999994</v>
      </c>
      <c r="J34" s="14">
        <f t="shared" si="2"/>
        <v>287912</v>
      </c>
      <c r="K34" s="14">
        <f t="shared" si="2"/>
        <v>1129710.6359999999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3552</v>
      </c>
      <c r="G40" s="11">
        <v>139</v>
      </c>
      <c r="H40" s="12">
        <v>156979</v>
      </c>
      <c r="I40" s="13">
        <v>0</v>
      </c>
      <c r="J40" s="12"/>
      <c r="K40" s="14">
        <f t="shared" si="3"/>
        <v>156979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444</v>
      </c>
      <c r="G41" s="11">
        <v>52</v>
      </c>
      <c r="H41" s="12">
        <v>15116</v>
      </c>
      <c r="I41" s="13">
        <v>0</v>
      </c>
      <c r="J41" s="12"/>
      <c r="K41" s="14">
        <f t="shared" si="3"/>
        <v>15116</v>
      </c>
    </row>
    <row r="42" spans="1:11" ht="18" customHeight="1">
      <c r="A42" s="6" t="s">
        <v>52</v>
      </c>
      <c r="B42" s="63" t="s">
        <v>53</v>
      </c>
      <c r="F42" s="11">
        <v>2349</v>
      </c>
      <c r="G42" s="11">
        <v>68</v>
      </c>
      <c r="H42" s="12">
        <v>81930</v>
      </c>
      <c r="I42" s="13">
        <v>0</v>
      </c>
      <c r="J42" s="12"/>
      <c r="K42" s="14">
        <f t="shared" si="3"/>
        <v>81930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6345</v>
      </c>
      <c r="G48" s="25">
        <f t="shared" si="4"/>
        <v>259</v>
      </c>
      <c r="H48" s="14">
        <f t="shared" si="4"/>
        <v>254025</v>
      </c>
      <c r="I48" s="14">
        <f t="shared" si="4"/>
        <v>0</v>
      </c>
      <c r="J48" s="14">
        <f t="shared" si="4"/>
        <v>0</v>
      </c>
      <c r="K48" s="14">
        <f t="shared" si="4"/>
        <v>254025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602</v>
      </c>
      <c r="C52" s="385"/>
      <c r="D52" s="359"/>
      <c r="F52" s="11"/>
      <c r="G52" s="11">
        <v>3</v>
      </c>
      <c r="H52" s="12">
        <v>229345</v>
      </c>
      <c r="I52" s="13">
        <v>0</v>
      </c>
      <c r="J52" s="12"/>
      <c r="K52" s="14">
        <f t="shared" ref="K52:K61" si="5">(H52+I52)-J52</f>
        <v>229345</v>
      </c>
    </row>
    <row r="53" spans="1:11" ht="18" customHeight="1">
      <c r="A53" s="6" t="s">
        <v>63</v>
      </c>
      <c r="B53" s="27" t="s">
        <v>601</v>
      </c>
      <c r="C53" s="28"/>
      <c r="D53" s="29"/>
      <c r="F53" s="11">
        <v>50.4</v>
      </c>
      <c r="G53" s="11">
        <v>756</v>
      </c>
      <c r="H53" s="12">
        <v>1862</v>
      </c>
      <c r="I53" s="13">
        <v>0</v>
      </c>
      <c r="J53" s="12"/>
      <c r="K53" s="14">
        <f t="shared" si="5"/>
        <v>1862</v>
      </c>
    </row>
    <row r="54" spans="1:11" ht="18" customHeight="1">
      <c r="A54" s="6" t="s">
        <v>65</v>
      </c>
      <c r="B54" s="381" t="s">
        <v>600</v>
      </c>
      <c r="C54" s="358"/>
      <c r="D54" s="359"/>
      <c r="F54" s="11">
        <v>22010</v>
      </c>
      <c r="G54" s="11">
        <v>7997</v>
      </c>
      <c r="H54" s="12">
        <v>628359</v>
      </c>
      <c r="I54" s="13">
        <v>0</v>
      </c>
      <c r="J54" s="12">
        <v>332839</v>
      </c>
      <c r="K54" s="14">
        <f t="shared" si="5"/>
        <v>295520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22060.400000000001</v>
      </c>
      <c r="G63" s="19">
        <f t="shared" si="6"/>
        <v>8756</v>
      </c>
      <c r="H63" s="14">
        <f t="shared" si="6"/>
        <v>859566</v>
      </c>
      <c r="I63" s="14">
        <f t="shared" si="6"/>
        <v>0</v>
      </c>
      <c r="J63" s="14">
        <f t="shared" si="6"/>
        <v>332839</v>
      </c>
      <c r="K63" s="14">
        <f t="shared" si="6"/>
        <v>526727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358</v>
      </c>
      <c r="G79" s="11">
        <v>1013</v>
      </c>
      <c r="H79" s="12">
        <v>286700</v>
      </c>
      <c r="I79" s="13">
        <v>0</v>
      </c>
      <c r="J79" s="12"/>
      <c r="K79" s="14">
        <f>(H79+I79)-J79</f>
        <v>286700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358</v>
      </c>
      <c r="G82" s="44">
        <f t="shared" si="9"/>
        <v>1013</v>
      </c>
      <c r="H82" s="45">
        <f t="shared" si="9"/>
        <v>286700</v>
      </c>
      <c r="I82" s="45">
        <f t="shared" si="9"/>
        <v>0</v>
      </c>
      <c r="J82" s="45">
        <f t="shared" si="9"/>
        <v>0</v>
      </c>
      <c r="K82" s="45">
        <f t="shared" si="9"/>
        <v>286700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438</v>
      </c>
      <c r="G88" s="11">
        <v>162</v>
      </c>
      <c r="H88" s="12">
        <v>25248</v>
      </c>
      <c r="I88" s="13">
        <f t="shared" si="10"/>
        <v>19844.928</v>
      </c>
      <c r="J88" s="12"/>
      <c r="K88" s="14">
        <f t="shared" si="11"/>
        <v>45092.928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62</v>
      </c>
      <c r="G90" s="11">
        <v>400</v>
      </c>
      <c r="H90" s="12">
        <v>3840</v>
      </c>
      <c r="I90" s="13">
        <f t="shared" si="10"/>
        <v>3018.2400000000002</v>
      </c>
      <c r="J90" s="12"/>
      <c r="K90" s="14">
        <f t="shared" si="11"/>
        <v>6858.24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>
        <v>14</v>
      </c>
      <c r="G95" s="11">
        <v>1000</v>
      </c>
      <c r="H95" s="12">
        <v>638</v>
      </c>
      <c r="I95" s="13">
        <f t="shared" si="10"/>
        <v>501.46800000000002</v>
      </c>
      <c r="J95" s="12"/>
      <c r="K95" s="14">
        <f t="shared" si="11"/>
        <v>1139.4680000000001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514</v>
      </c>
      <c r="G99" s="19">
        <f t="shared" si="12"/>
        <v>1562</v>
      </c>
      <c r="H99" s="19">
        <f t="shared" si="12"/>
        <v>29726</v>
      </c>
      <c r="I99" s="19">
        <f t="shared" si="12"/>
        <v>23364.636000000002</v>
      </c>
      <c r="J99" s="19">
        <f t="shared" si="12"/>
        <v>0</v>
      </c>
      <c r="K99" s="19">
        <f t="shared" si="12"/>
        <v>53090.635999999999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210</v>
      </c>
      <c r="G103" s="11"/>
      <c r="H103" s="12">
        <v>8938</v>
      </c>
      <c r="I103" s="13">
        <f t="shared" ref="I103:I108" si="13">H103*F$116</f>
        <v>7025.268</v>
      </c>
      <c r="J103" s="12"/>
      <c r="K103" s="14">
        <f t="shared" ref="K103:K108" si="14">(H103+I103)-J103</f>
        <v>15963.268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210</v>
      </c>
      <c r="G110" s="19">
        <f t="shared" si="15"/>
        <v>0</v>
      </c>
      <c r="H110" s="14">
        <f t="shared" si="15"/>
        <v>8938</v>
      </c>
      <c r="I110" s="14">
        <f t="shared" si="15"/>
        <v>7025.268</v>
      </c>
      <c r="J110" s="14">
        <f t="shared" si="15"/>
        <v>0</v>
      </c>
      <c r="K110" s="14">
        <f t="shared" si="15"/>
        <v>15963.268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1690600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0.78600000000000003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124173557</v>
      </c>
    </row>
    <row r="120" spans="1:6" ht="18" customHeight="1">
      <c r="B120" s="2" t="s">
        <v>137</v>
      </c>
      <c r="F120" s="12">
        <f>1634219+1052770</f>
        <v>2686989</v>
      </c>
    </row>
    <row r="121" spans="1:6" ht="18" customHeight="1">
      <c r="A121" s="6"/>
      <c r="B121" s="5" t="s">
        <v>138</v>
      </c>
      <c r="F121" s="12">
        <f>SUM(F119:F120)</f>
        <v>126860546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124492414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2368132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-7885478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-5517346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>
        <v>25654</v>
      </c>
      <c r="I133" s="13">
        <v>0</v>
      </c>
      <c r="J133" s="12">
        <v>990</v>
      </c>
      <c r="K133" s="14">
        <f t="shared" ref="K133:K138" si="16">(H133+I133)-J133</f>
        <v>24664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>
        <v>2040</v>
      </c>
      <c r="I134" s="13">
        <v>0</v>
      </c>
      <c r="J134" s="12"/>
      <c r="K134" s="14">
        <f t="shared" si="16"/>
        <v>2040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 t="s">
        <v>599</v>
      </c>
      <c r="C136" s="379"/>
      <c r="D136" s="380"/>
      <c r="F136" s="11"/>
      <c r="G136" s="11"/>
      <c r="H136" s="12">
        <v>40000</v>
      </c>
      <c r="I136" s="13">
        <v>0</v>
      </c>
      <c r="J136" s="12"/>
      <c r="K136" s="14">
        <f t="shared" si="16"/>
        <v>40000</v>
      </c>
    </row>
    <row r="137" spans="1:11" ht="18" customHeight="1">
      <c r="A137" s="6" t="s">
        <v>155</v>
      </c>
      <c r="B137" s="378" t="s">
        <v>598</v>
      </c>
      <c r="C137" s="379"/>
      <c r="D137" s="380"/>
      <c r="F137" s="11"/>
      <c r="G137" s="11"/>
      <c r="H137" s="12">
        <v>4000</v>
      </c>
      <c r="I137" s="13">
        <v>0</v>
      </c>
      <c r="J137" s="12"/>
      <c r="K137" s="14">
        <f t="shared" si="16"/>
        <v>4000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71694</v>
      </c>
      <c r="I140" s="14">
        <f t="shared" si="17"/>
        <v>0</v>
      </c>
      <c r="J140" s="14">
        <f t="shared" si="17"/>
        <v>990</v>
      </c>
      <c r="K140" s="14">
        <f t="shared" si="17"/>
        <v>70704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7735.8</v>
      </c>
      <c r="G144" s="54">
        <f t="shared" si="18"/>
        <v>67972</v>
      </c>
      <c r="H144" s="54">
        <f t="shared" si="18"/>
        <v>892004</v>
      </c>
      <c r="I144" s="54">
        <f t="shared" si="18"/>
        <v>525618.63599999994</v>
      </c>
      <c r="J144" s="54">
        <f t="shared" si="18"/>
        <v>287912</v>
      </c>
      <c r="K144" s="54">
        <f t="shared" si="18"/>
        <v>1129710.6359999999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6345</v>
      </c>
      <c r="G145" s="54">
        <f t="shared" si="19"/>
        <v>259</v>
      </c>
      <c r="H145" s="54">
        <f t="shared" si="19"/>
        <v>254025</v>
      </c>
      <c r="I145" s="54">
        <f t="shared" si="19"/>
        <v>0</v>
      </c>
      <c r="J145" s="54">
        <f t="shared" si="19"/>
        <v>0</v>
      </c>
      <c r="K145" s="54">
        <f t="shared" si="19"/>
        <v>254025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22060.400000000001</v>
      </c>
      <c r="G146" s="54">
        <f t="shared" si="20"/>
        <v>8756</v>
      </c>
      <c r="H146" s="54">
        <f t="shared" si="20"/>
        <v>859566</v>
      </c>
      <c r="I146" s="54">
        <f t="shared" si="20"/>
        <v>0</v>
      </c>
      <c r="J146" s="54">
        <f t="shared" si="20"/>
        <v>332839</v>
      </c>
      <c r="K146" s="54">
        <f t="shared" si="20"/>
        <v>526727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358</v>
      </c>
      <c r="G148" s="54">
        <f t="shared" si="22"/>
        <v>1013</v>
      </c>
      <c r="H148" s="54">
        <f t="shared" si="22"/>
        <v>286700</v>
      </c>
      <c r="I148" s="54">
        <f t="shared" si="22"/>
        <v>0</v>
      </c>
      <c r="J148" s="54">
        <f t="shared" si="22"/>
        <v>0</v>
      </c>
      <c r="K148" s="54">
        <f t="shared" si="22"/>
        <v>286700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514</v>
      </c>
      <c r="G149" s="54">
        <f t="shared" si="23"/>
        <v>1562</v>
      </c>
      <c r="H149" s="54">
        <f t="shared" si="23"/>
        <v>29726</v>
      </c>
      <c r="I149" s="54">
        <f t="shared" si="23"/>
        <v>23364.636000000002</v>
      </c>
      <c r="J149" s="54">
        <f t="shared" si="23"/>
        <v>0</v>
      </c>
      <c r="K149" s="54">
        <f t="shared" si="23"/>
        <v>53090.635999999999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210</v>
      </c>
      <c r="G150" s="19">
        <f t="shared" si="24"/>
        <v>0</v>
      </c>
      <c r="H150" s="19">
        <f t="shared" si="24"/>
        <v>8938</v>
      </c>
      <c r="I150" s="19">
        <f t="shared" si="24"/>
        <v>7025.268</v>
      </c>
      <c r="J150" s="19">
        <f t="shared" si="24"/>
        <v>0</v>
      </c>
      <c r="K150" s="19">
        <f t="shared" si="24"/>
        <v>15963.268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1690600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71694</v>
      </c>
      <c r="I152" s="19">
        <f t="shared" si="25"/>
        <v>0</v>
      </c>
      <c r="J152" s="19">
        <f t="shared" si="25"/>
        <v>990</v>
      </c>
      <c r="K152" s="19">
        <f t="shared" si="25"/>
        <v>70704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37223.199999999997</v>
      </c>
      <c r="G154" s="60">
        <f t="shared" si="26"/>
        <v>79562</v>
      </c>
      <c r="H154" s="60">
        <f t="shared" si="26"/>
        <v>2402653</v>
      </c>
      <c r="I154" s="60">
        <f t="shared" si="26"/>
        <v>556008.54</v>
      </c>
      <c r="J154" s="60">
        <f t="shared" si="26"/>
        <v>621741</v>
      </c>
      <c r="K154" s="61">
        <f t="shared" si="26"/>
        <v>4027520.54</v>
      </c>
    </row>
    <row r="156" spans="1:11" ht="18" customHeight="1">
      <c r="B156" s="5" t="s">
        <v>178</v>
      </c>
      <c r="F156" s="233">
        <f>K154/F123</f>
        <v>3.2351533805103978E-2</v>
      </c>
    </row>
    <row r="157" spans="1:11" ht="18" customHeight="1">
      <c r="B157" s="5" t="s">
        <v>179</v>
      </c>
      <c r="F157" s="233">
        <f>K154/F129</f>
        <v>-0.72997425573817554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04:C104"/>
    <mergeCell ref="B137:D137"/>
    <mergeCell ref="B138:D138"/>
    <mergeCell ref="B136:D136"/>
    <mergeCell ref="B106:D106"/>
    <mergeCell ref="B107:D107"/>
    <mergeCell ref="B108:D108"/>
    <mergeCell ref="B97:D97"/>
    <mergeCell ref="B96:D96"/>
    <mergeCell ref="B56:D56"/>
    <mergeCell ref="B95:D95"/>
    <mergeCell ref="B51:C51"/>
    <mergeCell ref="B90:C90"/>
    <mergeCell ref="B61:D61"/>
    <mergeCell ref="B52:D52"/>
    <mergeCell ref="B54:D54"/>
    <mergeCell ref="B55:D55"/>
    <mergeCell ref="B58:D58"/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468</v>
      </c>
      <c r="D5" s="363"/>
      <c r="E5" s="363"/>
      <c r="F5" s="363"/>
      <c r="G5" s="364"/>
    </row>
    <row r="6" spans="1:11" ht="18" customHeight="1">
      <c r="B6" s="6" t="s">
        <v>4</v>
      </c>
      <c r="C6" s="435">
        <v>24</v>
      </c>
      <c r="D6" s="436"/>
      <c r="E6" s="436"/>
      <c r="F6" s="436"/>
      <c r="G6" s="437"/>
    </row>
    <row r="7" spans="1:11" ht="18" customHeight="1">
      <c r="B7" s="6" t="s">
        <v>5</v>
      </c>
      <c r="C7" s="438">
        <v>2420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440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439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438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1037.5</v>
      </c>
      <c r="G18" s="11">
        <v>342503</v>
      </c>
      <c r="H18" s="12">
        <v>262874</v>
      </c>
      <c r="I18" s="13">
        <v>126176</v>
      </c>
      <c r="J18" s="12">
        <v>8625</v>
      </c>
      <c r="K18" s="14">
        <f t="shared" ref="K18:K32" si="0">(H18+I18)-J18</f>
        <v>380425</v>
      </c>
    </row>
    <row r="19" spans="1:11" ht="18" customHeight="1">
      <c r="A19" s="6"/>
      <c r="B19" s="2" t="s">
        <v>23</v>
      </c>
      <c r="F19" s="11">
        <v>0</v>
      </c>
      <c r="G19" s="11">
        <v>0</v>
      </c>
      <c r="H19" s="12">
        <v>0</v>
      </c>
      <c r="I19" s="13">
        <v>0</v>
      </c>
      <c r="J19" s="12">
        <v>0</v>
      </c>
      <c r="K19" s="14">
        <f t="shared" si="0"/>
        <v>0</v>
      </c>
    </row>
    <row r="20" spans="1:11" ht="18" customHeight="1">
      <c r="A20" s="6"/>
      <c r="B20" s="2" t="s">
        <v>24</v>
      </c>
      <c r="F20" s="11">
        <v>0</v>
      </c>
      <c r="G20" s="11">
        <v>0</v>
      </c>
      <c r="H20" s="12">
        <v>0</v>
      </c>
      <c r="I20" s="13">
        <v>0</v>
      </c>
      <c r="J20" s="12">
        <v>0</v>
      </c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110</v>
      </c>
      <c r="G21" s="11">
        <v>6931</v>
      </c>
      <c r="H21" s="12">
        <v>840258</v>
      </c>
      <c r="I21" s="13">
        <v>403324</v>
      </c>
      <c r="J21" s="12">
        <v>0</v>
      </c>
      <c r="K21" s="14">
        <f t="shared" si="0"/>
        <v>1243582</v>
      </c>
    </row>
    <row r="22" spans="1:11" ht="18" customHeight="1">
      <c r="A22" s="6"/>
      <c r="B22" s="2" t="s">
        <v>27</v>
      </c>
      <c r="F22" s="11">
        <v>0</v>
      </c>
      <c r="G22" s="11">
        <v>0</v>
      </c>
      <c r="H22" s="12">
        <v>0</v>
      </c>
      <c r="I22" s="13">
        <v>0</v>
      </c>
      <c r="J22" s="12">
        <v>0</v>
      </c>
      <c r="K22" s="14">
        <f t="shared" si="0"/>
        <v>0</v>
      </c>
    </row>
    <row r="23" spans="1:11" ht="18" customHeight="1">
      <c r="A23" s="6"/>
      <c r="B23" s="2" t="s">
        <v>28</v>
      </c>
      <c r="F23" s="11">
        <v>0</v>
      </c>
      <c r="G23" s="11">
        <v>0</v>
      </c>
      <c r="H23" s="12">
        <v>0</v>
      </c>
      <c r="I23" s="13">
        <v>0</v>
      </c>
      <c r="J23" s="12">
        <v>0</v>
      </c>
      <c r="K23" s="14">
        <f t="shared" si="0"/>
        <v>0</v>
      </c>
    </row>
    <row r="24" spans="1:11" ht="18" customHeight="1">
      <c r="A24" s="6"/>
      <c r="B24" s="2" t="s">
        <v>29</v>
      </c>
      <c r="F24" s="11">
        <v>0</v>
      </c>
      <c r="G24" s="11">
        <v>0</v>
      </c>
      <c r="H24" s="12">
        <v>0</v>
      </c>
      <c r="I24" s="13">
        <v>0</v>
      </c>
      <c r="J24" s="12">
        <v>0</v>
      </c>
      <c r="K24" s="14">
        <f t="shared" si="0"/>
        <v>0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2">
        <v>0</v>
      </c>
      <c r="I25" s="13">
        <v>0</v>
      </c>
      <c r="J25" s="12">
        <v>0</v>
      </c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155</v>
      </c>
      <c r="G26" s="11">
        <v>235</v>
      </c>
      <c r="H26" s="12">
        <v>456157</v>
      </c>
      <c r="I26" s="13">
        <v>218955</v>
      </c>
      <c r="J26" s="12">
        <v>0</v>
      </c>
      <c r="K26" s="14">
        <f t="shared" si="0"/>
        <v>675112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2">
        <v>0</v>
      </c>
      <c r="I27" s="13">
        <v>0</v>
      </c>
      <c r="J27" s="12">
        <v>0</v>
      </c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>
        <v>0</v>
      </c>
      <c r="G28" s="11">
        <v>0</v>
      </c>
      <c r="H28" s="12">
        <v>0</v>
      </c>
      <c r="I28" s="13">
        <v>0</v>
      </c>
      <c r="J28" s="12">
        <v>0</v>
      </c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>
        <v>0</v>
      </c>
      <c r="G29" s="11">
        <v>0</v>
      </c>
      <c r="H29" s="12">
        <v>0</v>
      </c>
      <c r="I29" s="13">
        <v>0</v>
      </c>
      <c r="J29" s="12">
        <v>0</v>
      </c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>
        <v>0</v>
      </c>
      <c r="G30" s="11">
        <v>0</v>
      </c>
      <c r="H30" s="12">
        <v>0</v>
      </c>
      <c r="I30" s="13">
        <v>0</v>
      </c>
      <c r="J30" s="12">
        <v>0</v>
      </c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>
        <v>0</v>
      </c>
      <c r="G31" s="11">
        <v>0</v>
      </c>
      <c r="H31" s="12">
        <v>0</v>
      </c>
      <c r="I31" s="13">
        <v>0</v>
      </c>
      <c r="J31" s="12">
        <v>0</v>
      </c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>
        <v>0</v>
      </c>
      <c r="G32" s="11">
        <v>0</v>
      </c>
      <c r="H32" s="12">
        <v>0</v>
      </c>
      <c r="I32" s="13">
        <v>0</v>
      </c>
      <c r="J32" s="12">
        <v>0</v>
      </c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1">SUM(F18:F32)</f>
        <v>1302.5</v>
      </c>
      <c r="G34" s="19">
        <f t="shared" si="1"/>
        <v>349669</v>
      </c>
      <c r="H34" s="14">
        <f t="shared" si="1"/>
        <v>1559289</v>
      </c>
      <c r="I34" s="14">
        <f t="shared" si="1"/>
        <v>748455</v>
      </c>
      <c r="J34" s="14">
        <f t="shared" si="1"/>
        <v>8625</v>
      </c>
      <c r="K34" s="14">
        <f t="shared" si="1"/>
        <v>2299119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60</v>
      </c>
      <c r="G38" s="11">
        <v>200</v>
      </c>
      <c r="H38" s="12">
        <v>10679493</v>
      </c>
      <c r="I38" s="13">
        <v>5126157</v>
      </c>
      <c r="J38" s="12">
        <v>0</v>
      </c>
      <c r="K38" s="14">
        <f t="shared" ref="K38:K46" si="2">(H38+I38)-J38</f>
        <v>15805650</v>
      </c>
    </row>
    <row r="39" spans="1:11" ht="18" customHeight="1">
      <c r="A39" s="6" t="s">
        <v>46</v>
      </c>
      <c r="B39" s="386" t="s">
        <v>47</v>
      </c>
      <c r="C39" s="356"/>
      <c r="F39" s="11">
        <v>0</v>
      </c>
      <c r="G39" s="11">
        <v>0</v>
      </c>
      <c r="H39" s="12">
        <v>0</v>
      </c>
      <c r="I39" s="13">
        <v>0</v>
      </c>
      <c r="J39" s="12">
        <v>0</v>
      </c>
      <c r="K39" s="14">
        <f t="shared" si="2"/>
        <v>0</v>
      </c>
    </row>
    <row r="40" spans="1:11" ht="18" customHeight="1">
      <c r="A40" s="6" t="s">
        <v>48</v>
      </c>
      <c r="B40" s="63" t="s">
        <v>49</v>
      </c>
      <c r="F40" s="11">
        <v>123</v>
      </c>
      <c r="G40" s="11">
        <v>798</v>
      </c>
      <c r="H40" s="12">
        <v>441995</v>
      </c>
      <c r="I40" s="13">
        <v>212158</v>
      </c>
      <c r="J40" s="12">
        <v>0</v>
      </c>
      <c r="K40" s="14">
        <f t="shared" si="2"/>
        <v>654153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0</v>
      </c>
      <c r="G41" s="11">
        <v>0</v>
      </c>
      <c r="H41" s="12">
        <v>0</v>
      </c>
      <c r="I41" s="13">
        <v>0</v>
      </c>
      <c r="J41" s="12">
        <v>0</v>
      </c>
      <c r="K41" s="14">
        <f t="shared" si="2"/>
        <v>0</v>
      </c>
    </row>
    <row r="42" spans="1:11" ht="18" customHeight="1">
      <c r="A42" s="6" t="s">
        <v>52</v>
      </c>
      <c r="B42" s="63" t="s">
        <v>53</v>
      </c>
      <c r="F42" s="11">
        <v>52</v>
      </c>
      <c r="G42" s="11">
        <v>82</v>
      </c>
      <c r="H42" s="12">
        <v>2695</v>
      </c>
      <c r="I42" s="13">
        <v>1293</v>
      </c>
      <c r="J42" s="12">
        <v>0</v>
      </c>
      <c r="K42" s="14">
        <f t="shared" si="2"/>
        <v>3988</v>
      </c>
    </row>
    <row r="43" spans="1:11" ht="18" customHeight="1">
      <c r="A43" s="6" t="s">
        <v>54</v>
      </c>
      <c r="B43" s="63" t="s">
        <v>34</v>
      </c>
      <c r="F43" s="11">
        <v>0</v>
      </c>
      <c r="G43" s="11">
        <v>0</v>
      </c>
      <c r="H43" s="12">
        <v>0</v>
      </c>
      <c r="I43" s="13">
        <v>0</v>
      </c>
      <c r="J43" s="12">
        <v>0</v>
      </c>
      <c r="K43" s="14">
        <f t="shared" si="2"/>
        <v>0</v>
      </c>
    </row>
    <row r="44" spans="1:11" ht="18" customHeight="1">
      <c r="A44" s="6" t="s">
        <v>55</v>
      </c>
      <c r="B44" s="378" t="s">
        <v>469</v>
      </c>
      <c r="C44" s="379"/>
      <c r="D44" s="380"/>
      <c r="F44" s="11">
        <v>26</v>
      </c>
      <c r="G44" s="11">
        <v>18</v>
      </c>
      <c r="H44" s="12">
        <v>1260</v>
      </c>
      <c r="I44" s="13">
        <v>605</v>
      </c>
      <c r="J44" s="12">
        <v>0</v>
      </c>
      <c r="K44" s="14">
        <f t="shared" si="2"/>
        <v>1865</v>
      </c>
    </row>
    <row r="45" spans="1:11" ht="18" customHeight="1">
      <c r="A45" s="6" t="s">
        <v>57</v>
      </c>
      <c r="B45" s="378"/>
      <c r="C45" s="379"/>
      <c r="D45" s="380"/>
      <c r="F45" s="11">
        <v>0</v>
      </c>
      <c r="G45" s="11">
        <v>0</v>
      </c>
      <c r="H45" s="12">
        <v>0</v>
      </c>
      <c r="I45" s="13">
        <v>0</v>
      </c>
      <c r="J45" s="12">
        <v>0</v>
      </c>
      <c r="K45" s="14">
        <f t="shared" si="2"/>
        <v>0</v>
      </c>
    </row>
    <row r="46" spans="1:11" ht="18" customHeight="1">
      <c r="A46" s="6" t="s">
        <v>58</v>
      </c>
      <c r="B46" s="378"/>
      <c r="C46" s="379"/>
      <c r="D46" s="380"/>
      <c r="F46" s="11">
        <v>0</v>
      </c>
      <c r="G46" s="11">
        <v>0</v>
      </c>
      <c r="H46" s="12">
        <v>0</v>
      </c>
      <c r="I46" s="13">
        <v>0</v>
      </c>
      <c r="J46" s="12">
        <v>0</v>
      </c>
      <c r="K46" s="14">
        <f t="shared" si="2"/>
        <v>0</v>
      </c>
    </row>
    <row r="48" spans="1:11" ht="18" customHeight="1">
      <c r="E48" s="5" t="s">
        <v>41</v>
      </c>
      <c r="F48" s="25">
        <f t="shared" ref="F48:K48" si="3">SUM(F38:F46)</f>
        <v>261</v>
      </c>
      <c r="G48" s="25">
        <f t="shared" si="3"/>
        <v>1098</v>
      </c>
      <c r="H48" s="14">
        <f t="shared" si="3"/>
        <v>11125443</v>
      </c>
      <c r="I48" s="14">
        <f t="shared" si="3"/>
        <v>5340213</v>
      </c>
      <c r="J48" s="14">
        <f t="shared" si="3"/>
        <v>0</v>
      </c>
      <c r="K48" s="14">
        <f t="shared" si="3"/>
        <v>16465656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470</v>
      </c>
      <c r="C52" s="385"/>
      <c r="D52" s="359"/>
      <c r="F52" s="11">
        <v>0</v>
      </c>
      <c r="G52" s="11">
        <v>0</v>
      </c>
      <c r="H52" s="12">
        <v>117600</v>
      </c>
      <c r="I52" s="13">
        <v>0</v>
      </c>
      <c r="J52" s="12">
        <v>0</v>
      </c>
      <c r="K52" s="14">
        <f t="shared" ref="K52:K61" si="4">(H52+I52)-J52</f>
        <v>117600</v>
      </c>
    </row>
    <row r="53" spans="1:11" ht="18" customHeight="1">
      <c r="A53" s="6" t="s">
        <v>63</v>
      </c>
      <c r="B53" s="27" t="s">
        <v>471</v>
      </c>
      <c r="C53" s="28"/>
      <c r="D53" s="29"/>
      <c r="F53" s="11">
        <v>0</v>
      </c>
      <c r="G53" s="11">
        <v>0</v>
      </c>
      <c r="H53" s="12">
        <v>2440350.23</v>
      </c>
      <c r="I53" s="13">
        <v>0</v>
      </c>
      <c r="J53" s="12">
        <v>631146</v>
      </c>
      <c r="K53" s="14">
        <f t="shared" si="4"/>
        <v>1809204.23</v>
      </c>
    </row>
    <row r="54" spans="1:11" ht="18" customHeight="1">
      <c r="A54" s="6" t="s">
        <v>65</v>
      </c>
      <c r="B54" s="381" t="s">
        <v>472</v>
      </c>
      <c r="C54" s="358"/>
      <c r="D54" s="359"/>
      <c r="F54" s="11">
        <v>0</v>
      </c>
      <c r="G54" s="11">
        <v>0</v>
      </c>
      <c r="H54" s="12">
        <v>6231130</v>
      </c>
      <c r="I54" s="13">
        <v>0</v>
      </c>
      <c r="J54" s="12">
        <v>4691325</v>
      </c>
      <c r="K54" s="14">
        <f t="shared" si="4"/>
        <v>1539805</v>
      </c>
    </row>
    <row r="55" spans="1:11" ht="18" customHeight="1">
      <c r="A55" s="6" t="s">
        <v>67</v>
      </c>
      <c r="B55" s="381" t="s">
        <v>473</v>
      </c>
      <c r="C55" s="358"/>
      <c r="D55" s="359"/>
      <c r="F55" s="11">
        <v>0</v>
      </c>
      <c r="G55" s="11">
        <v>0</v>
      </c>
      <c r="H55" s="12">
        <v>795917</v>
      </c>
      <c r="I55" s="13">
        <v>0</v>
      </c>
      <c r="J55" s="12">
        <v>0</v>
      </c>
      <c r="K55" s="14">
        <f t="shared" si="4"/>
        <v>795917</v>
      </c>
    </row>
    <row r="56" spans="1:11" ht="18" customHeight="1">
      <c r="A56" s="6" t="s">
        <v>69</v>
      </c>
      <c r="B56" s="381" t="s">
        <v>451</v>
      </c>
      <c r="C56" s="358"/>
      <c r="D56" s="359"/>
      <c r="F56" s="11">
        <v>0</v>
      </c>
      <c r="G56" s="11">
        <v>0</v>
      </c>
      <c r="H56" s="12">
        <v>4539800</v>
      </c>
      <c r="I56" s="13">
        <v>967353.18000000063</v>
      </c>
      <c r="J56" s="12">
        <v>4844587.33</v>
      </c>
      <c r="K56" s="14">
        <f t="shared" si="4"/>
        <v>662565.85000000056</v>
      </c>
    </row>
    <row r="57" spans="1:11" ht="18" customHeight="1">
      <c r="A57" s="6" t="s">
        <v>71</v>
      </c>
      <c r="B57" s="27"/>
      <c r="C57" s="28"/>
      <c r="D57" s="29"/>
      <c r="F57" s="11">
        <v>0</v>
      </c>
      <c r="G57" s="11">
        <v>0</v>
      </c>
      <c r="H57" s="12">
        <v>0</v>
      </c>
      <c r="I57" s="13">
        <v>0</v>
      </c>
      <c r="J57" s="12">
        <v>0</v>
      </c>
      <c r="K57" s="14">
        <f t="shared" si="4"/>
        <v>0</v>
      </c>
    </row>
    <row r="58" spans="1:11" ht="18" customHeight="1">
      <c r="A58" s="6" t="s">
        <v>73</v>
      </c>
      <c r="B58" s="381"/>
      <c r="C58" s="358"/>
      <c r="D58" s="359"/>
      <c r="F58" s="11">
        <v>0</v>
      </c>
      <c r="G58" s="11">
        <v>0</v>
      </c>
      <c r="H58" s="12">
        <v>0</v>
      </c>
      <c r="I58" s="13">
        <v>0</v>
      </c>
      <c r="J58" s="12">
        <v>0</v>
      </c>
      <c r="K58" s="14">
        <f t="shared" si="4"/>
        <v>0</v>
      </c>
    </row>
    <row r="59" spans="1:11" ht="18" customHeight="1">
      <c r="A59" s="6" t="s">
        <v>75</v>
      </c>
      <c r="B59" s="27"/>
      <c r="C59" s="28"/>
      <c r="D59" s="29"/>
      <c r="F59" s="11">
        <v>0</v>
      </c>
      <c r="G59" s="11">
        <v>0</v>
      </c>
      <c r="H59" s="12">
        <v>0</v>
      </c>
      <c r="I59" s="13">
        <v>0</v>
      </c>
      <c r="J59" s="12">
        <v>0</v>
      </c>
      <c r="K59" s="14">
        <f t="shared" si="4"/>
        <v>0</v>
      </c>
    </row>
    <row r="60" spans="1:11" ht="18" customHeight="1">
      <c r="A60" s="6" t="s">
        <v>76</v>
      </c>
      <c r="B60" s="27"/>
      <c r="C60" s="28"/>
      <c r="D60" s="29"/>
      <c r="F60" s="11">
        <v>0</v>
      </c>
      <c r="G60" s="11">
        <v>0</v>
      </c>
      <c r="H60" s="12">
        <v>0</v>
      </c>
      <c r="I60" s="13">
        <v>0</v>
      </c>
      <c r="J60" s="12">
        <v>0</v>
      </c>
      <c r="K60" s="14">
        <f t="shared" si="4"/>
        <v>0</v>
      </c>
    </row>
    <row r="61" spans="1:11" ht="18" customHeight="1">
      <c r="A61" s="6" t="s">
        <v>77</v>
      </c>
      <c r="B61" s="381"/>
      <c r="C61" s="358"/>
      <c r="D61" s="359"/>
      <c r="F61" s="11">
        <v>0</v>
      </c>
      <c r="G61" s="11">
        <v>0</v>
      </c>
      <c r="H61" s="12">
        <v>0</v>
      </c>
      <c r="I61" s="13">
        <v>0</v>
      </c>
      <c r="J61" s="12">
        <v>0</v>
      </c>
      <c r="K61" s="14">
        <f t="shared" si="4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5">SUM(F52:F61)</f>
        <v>0</v>
      </c>
      <c r="G63" s="19">
        <f t="shared" si="5"/>
        <v>0</v>
      </c>
      <c r="H63" s="14">
        <f t="shared" si="5"/>
        <v>14124797.23</v>
      </c>
      <c r="I63" s="14">
        <f t="shared" si="5"/>
        <v>967353.18000000063</v>
      </c>
      <c r="J63" s="14">
        <f t="shared" si="5"/>
        <v>10167058.33</v>
      </c>
      <c r="K63" s="14">
        <f t="shared" si="5"/>
        <v>4925092.080000001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3710</v>
      </c>
      <c r="G67" s="34">
        <v>0</v>
      </c>
      <c r="H67" s="12">
        <v>276173</v>
      </c>
      <c r="I67" s="12">
        <v>0</v>
      </c>
      <c r="J67" s="12">
        <v>0</v>
      </c>
      <c r="K67" s="14">
        <f t="shared" ref="K67:K72" si="6">(H67+I67)-J67</f>
        <v>276173</v>
      </c>
    </row>
    <row r="68" spans="1:11" ht="18" customHeight="1">
      <c r="A68" s="6" t="s">
        <v>82</v>
      </c>
      <c r="B68" s="63" t="s">
        <v>83</v>
      </c>
      <c r="F68" s="34">
        <v>0</v>
      </c>
      <c r="G68" s="34">
        <v>0</v>
      </c>
      <c r="H68" s="12">
        <v>0</v>
      </c>
      <c r="I68" s="12">
        <v>0</v>
      </c>
      <c r="J68" s="12">
        <v>0</v>
      </c>
      <c r="K68" s="14">
        <f t="shared" si="6"/>
        <v>0</v>
      </c>
    </row>
    <row r="69" spans="1:11" ht="18" customHeight="1">
      <c r="A69" s="6" t="s">
        <v>84</v>
      </c>
      <c r="B69" s="63" t="s">
        <v>85</v>
      </c>
      <c r="F69" s="11">
        <v>0</v>
      </c>
      <c r="G69" s="11">
        <v>0</v>
      </c>
      <c r="H69" s="12">
        <v>0</v>
      </c>
      <c r="I69" s="13">
        <v>0</v>
      </c>
      <c r="J69" s="12">
        <v>0</v>
      </c>
      <c r="K69" s="14">
        <f t="shared" si="6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>
        <v>0</v>
      </c>
      <c r="G70" s="35">
        <v>0</v>
      </c>
      <c r="H70" s="36">
        <v>0</v>
      </c>
      <c r="I70" s="13">
        <v>0</v>
      </c>
      <c r="J70" s="36">
        <v>0</v>
      </c>
      <c r="K70" s="14">
        <f t="shared" si="6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>
        <v>0</v>
      </c>
      <c r="G71" s="35">
        <v>0</v>
      </c>
      <c r="H71" s="36">
        <v>0</v>
      </c>
      <c r="I71" s="13">
        <v>0</v>
      </c>
      <c r="J71" s="36">
        <v>0</v>
      </c>
      <c r="K71" s="14">
        <f t="shared" si="6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>
        <v>0</v>
      </c>
      <c r="G72" s="11">
        <v>0</v>
      </c>
      <c r="H72" s="12">
        <v>0</v>
      </c>
      <c r="I72" s="13">
        <v>0</v>
      </c>
      <c r="J72" s="12">
        <v>0</v>
      </c>
      <c r="K72" s="14">
        <f t="shared" si="6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7">SUM(F67:F72)</f>
        <v>3710</v>
      </c>
      <c r="G74" s="43">
        <f t="shared" si="7"/>
        <v>0</v>
      </c>
      <c r="H74" s="43">
        <f t="shared" si="7"/>
        <v>276173</v>
      </c>
      <c r="I74" s="43">
        <f t="shared" si="7"/>
        <v>0</v>
      </c>
      <c r="J74" s="43">
        <f t="shared" si="7"/>
        <v>0</v>
      </c>
      <c r="K74" s="43">
        <f t="shared" si="7"/>
        <v>276173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220269</v>
      </c>
      <c r="I77" s="13">
        <v>0</v>
      </c>
      <c r="J77" s="12">
        <v>0</v>
      </c>
      <c r="K77" s="14">
        <f>(H77+I77)-J77</f>
        <v>220269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0</v>
      </c>
      <c r="I78" s="13">
        <v>0</v>
      </c>
      <c r="J78" s="12">
        <v>0</v>
      </c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0</v>
      </c>
      <c r="G79" s="11">
        <v>130</v>
      </c>
      <c r="H79" s="12">
        <v>25968</v>
      </c>
      <c r="I79" s="13">
        <v>0</v>
      </c>
      <c r="J79" s="12">
        <v>0</v>
      </c>
      <c r="K79" s="14">
        <f>(H79+I79)-J79</f>
        <v>25968</v>
      </c>
    </row>
    <row r="80" spans="1:11" ht="18" customHeight="1">
      <c r="A80" s="6" t="s">
        <v>93</v>
      </c>
      <c r="B80" s="63" t="s">
        <v>97</v>
      </c>
      <c r="F80" s="11">
        <v>0</v>
      </c>
      <c r="G80" s="11">
        <v>0</v>
      </c>
      <c r="H80" s="12">
        <v>0</v>
      </c>
      <c r="I80" s="13">
        <v>0</v>
      </c>
      <c r="J80" s="12">
        <v>0</v>
      </c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8">SUM(F77:F80)</f>
        <v>0</v>
      </c>
      <c r="G82" s="44">
        <f t="shared" si="8"/>
        <v>130</v>
      </c>
      <c r="H82" s="45">
        <f t="shared" si="8"/>
        <v>246237</v>
      </c>
      <c r="I82" s="45">
        <f t="shared" si="8"/>
        <v>0</v>
      </c>
      <c r="J82" s="45">
        <f t="shared" si="8"/>
        <v>0</v>
      </c>
      <c r="K82" s="45">
        <f t="shared" si="8"/>
        <v>246237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0</v>
      </c>
      <c r="G86" s="11">
        <v>0</v>
      </c>
      <c r="H86" s="12">
        <v>0</v>
      </c>
      <c r="I86" s="13">
        <v>0</v>
      </c>
      <c r="J86" s="12">
        <v>0</v>
      </c>
      <c r="K86" s="14">
        <f t="shared" ref="K86:K97" si="9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0</v>
      </c>
      <c r="I87" s="13">
        <v>0</v>
      </c>
      <c r="J87" s="12">
        <v>0</v>
      </c>
      <c r="K87" s="14">
        <f t="shared" si="9"/>
        <v>0</v>
      </c>
    </row>
    <row r="88" spans="1:11" ht="18" customHeight="1">
      <c r="A88" s="6" t="s">
        <v>104</v>
      </c>
      <c r="B88" s="63" t="s">
        <v>105</v>
      </c>
      <c r="F88" s="11">
        <v>1040</v>
      </c>
      <c r="G88" s="11">
        <v>0</v>
      </c>
      <c r="H88" s="12">
        <v>46285</v>
      </c>
      <c r="I88" s="13">
        <v>22216</v>
      </c>
      <c r="J88" s="12">
        <v>0</v>
      </c>
      <c r="K88" s="14">
        <f t="shared" si="9"/>
        <v>68501</v>
      </c>
    </row>
    <row r="89" spans="1:11" ht="18" customHeight="1">
      <c r="A89" s="6" t="s">
        <v>106</v>
      </c>
      <c r="B89" s="63" t="s">
        <v>107</v>
      </c>
      <c r="F89" s="11">
        <v>0</v>
      </c>
      <c r="G89" s="11">
        <v>0</v>
      </c>
      <c r="H89" s="12">
        <v>0</v>
      </c>
      <c r="I89" s="13">
        <v>0</v>
      </c>
      <c r="J89" s="12">
        <v>0</v>
      </c>
      <c r="K89" s="14">
        <f t="shared" si="9"/>
        <v>0</v>
      </c>
    </row>
    <row r="90" spans="1:11" ht="18" customHeight="1">
      <c r="A90" s="6" t="s">
        <v>108</v>
      </c>
      <c r="B90" s="386" t="s">
        <v>109</v>
      </c>
      <c r="C90" s="356"/>
      <c r="F90" s="11">
        <v>0</v>
      </c>
      <c r="G90" s="11">
        <v>0</v>
      </c>
      <c r="H90" s="12">
        <v>0</v>
      </c>
      <c r="I90" s="13">
        <v>0</v>
      </c>
      <c r="J90" s="12">
        <v>0</v>
      </c>
      <c r="K90" s="14">
        <f t="shared" si="9"/>
        <v>0</v>
      </c>
    </row>
    <row r="91" spans="1:11" ht="18" customHeight="1">
      <c r="A91" s="6" t="s">
        <v>110</v>
      </c>
      <c r="B91" s="63" t="s">
        <v>111</v>
      </c>
      <c r="F91" s="11">
        <v>0</v>
      </c>
      <c r="G91" s="11">
        <v>0</v>
      </c>
      <c r="H91" s="12">
        <v>0</v>
      </c>
      <c r="I91" s="13">
        <v>0</v>
      </c>
      <c r="J91" s="12">
        <v>0</v>
      </c>
      <c r="K91" s="14">
        <f t="shared" si="9"/>
        <v>0</v>
      </c>
    </row>
    <row r="92" spans="1:11" ht="18" customHeight="1">
      <c r="A92" s="6" t="s">
        <v>112</v>
      </c>
      <c r="B92" s="63" t="s">
        <v>113</v>
      </c>
      <c r="F92" s="46">
        <v>12</v>
      </c>
      <c r="G92" s="46">
        <v>0</v>
      </c>
      <c r="H92" s="47">
        <v>33834</v>
      </c>
      <c r="I92" s="13">
        <v>16240</v>
      </c>
      <c r="J92" s="47">
        <v>0</v>
      </c>
      <c r="K92" s="14">
        <f t="shared" si="9"/>
        <v>50074</v>
      </c>
    </row>
    <row r="93" spans="1:11" ht="18" customHeight="1">
      <c r="A93" s="6" t="s">
        <v>114</v>
      </c>
      <c r="B93" s="63" t="s">
        <v>115</v>
      </c>
      <c r="F93" s="11">
        <v>71</v>
      </c>
      <c r="G93" s="11">
        <v>712</v>
      </c>
      <c r="H93" s="12">
        <v>77987</v>
      </c>
      <c r="I93" s="13">
        <v>37433</v>
      </c>
      <c r="J93" s="12">
        <v>15000</v>
      </c>
      <c r="K93" s="14">
        <f t="shared" si="9"/>
        <v>100420</v>
      </c>
    </row>
    <row r="94" spans="1:11" ht="18" customHeight="1">
      <c r="A94" s="6" t="s">
        <v>116</v>
      </c>
      <c r="B94" s="63" t="s">
        <v>85</v>
      </c>
      <c r="F94" s="11">
        <v>0</v>
      </c>
      <c r="G94" s="11">
        <v>0</v>
      </c>
      <c r="H94" s="12">
        <v>0</v>
      </c>
      <c r="I94" s="13">
        <v>0</v>
      </c>
      <c r="J94" s="12">
        <v>0</v>
      </c>
      <c r="K94" s="14">
        <f t="shared" si="9"/>
        <v>0</v>
      </c>
    </row>
    <row r="95" spans="1:11" ht="18" customHeight="1">
      <c r="A95" s="6"/>
      <c r="B95" s="381"/>
      <c r="C95" s="358"/>
      <c r="D95" s="359"/>
      <c r="F95" s="11">
        <v>0</v>
      </c>
      <c r="G95" s="11">
        <v>0</v>
      </c>
      <c r="H95" s="12">
        <v>0</v>
      </c>
      <c r="I95" s="13">
        <v>0</v>
      </c>
      <c r="J95" s="12">
        <v>0</v>
      </c>
      <c r="K95" s="14">
        <f t="shared" si="9"/>
        <v>0</v>
      </c>
    </row>
    <row r="96" spans="1:11" ht="18" customHeight="1">
      <c r="A96" s="6"/>
      <c r="B96" s="381"/>
      <c r="C96" s="358"/>
      <c r="D96" s="359"/>
      <c r="F96" s="11">
        <v>0</v>
      </c>
      <c r="G96" s="11">
        <v>0</v>
      </c>
      <c r="H96" s="12">
        <v>0</v>
      </c>
      <c r="I96" s="13">
        <v>0</v>
      </c>
      <c r="J96" s="12">
        <v>0</v>
      </c>
      <c r="K96" s="14">
        <f t="shared" si="9"/>
        <v>0</v>
      </c>
    </row>
    <row r="97" spans="1:11" ht="18" customHeight="1">
      <c r="A97" s="6"/>
      <c r="B97" s="381"/>
      <c r="C97" s="358"/>
      <c r="D97" s="359"/>
      <c r="F97" s="11">
        <v>0</v>
      </c>
      <c r="G97" s="11">
        <v>0</v>
      </c>
      <c r="H97" s="12">
        <v>0</v>
      </c>
      <c r="I97" s="13">
        <v>0</v>
      </c>
      <c r="J97" s="12">
        <v>0</v>
      </c>
      <c r="K97" s="14">
        <f t="shared" si="9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0">SUM(F86:F97)</f>
        <v>1123</v>
      </c>
      <c r="G99" s="19">
        <f t="shared" si="10"/>
        <v>712</v>
      </c>
      <c r="H99" s="19">
        <f t="shared" si="10"/>
        <v>158106</v>
      </c>
      <c r="I99" s="19">
        <f t="shared" si="10"/>
        <v>75889</v>
      </c>
      <c r="J99" s="19">
        <f t="shared" si="10"/>
        <v>15000</v>
      </c>
      <c r="K99" s="19">
        <f t="shared" si="10"/>
        <v>218995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85</v>
      </c>
      <c r="G103" s="11">
        <v>0</v>
      </c>
      <c r="H103" s="12">
        <v>3398</v>
      </c>
      <c r="I103" s="13">
        <v>1631</v>
      </c>
      <c r="J103" s="12">
        <v>0</v>
      </c>
      <c r="K103" s="14">
        <f t="shared" ref="K103:K108" si="11">(H103+I103)-J103</f>
        <v>5029</v>
      </c>
    </row>
    <row r="104" spans="1:11" ht="18" customHeight="1">
      <c r="A104" s="6" t="s">
        <v>121</v>
      </c>
      <c r="B104" s="386" t="s">
        <v>122</v>
      </c>
      <c r="C104" s="386"/>
      <c r="F104" s="11">
        <v>0</v>
      </c>
      <c r="G104" s="11">
        <v>0</v>
      </c>
      <c r="H104" s="12">
        <v>0</v>
      </c>
      <c r="I104" s="13">
        <v>0</v>
      </c>
      <c r="J104" s="12">
        <v>0</v>
      </c>
      <c r="K104" s="14">
        <f t="shared" si="11"/>
        <v>0</v>
      </c>
    </row>
    <row r="105" spans="1:11" ht="18" customHeight="1">
      <c r="A105" s="6" t="s">
        <v>123</v>
      </c>
      <c r="B105" s="2" t="s">
        <v>124</v>
      </c>
      <c r="F105" s="11">
        <v>0</v>
      </c>
      <c r="G105" s="11">
        <v>0</v>
      </c>
      <c r="H105" s="12">
        <v>0</v>
      </c>
      <c r="I105" s="13">
        <v>0</v>
      </c>
      <c r="J105" s="12">
        <v>0</v>
      </c>
      <c r="K105" s="14">
        <f t="shared" si="11"/>
        <v>0</v>
      </c>
    </row>
    <row r="106" spans="1:11" ht="18" customHeight="1">
      <c r="A106" s="6" t="s">
        <v>125</v>
      </c>
      <c r="B106" s="381"/>
      <c r="C106" s="358"/>
      <c r="D106" s="359"/>
      <c r="F106" s="11">
        <v>0</v>
      </c>
      <c r="G106" s="11">
        <v>0</v>
      </c>
      <c r="H106" s="12">
        <v>600</v>
      </c>
      <c r="I106" s="13">
        <v>288</v>
      </c>
      <c r="J106" s="12">
        <v>0</v>
      </c>
      <c r="K106" s="14">
        <f t="shared" si="11"/>
        <v>888</v>
      </c>
    </row>
    <row r="107" spans="1:11" ht="18" customHeight="1">
      <c r="A107" s="6" t="s">
        <v>126</v>
      </c>
      <c r="B107" s="381"/>
      <c r="C107" s="358"/>
      <c r="D107" s="359"/>
      <c r="F107" s="11">
        <v>0</v>
      </c>
      <c r="G107" s="11">
        <v>0</v>
      </c>
      <c r="H107" s="12">
        <v>0</v>
      </c>
      <c r="I107" s="13">
        <v>0</v>
      </c>
      <c r="J107" s="12">
        <v>0</v>
      </c>
      <c r="K107" s="14">
        <f t="shared" si="11"/>
        <v>0</v>
      </c>
    </row>
    <row r="108" spans="1:11" ht="18" customHeight="1">
      <c r="A108" s="6" t="s">
        <v>127</v>
      </c>
      <c r="B108" s="381"/>
      <c r="C108" s="358"/>
      <c r="D108" s="359"/>
      <c r="F108" s="11">
        <v>0</v>
      </c>
      <c r="G108" s="11">
        <v>0</v>
      </c>
      <c r="H108" s="12">
        <v>0</v>
      </c>
      <c r="I108" s="13">
        <v>0</v>
      </c>
      <c r="J108" s="12">
        <v>0</v>
      </c>
      <c r="K108" s="14">
        <f t="shared" si="11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2">SUM(F103:F108)</f>
        <v>85</v>
      </c>
      <c r="G110" s="19">
        <f t="shared" si="12"/>
        <v>0</v>
      </c>
      <c r="H110" s="14">
        <f t="shared" si="12"/>
        <v>3998</v>
      </c>
      <c r="I110" s="14">
        <f t="shared" si="12"/>
        <v>1919</v>
      </c>
      <c r="J110" s="14">
        <f t="shared" si="12"/>
        <v>0</v>
      </c>
      <c r="K110" s="14">
        <f t="shared" si="12"/>
        <v>5917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8141892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0.48441159404907774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389727831</v>
      </c>
    </row>
    <row r="120" spans="1:6" ht="18" customHeight="1">
      <c r="B120" s="2" t="s">
        <v>137</v>
      </c>
      <c r="F120" s="12">
        <v>12682547</v>
      </c>
    </row>
    <row r="121" spans="1:6" ht="18" customHeight="1">
      <c r="A121" s="6"/>
      <c r="B121" s="5" t="s">
        <v>138</v>
      </c>
      <c r="F121" s="12">
        <v>402410378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392085514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+F121-F123</f>
        <v>10324864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-3504021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+F125+F127</f>
        <v>6820843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3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3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3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3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3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3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4">SUM(F133:F138)</f>
        <v>0</v>
      </c>
      <c r="G140" s="19">
        <f t="shared" si="14"/>
        <v>0</v>
      </c>
      <c r="H140" s="14">
        <f t="shared" si="14"/>
        <v>0</v>
      </c>
      <c r="I140" s="14">
        <f t="shared" si="14"/>
        <v>0</v>
      </c>
      <c r="J140" s="14">
        <f t="shared" si="14"/>
        <v>0</v>
      </c>
      <c r="K140" s="14">
        <f t="shared" si="14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5">F34</f>
        <v>1302.5</v>
      </c>
      <c r="G144" s="54">
        <f t="shared" si="15"/>
        <v>349669</v>
      </c>
      <c r="H144" s="54">
        <f t="shared" si="15"/>
        <v>1559289</v>
      </c>
      <c r="I144" s="54">
        <f t="shared" si="15"/>
        <v>748455</v>
      </c>
      <c r="J144" s="54">
        <f t="shared" si="15"/>
        <v>8625</v>
      </c>
      <c r="K144" s="54">
        <f t="shared" si="15"/>
        <v>2299119</v>
      </c>
    </row>
    <row r="145" spans="1:11" ht="18" customHeight="1">
      <c r="A145" s="6" t="s">
        <v>162</v>
      </c>
      <c r="B145" s="5" t="s">
        <v>163</v>
      </c>
      <c r="F145" s="54">
        <f t="shared" ref="F145:K145" si="16">F48</f>
        <v>261</v>
      </c>
      <c r="G145" s="54">
        <f t="shared" si="16"/>
        <v>1098</v>
      </c>
      <c r="H145" s="54">
        <f t="shared" si="16"/>
        <v>11125443</v>
      </c>
      <c r="I145" s="54">
        <f t="shared" si="16"/>
        <v>5340213</v>
      </c>
      <c r="J145" s="54">
        <f t="shared" si="16"/>
        <v>0</v>
      </c>
      <c r="K145" s="54">
        <f t="shared" si="16"/>
        <v>16465656</v>
      </c>
    </row>
    <row r="146" spans="1:11" ht="18" customHeight="1">
      <c r="A146" s="6" t="s">
        <v>164</v>
      </c>
      <c r="B146" s="5" t="s">
        <v>165</v>
      </c>
      <c r="F146" s="54">
        <f t="shared" ref="F146:K146" si="17">F63</f>
        <v>0</v>
      </c>
      <c r="G146" s="54">
        <f t="shared" si="17"/>
        <v>0</v>
      </c>
      <c r="H146" s="54">
        <f t="shared" si="17"/>
        <v>14124797.23</v>
      </c>
      <c r="I146" s="54">
        <f t="shared" si="17"/>
        <v>967353.18000000063</v>
      </c>
      <c r="J146" s="54">
        <f t="shared" si="17"/>
        <v>10167058.33</v>
      </c>
      <c r="K146" s="54">
        <f t="shared" si="17"/>
        <v>4925092.080000001</v>
      </c>
    </row>
    <row r="147" spans="1:11" ht="18" customHeight="1">
      <c r="A147" s="6" t="s">
        <v>166</v>
      </c>
      <c r="B147" s="5" t="s">
        <v>167</v>
      </c>
      <c r="F147" s="54">
        <f t="shared" ref="F147:K147" si="18">F74</f>
        <v>3710</v>
      </c>
      <c r="G147" s="54">
        <f t="shared" si="18"/>
        <v>0</v>
      </c>
      <c r="H147" s="54">
        <f t="shared" si="18"/>
        <v>276173</v>
      </c>
      <c r="I147" s="54">
        <f t="shared" si="18"/>
        <v>0</v>
      </c>
      <c r="J147" s="54">
        <f t="shared" si="18"/>
        <v>0</v>
      </c>
      <c r="K147" s="54">
        <f t="shared" si="18"/>
        <v>276173</v>
      </c>
    </row>
    <row r="148" spans="1:11" ht="18" customHeight="1">
      <c r="A148" s="6" t="s">
        <v>168</v>
      </c>
      <c r="B148" s="5" t="s">
        <v>169</v>
      </c>
      <c r="F148" s="54">
        <f t="shared" ref="F148:K148" si="19">F82</f>
        <v>0</v>
      </c>
      <c r="G148" s="54">
        <f t="shared" si="19"/>
        <v>130</v>
      </c>
      <c r="H148" s="54">
        <f t="shared" si="19"/>
        <v>246237</v>
      </c>
      <c r="I148" s="54">
        <f t="shared" si="19"/>
        <v>0</v>
      </c>
      <c r="J148" s="54">
        <f t="shared" si="19"/>
        <v>0</v>
      </c>
      <c r="K148" s="54">
        <f t="shared" si="19"/>
        <v>246237</v>
      </c>
    </row>
    <row r="149" spans="1:11" ht="18" customHeight="1">
      <c r="A149" s="6" t="s">
        <v>170</v>
      </c>
      <c r="B149" s="5" t="s">
        <v>171</v>
      </c>
      <c r="F149" s="54">
        <f t="shared" ref="F149:K149" si="20">F99</f>
        <v>1123</v>
      </c>
      <c r="G149" s="54">
        <f t="shared" si="20"/>
        <v>712</v>
      </c>
      <c r="H149" s="54">
        <f t="shared" si="20"/>
        <v>158106</v>
      </c>
      <c r="I149" s="54">
        <f t="shared" si="20"/>
        <v>75889</v>
      </c>
      <c r="J149" s="54">
        <f t="shared" si="20"/>
        <v>15000</v>
      </c>
      <c r="K149" s="54">
        <f t="shared" si="20"/>
        <v>218995</v>
      </c>
    </row>
    <row r="150" spans="1:11" ht="18" customHeight="1">
      <c r="A150" s="6" t="s">
        <v>172</v>
      </c>
      <c r="B150" s="5" t="s">
        <v>173</v>
      </c>
      <c r="F150" s="19">
        <f t="shared" ref="F150:K150" si="21">F110</f>
        <v>85</v>
      </c>
      <c r="G150" s="19">
        <f t="shared" si="21"/>
        <v>0</v>
      </c>
      <c r="H150" s="19">
        <f t="shared" si="21"/>
        <v>3998</v>
      </c>
      <c r="I150" s="19">
        <f t="shared" si="21"/>
        <v>1919</v>
      </c>
      <c r="J150" s="19">
        <f t="shared" si="21"/>
        <v>0</v>
      </c>
      <c r="K150" s="19">
        <f t="shared" si="21"/>
        <v>5917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8141892</v>
      </c>
    </row>
    <row r="152" spans="1:11" ht="18" customHeight="1">
      <c r="A152" s="6" t="s">
        <v>147</v>
      </c>
      <c r="B152" s="5" t="s">
        <v>177</v>
      </c>
      <c r="F152" s="19">
        <f t="shared" ref="F152:K152" si="22">F140</f>
        <v>0</v>
      </c>
      <c r="G152" s="19">
        <f t="shared" si="22"/>
        <v>0</v>
      </c>
      <c r="H152" s="19">
        <f t="shared" si="22"/>
        <v>0</v>
      </c>
      <c r="I152" s="19">
        <f t="shared" si="22"/>
        <v>0</v>
      </c>
      <c r="J152" s="19">
        <f t="shared" si="22"/>
        <v>0</v>
      </c>
      <c r="K152" s="19">
        <f t="shared" si="22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3">SUM(F144:F152)</f>
        <v>6481.5</v>
      </c>
      <c r="G154" s="60">
        <f t="shared" si="23"/>
        <v>351609</v>
      </c>
      <c r="H154" s="60">
        <f t="shared" si="23"/>
        <v>27494043.23</v>
      </c>
      <c r="I154" s="60">
        <f t="shared" si="23"/>
        <v>7133829.1800000006</v>
      </c>
      <c r="J154" s="60">
        <f t="shared" si="23"/>
        <v>10190683.33</v>
      </c>
      <c r="K154" s="61">
        <f t="shared" si="23"/>
        <v>32579081.080000002</v>
      </c>
    </row>
    <row r="156" spans="1:11" ht="18" customHeight="1">
      <c r="B156" s="5" t="s">
        <v>178</v>
      </c>
      <c r="F156" s="291">
        <f>K154/F123</f>
        <v>8.3091774413272521E-2</v>
      </c>
    </row>
    <row r="157" spans="1:11" ht="18" customHeight="1">
      <c r="B157" s="5" t="s">
        <v>179</v>
      </c>
      <c r="F157" s="291">
        <f>K154/F129</f>
        <v>4.7764009639277729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C10:G10"/>
    <mergeCell ref="C11:G11"/>
    <mergeCell ref="B13:H13"/>
    <mergeCell ref="B28:D28"/>
    <mergeCell ref="D2:H2"/>
    <mergeCell ref="C5:G5"/>
    <mergeCell ref="C6:G6"/>
    <mergeCell ref="C7:G7"/>
    <mergeCell ref="C9:G9"/>
    <mergeCell ref="B29:D29"/>
    <mergeCell ref="B32:D32"/>
    <mergeCell ref="B95:D95"/>
    <mergeCell ref="B44:D44"/>
    <mergeCell ref="B45:D45"/>
    <mergeCell ref="B46:D46"/>
    <mergeCell ref="B51:C51"/>
    <mergeCell ref="B52:D52"/>
    <mergeCell ref="B54:D54"/>
    <mergeCell ref="B55:D55"/>
    <mergeCell ref="B39:C39"/>
    <mergeCell ref="B56:D56"/>
    <mergeCell ref="B58:D58"/>
    <mergeCell ref="B61:D61"/>
    <mergeCell ref="B90:C90"/>
    <mergeCell ref="B136:D136"/>
    <mergeCell ref="B138:D138"/>
    <mergeCell ref="B96:D96"/>
    <mergeCell ref="B97:D97"/>
    <mergeCell ref="B104:C104"/>
    <mergeCell ref="B106:D106"/>
    <mergeCell ref="B107:D107"/>
    <mergeCell ref="B108:D108"/>
    <mergeCell ref="B137:D137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619</v>
      </c>
      <c r="D5" s="363"/>
      <c r="E5" s="363"/>
      <c r="F5" s="363"/>
      <c r="G5" s="364"/>
    </row>
    <row r="6" spans="1:11" ht="18" customHeight="1">
      <c r="B6" s="6" t="s">
        <v>4</v>
      </c>
      <c r="C6" s="435">
        <v>49</v>
      </c>
      <c r="D6" s="436"/>
      <c r="E6" s="436"/>
      <c r="F6" s="436"/>
      <c r="G6" s="437"/>
    </row>
    <row r="7" spans="1:11" ht="18" customHeight="1">
      <c r="B7" s="6" t="s">
        <v>5</v>
      </c>
      <c r="C7" s="438">
        <v>1724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305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304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303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205.73</v>
      </c>
      <c r="G18" s="11">
        <v>2884.7</v>
      </c>
      <c r="H18" s="11">
        <v>62319.642</v>
      </c>
      <c r="I18" s="13">
        <f t="shared" ref="I18:I32" si="0">H18*F$116</f>
        <v>35075.917569106969</v>
      </c>
      <c r="J18" s="11">
        <v>682.5</v>
      </c>
      <c r="K18" s="14">
        <f t="shared" ref="K18:K32" si="1">(H18+I18)-J18</f>
        <v>96713.059569106961</v>
      </c>
    </row>
    <row r="19" spans="1:11" ht="18" customHeight="1">
      <c r="A19" s="6"/>
      <c r="B19" s="2" t="s">
        <v>23</v>
      </c>
      <c r="F19" s="11">
        <v>13.65</v>
      </c>
      <c r="G19" s="11">
        <v>42.7</v>
      </c>
      <c r="H19" s="11">
        <v>327.60000000000002</v>
      </c>
      <c r="I19" s="13">
        <f t="shared" si="0"/>
        <v>184.38601742351867</v>
      </c>
      <c r="J19" s="11">
        <v>0</v>
      </c>
      <c r="K19" s="14">
        <f t="shared" si="1"/>
        <v>511.98601742351866</v>
      </c>
    </row>
    <row r="20" spans="1:11" ht="18" customHeight="1">
      <c r="A20" s="6"/>
      <c r="B20" s="2" t="s">
        <v>24</v>
      </c>
      <c r="F20" s="11">
        <v>35.35</v>
      </c>
      <c r="G20" s="11">
        <v>402.5</v>
      </c>
      <c r="H20" s="11">
        <v>2708.5519999999997</v>
      </c>
      <c r="I20" s="13">
        <f t="shared" si="0"/>
        <v>1524.478376875782</v>
      </c>
      <c r="J20" s="11">
        <v>0</v>
      </c>
      <c r="K20" s="14">
        <f t="shared" si="1"/>
        <v>4233.0303768757822</v>
      </c>
    </row>
    <row r="21" spans="1:11" ht="18" customHeight="1">
      <c r="A21" s="6" t="s">
        <v>25</v>
      </c>
      <c r="B21" s="2" t="s">
        <v>26</v>
      </c>
      <c r="F21" s="11">
        <v>0</v>
      </c>
      <c r="G21" s="11">
        <v>0</v>
      </c>
      <c r="H21" s="11">
        <v>0</v>
      </c>
      <c r="I21" s="13">
        <f t="shared" si="0"/>
        <v>0</v>
      </c>
      <c r="J21" s="11">
        <v>0</v>
      </c>
      <c r="K21" s="14">
        <f t="shared" si="1"/>
        <v>0</v>
      </c>
    </row>
    <row r="22" spans="1:11" ht="18" customHeight="1">
      <c r="A22" s="6"/>
      <c r="B22" s="2" t="s">
        <v>27</v>
      </c>
      <c r="F22" s="11">
        <v>621.14499999999998</v>
      </c>
      <c r="G22" s="11">
        <v>4707.5</v>
      </c>
      <c r="H22" s="11">
        <v>25648.328999999998</v>
      </c>
      <c r="I22" s="13">
        <f t="shared" si="0"/>
        <v>14435.876794499811</v>
      </c>
      <c r="J22" s="11">
        <v>1925.9939999999999</v>
      </c>
      <c r="K22" s="14">
        <f t="shared" si="1"/>
        <v>38158.21179449981</v>
      </c>
    </row>
    <row r="23" spans="1:11" ht="18" customHeight="1">
      <c r="A23" s="6"/>
      <c r="B23" s="2" t="s">
        <v>28</v>
      </c>
      <c r="F23" s="11">
        <v>324.45</v>
      </c>
      <c r="G23" s="11">
        <v>3051.3</v>
      </c>
      <c r="H23" s="11">
        <v>66562.761999999988</v>
      </c>
      <c r="I23" s="13">
        <f t="shared" si="0"/>
        <v>37464.110481958247</v>
      </c>
      <c r="J23" s="11">
        <v>67773.243999999992</v>
      </c>
      <c r="K23" s="14">
        <f t="shared" si="1"/>
        <v>36253.628481958251</v>
      </c>
    </row>
    <row r="24" spans="1:11" ht="18" customHeight="1">
      <c r="A24" s="6"/>
      <c r="B24" s="2" t="s">
        <v>29</v>
      </c>
      <c r="F24" s="11">
        <v>824.46</v>
      </c>
      <c r="G24" s="11">
        <v>2195.1999999999998</v>
      </c>
      <c r="H24" s="11">
        <v>251318.57799999998</v>
      </c>
      <c r="I24" s="13">
        <f t="shared" si="0"/>
        <v>141451.867222106</v>
      </c>
      <c r="J24" s="11">
        <v>5531.9179999999997</v>
      </c>
      <c r="K24" s="14">
        <f t="shared" si="1"/>
        <v>387238.52722210594</v>
      </c>
    </row>
    <row r="25" spans="1:11" ht="18" customHeight="1">
      <c r="A25" s="6"/>
      <c r="B25" s="2" t="s">
        <v>30</v>
      </c>
      <c r="F25" s="11">
        <v>0</v>
      </c>
      <c r="G25" s="11">
        <v>0</v>
      </c>
      <c r="H25" s="11">
        <v>3481.1909999999998</v>
      </c>
      <c r="I25" s="13">
        <f t="shared" si="0"/>
        <v>1959.3496470714172</v>
      </c>
      <c r="J25" s="11">
        <v>0</v>
      </c>
      <c r="K25" s="14">
        <f t="shared" si="1"/>
        <v>5440.540647071417</v>
      </c>
    </row>
    <row r="26" spans="1:11" ht="18" customHeight="1">
      <c r="A26" s="6" t="s">
        <v>31</v>
      </c>
      <c r="B26" s="2" t="s">
        <v>32</v>
      </c>
      <c r="F26" s="11">
        <v>0</v>
      </c>
      <c r="G26" s="11">
        <v>0</v>
      </c>
      <c r="H26" s="11">
        <v>1416.1489999999999</v>
      </c>
      <c r="I26" s="13">
        <f t="shared" si="0"/>
        <v>797.06371852349969</v>
      </c>
      <c r="J26" s="11">
        <v>0</v>
      </c>
      <c r="K26" s="14">
        <f t="shared" si="1"/>
        <v>2213.2127185234995</v>
      </c>
    </row>
    <row r="27" spans="1:11" ht="18" customHeight="1">
      <c r="A27" s="6" t="s">
        <v>33</v>
      </c>
      <c r="B27" s="63" t="s">
        <v>34</v>
      </c>
      <c r="F27" s="11">
        <v>0</v>
      </c>
      <c r="G27" s="11">
        <v>0</v>
      </c>
      <c r="H27" s="11">
        <v>0</v>
      </c>
      <c r="I27" s="13">
        <f t="shared" si="0"/>
        <v>0</v>
      </c>
      <c r="J27" s="11">
        <v>0</v>
      </c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1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1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1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2024.7850000000001</v>
      </c>
      <c r="G34" s="19">
        <f t="shared" si="2"/>
        <v>13283.900000000001</v>
      </c>
      <c r="H34" s="14">
        <f t="shared" si="2"/>
        <v>413782.80299999996</v>
      </c>
      <c r="I34" s="14">
        <f t="shared" si="2"/>
        <v>232893.04982756526</v>
      </c>
      <c r="J34" s="14">
        <f t="shared" si="2"/>
        <v>75913.656000000003</v>
      </c>
      <c r="K34" s="14">
        <f t="shared" si="2"/>
        <v>570762.19682756509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1"/>
      <c r="I38" s="13">
        <v>0</v>
      </c>
      <c r="J38" s="11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1"/>
      <c r="I39" s="13">
        <v>0</v>
      </c>
      <c r="J39" s="11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1"/>
      <c r="I40" s="13">
        <v>0</v>
      </c>
      <c r="J40" s="11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1"/>
      <c r="I41" s="13">
        <v>0</v>
      </c>
      <c r="J41" s="11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1"/>
      <c r="I42" s="13">
        <v>0</v>
      </c>
      <c r="J42" s="11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1"/>
      <c r="I43" s="13">
        <v>0</v>
      </c>
      <c r="J43" s="11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0</v>
      </c>
      <c r="G48" s="25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618</v>
      </c>
      <c r="C52" s="385"/>
      <c r="D52" s="359"/>
      <c r="F52" s="11"/>
      <c r="G52" s="11"/>
      <c r="H52" s="12">
        <v>402063</v>
      </c>
      <c r="I52" s="13">
        <f>H52*F116</f>
        <v>226296.68902122154</v>
      </c>
      <c r="J52" s="12"/>
      <c r="K52" s="14">
        <f t="shared" ref="K52:K61" si="5">(H52+I52)-J52</f>
        <v>628359.68902122159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0</v>
      </c>
      <c r="G63" s="19">
        <f t="shared" si="6"/>
        <v>0</v>
      </c>
      <c r="H63" s="14">
        <f t="shared" si="6"/>
        <v>402063</v>
      </c>
      <c r="I63" s="14">
        <f t="shared" si="6"/>
        <v>226296.68902122154</v>
      </c>
      <c r="J63" s="14">
        <f t="shared" si="6"/>
        <v>0</v>
      </c>
      <c r="K63" s="14">
        <f t="shared" si="6"/>
        <v>628359.68902122159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11"/>
      <c r="G67" s="11"/>
      <c r="H67" s="11"/>
      <c r="I67" s="13">
        <v>0</v>
      </c>
      <c r="J67" s="11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11"/>
      <c r="G68" s="11"/>
      <c r="H68" s="11"/>
      <c r="I68" s="13">
        <v>0</v>
      </c>
      <c r="J68" s="11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1"/>
      <c r="I69" s="13">
        <v>0</v>
      </c>
      <c r="J69" s="11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1"/>
      <c r="I77" s="13">
        <v>0</v>
      </c>
      <c r="J77" s="11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1"/>
      <c r="I78" s="13">
        <v>0</v>
      </c>
      <c r="J78" s="11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1"/>
      <c r="I79" s="13">
        <v>0</v>
      </c>
      <c r="J79" s="11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1"/>
      <c r="I80" s="13">
        <v>0</v>
      </c>
      <c r="J80" s="11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0</v>
      </c>
      <c r="I82" s="45">
        <f t="shared" si="9"/>
        <v>0</v>
      </c>
      <c r="J82" s="45">
        <f t="shared" si="9"/>
        <v>0</v>
      </c>
      <c r="K82" s="45">
        <f t="shared" si="9"/>
        <v>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1"/>
      <c r="I86" s="13">
        <f t="shared" ref="I86:I97" si="10">H86*F$116</f>
        <v>0</v>
      </c>
      <c r="J86" s="11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1"/>
      <c r="I87" s="13">
        <f t="shared" si="10"/>
        <v>0</v>
      </c>
      <c r="J87" s="11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1"/>
      <c r="I88" s="13">
        <f t="shared" si="10"/>
        <v>0</v>
      </c>
      <c r="J88" s="11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1"/>
      <c r="I89" s="13">
        <f t="shared" si="10"/>
        <v>0</v>
      </c>
      <c r="J89" s="11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1"/>
      <c r="I90" s="13">
        <f t="shared" si="10"/>
        <v>0</v>
      </c>
      <c r="J90" s="11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1"/>
      <c r="I91" s="13">
        <f t="shared" si="10"/>
        <v>0</v>
      </c>
      <c r="J91" s="11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11"/>
      <c r="G92" s="11"/>
      <c r="H92" s="11"/>
      <c r="I92" s="13">
        <f t="shared" si="10"/>
        <v>0</v>
      </c>
      <c r="J92" s="11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1"/>
      <c r="I93" s="13">
        <f t="shared" si="10"/>
        <v>0</v>
      </c>
      <c r="J93" s="11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1"/>
      <c r="I94" s="13">
        <f t="shared" si="10"/>
        <v>0</v>
      </c>
      <c r="J94" s="11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0</v>
      </c>
      <c r="G99" s="19">
        <f t="shared" si="12"/>
        <v>0</v>
      </c>
      <c r="H99" s="19">
        <f t="shared" si="12"/>
        <v>0</v>
      </c>
      <c r="I99" s="19">
        <f t="shared" si="12"/>
        <v>0</v>
      </c>
      <c r="J99" s="19">
        <f t="shared" si="12"/>
        <v>0</v>
      </c>
      <c r="K99" s="19">
        <f t="shared" si="12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355.95</v>
      </c>
      <c r="G103" s="11">
        <v>0</v>
      </c>
      <c r="H103" s="11">
        <v>9231.6979999999985</v>
      </c>
      <c r="I103" s="13">
        <f t="shared" ref="I103:I108" si="13">H103*F$116</f>
        <v>5195.9585722730826</v>
      </c>
      <c r="J103" s="11"/>
      <c r="K103" s="14">
        <f t="shared" ref="K103:K108" si="14">(H103+I103)-J103</f>
        <v>14427.656572273081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1"/>
      <c r="I104" s="13">
        <f t="shared" si="13"/>
        <v>0</v>
      </c>
      <c r="J104" s="11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1"/>
      <c r="I105" s="13">
        <f t="shared" si="13"/>
        <v>0</v>
      </c>
      <c r="J105" s="11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355.95</v>
      </c>
      <c r="G110" s="19">
        <f t="shared" si="15"/>
        <v>0</v>
      </c>
      <c r="H110" s="14">
        <f t="shared" si="15"/>
        <v>9231.6979999999985</v>
      </c>
      <c r="I110" s="14">
        <f t="shared" si="15"/>
        <v>5195.9585722730826</v>
      </c>
      <c r="J110" s="14">
        <f t="shared" si="15"/>
        <v>0</v>
      </c>
      <c r="K110" s="14">
        <f t="shared" si="15"/>
        <v>14427.656572273081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2045004.31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0.56283888102417168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1">
        <v>179987000</v>
      </c>
    </row>
    <row r="120" spans="1:6" ht="18" customHeight="1">
      <c r="B120" s="2" t="s">
        <v>137</v>
      </c>
      <c r="F120" s="11">
        <v>2866000</v>
      </c>
    </row>
    <row r="121" spans="1:6" ht="18" customHeight="1">
      <c r="A121" s="6"/>
      <c r="B121" s="5" t="s">
        <v>138</v>
      </c>
      <c r="F121" s="11">
        <v>182853000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1">
        <v>179314000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1">
        <v>3539000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1">
        <v>-49736000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1">
        <v>-46197000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1"/>
      <c r="I133" s="13">
        <v>0</v>
      </c>
      <c r="J133" s="11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1"/>
      <c r="I134" s="13">
        <v>0</v>
      </c>
      <c r="J134" s="11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1"/>
      <c r="I135" s="13">
        <v>0</v>
      </c>
      <c r="J135" s="11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2024.7850000000001</v>
      </c>
      <c r="G144" s="54">
        <f t="shared" si="18"/>
        <v>13283.900000000001</v>
      </c>
      <c r="H144" s="54">
        <f t="shared" si="18"/>
        <v>413782.80299999996</v>
      </c>
      <c r="I144" s="54">
        <f t="shared" si="18"/>
        <v>232893.04982756526</v>
      </c>
      <c r="J144" s="54">
        <f t="shared" si="18"/>
        <v>75913.656000000003</v>
      </c>
      <c r="K144" s="54">
        <f t="shared" si="18"/>
        <v>570762.19682756509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0</v>
      </c>
      <c r="G145" s="54">
        <f t="shared" si="19"/>
        <v>0</v>
      </c>
      <c r="H145" s="54">
        <f t="shared" si="19"/>
        <v>0</v>
      </c>
      <c r="I145" s="54">
        <f t="shared" si="19"/>
        <v>0</v>
      </c>
      <c r="J145" s="54">
        <f t="shared" si="19"/>
        <v>0</v>
      </c>
      <c r="K145" s="54">
        <f t="shared" si="19"/>
        <v>0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0</v>
      </c>
      <c r="G146" s="54">
        <f t="shared" si="20"/>
        <v>0</v>
      </c>
      <c r="H146" s="54">
        <f t="shared" si="20"/>
        <v>402063</v>
      </c>
      <c r="I146" s="54">
        <f t="shared" si="20"/>
        <v>226296.68902122154</v>
      </c>
      <c r="J146" s="54">
        <f t="shared" si="20"/>
        <v>0</v>
      </c>
      <c r="K146" s="54">
        <f t="shared" si="20"/>
        <v>628359.68902122159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0</v>
      </c>
      <c r="I148" s="54">
        <f t="shared" si="22"/>
        <v>0</v>
      </c>
      <c r="J148" s="54">
        <f t="shared" si="22"/>
        <v>0</v>
      </c>
      <c r="K148" s="54">
        <f t="shared" si="22"/>
        <v>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0</v>
      </c>
      <c r="G149" s="54">
        <f t="shared" si="23"/>
        <v>0</v>
      </c>
      <c r="H149" s="54">
        <f t="shared" si="23"/>
        <v>0</v>
      </c>
      <c r="I149" s="54">
        <f t="shared" si="23"/>
        <v>0</v>
      </c>
      <c r="J149" s="54">
        <f t="shared" si="23"/>
        <v>0</v>
      </c>
      <c r="K149" s="54">
        <f t="shared" si="23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355.95</v>
      </c>
      <c r="G150" s="19">
        <f t="shared" si="24"/>
        <v>0</v>
      </c>
      <c r="H150" s="19">
        <f t="shared" si="24"/>
        <v>9231.6979999999985</v>
      </c>
      <c r="I150" s="19">
        <f t="shared" si="24"/>
        <v>5195.9585722730826</v>
      </c>
      <c r="J150" s="19">
        <f t="shared" si="24"/>
        <v>0</v>
      </c>
      <c r="K150" s="19">
        <f t="shared" si="24"/>
        <v>14427.656572273081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2045004.31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2380.7350000000001</v>
      </c>
      <c r="G154" s="60">
        <f t="shared" si="26"/>
        <v>13283.900000000001</v>
      </c>
      <c r="H154" s="60">
        <f t="shared" si="26"/>
        <v>825077.50099999993</v>
      </c>
      <c r="I154" s="60">
        <f t="shared" si="26"/>
        <v>464385.69742105989</v>
      </c>
      <c r="J154" s="60">
        <f t="shared" si="26"/>
        <v>75913.656000000003</v>
      </c>
      <c r="K154" s="61">
        <f t="shared" si="26"/>
        <v>3258553.8524210597</v>
      </c>
    </row>
    <row r="156" spans="1:11" ht="18" customHeight="1">
      <c r="B156" s="5" t="s">
        <v>178</v>
      </c>
      <c r="F156" s="233">
        <f>K154/F123</f>
        <v>1.8172333740929653E-2</v>
      </c>
    </row>
    <row r="157" spans="1:11" ht="18" customHeight="1">
      <c r="B157" s="5" t="s">
        <v>179</v>
      </c>
      <c r="F157" s="233">
        <f>K154/F129</f>
        <v>-7.0536048930040035E-2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65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623</v>
      </c>
      <c r="D5" s="363"/>
      <c r="E5" s="363"/>
      <c r="F5" s="363"/>
      <c r="G5" s="364"/>
    </row>
    <row r="6" spans="1:11" ht="18" customHeight="1">
      <c r="B6" s="6" t="s">
        <v>4</v>
      </c>
      <c r="C6" s="435">
        <v>16</v>
      </c>
      <c r="D6" s="436"/>
      <c r="E6" s="436"/>
      <c r="F6" s="436"/>
      <c r="G6" s="437"/>
    </row>
    <row r="7" spans="1:11" ht="18" customHeight="1">
      <c r="B7" s="6" t="s">
        <v>5</v>
      </c>
      <c r="C7" s="438">
        <v>1550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522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521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520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43571.925904574935</v>
      </c>
      <c r="G18" s="11">
        <v>10108.5</v>
      </c>
      <c r="H18" s="12">
        <v>1680230.9720000003</v>
      </c>
      <c r="I18" s="13">
        <f t="shared" ref="I18:I32" si="0">H18*F$116</f>
        <v>899287.14434607734</v>
      </c>
      <c r="J18" s="12">
        <v>191323.47400000002</v>
      </c>
      <c r="K18" s="14">
        <f t="shared" ref="K18:K32" si="1">(H18+I18)-J18</f>
        <v>2388194.6423460776</v>
      </c>
    </row>
    <row r="19" spans="1:11" ht="18" customHeight="1">
      <c r="A19" s="6"/>
      <c r="B19" s="2" t="s">
        <v>23</v>
      </c>
      <c r="F19" s="11"/>
      <c r="G19" s="11"/>
      <c r="H19" s="12"/>
      <c r="I19" s="13">
        <f t="shared" si="0"/>
        <v>0</v>
      </c>
      <c r="J19" s="12"/>
      <c r="K19" s="14">
        <f t="shared" si="1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si="0"/>
        <v>0</v>
      </c>
      <c r="J20" s="12"/>
      <c r="K20" s="14">
        <f t="shared" si="1"/>
        <v>0</v>
      </c>
    </row>
    <row r="21" spans="1:11" ht="18" customHeight="1">
      <c r="A21" s="6" t="s">
        <v>25</v>
      </c>
      <c r="B21" s="2" t="s">
        <v>26</v>
      </c>
      <c r="F21" s="11">
        <v>7424.2773333333334</v>
      </c>
      <c r="G21" s="11">
        <v>2047</v>
      </c>
      <c r="H21" s="12">
        <v>180133.80475000001</v>
      </c>
      <c r="I21" s="13">
        <f t="shared" si="0"/>
        <v>96410.563531631735</v>
      </c>
      <c r="J21" s="12">
        <v>84681.650250000006</v>
      </c>
      <c r="K21" s="14">
        <f t="shared" si="1"/>
        <v>191862.71803163172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0"/>
        <v>0</v>
      </c>
      <c r="J22" s="12"/>
      <c r="K22" s="14">
        <f t="shared" si="1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6933.1012084443128</v>
      </c>
      <c r="G26" s="11">
        <v>3774.1012084443128</v>
      </c>
      <c r="H26" s="12">
        <v>1278763.2542000001</v>
      </c>
      <c r="I26" s="13">
        <f t="shared" si="0"/>
        <v>684415.04431702313</v>
      </c>
      <c r="J26" s="12">
        <v>1133</v>
      </c>
      <c r="K26" s="14">
        <f t="shared" si="1"/>
        <v>1962045.2985170232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 t="s">
        <v>519</v>
      </c>
      <c r="C28" s="379"/>
      <c r="D28" s="380"/>
      <c r="F28" s="11">
        <v>3054.1619999999998</v>
      </c>
      <c r="G28" s="11">
        <v>8472.6907299999984</v>
      </c>
      <c r="H28" s="12">
        <v>57024.065750000002</v>
      </c>
      <c r="I28" s="13">
        <f t="shared" si="0"/>
        <v>30520.214245473657</v>
      </c>
      <c r="J28" s="12">
        <v>11314.04075</v>
      </c>
      <c r="K28" s="14">
        <f t="shared" si="1"/>
        <v>76230.239245473655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60983.466446352577</v>
      </c>
      <c r="G34" s="19">
        <f t="shared" si="2"/>
        <v>24402.291938444312</v>
      </c>
      <c r="H34" s="14">
        <f t="shared" si="2"/>
        <v>3196152.0967000006</v>
      </c>
      <c r="I34" s="14">
        <f t="shared" si="2"/>
        <v>1710632.9664402059</v>
      </c>
      <c r="J34" s="14">
        <f t="shared" si="2"/>
        <v>288452.16499999998</v>
      </c>
      <c r="K34" s="14">
        <f t="shared" si="2"/>
        <v>4618332.898140206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2007.45</v>
      </c>
      <c r="G38" s="11">
        <v>869.11760000000004</v>
      </c>
      <c r="H38" s="12">
        <v>162913.65</v>
      </c>
      <c r="I38" s="13">
        <f>H38*F$116</f>
        <v>87194.054582334109</v>
      </c>
      <c r="J38" s="12">
        <v>0</v>
      </c>
      <c r="K38" s="14">
        <f t="shared" ref="K38:K46" si="3">(H38+I38)-J38</f>
        <v>250107.70458233409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5480.5</v>
      </c>
      <c r="G40" s="11">
        <v>469</v>
      </c>
      <c r="H40" s="12">
        <v>266600.5</v>
      </c>
      <c r="I40" s="13">
        <f>H40*F$116</f>
        <v>142688.95546000943</v>
      </c>
      <c r="J40" s="12">
        <v>0</v>
      </c>
      <c r="K40" s="14">
        <f t="shared" si="3"/>
        <v>409289.4554600094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3159.6571429903997</v>
      </c>
      <c r="G41" s="11">
        <v>275.88695999999999</v>
      </c>
      <c r="H41" s="12">
        <v>153319.98800000001</v>
      </c>
      <c r="I41" s="13">
        <f>H41*F$116</f>
        <v>82059.369501787063</v>
      </c>
      <c r="J41" s="12">
        <v>25187.74</v>
      </c>
      <c r="K41" s="14">
        <f t="shared" si="3"/>
        <v>210191.61750178708</v>
      </c>
    </row>
    <row r="42" spans="1:11" ht="18" customHeight="1">
      <c r="A42" s="6" t="s">
        <v>52</v>
      </c>
      <c r="B42" s="63" t="s">
        <v>53</v>
      </c>
      <c r="F42" s="11">
        <v>4774.613570984</v>
      </c>
      <c r="G42" s="11">
        <v>38585</v>
      </c>
      <c r="H42" s="12">
        <v>110067.25</v>
      </c>
      <c r="I42" s="13">
        <f>H42*F$116</f>
        <v>58909.79549121522</v>
      </c>
      <c r="J42" s="12">
        <v>0</v>
      </c>
      <c r="K42" s="14">
        <f t="shared" si="3"/>
        <v>168977.04549121522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f>H44*F$116</f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15422.2207139744</v>
      </c>
      <c r="G48" s="25">
        <f t="shared" si="4"/>
        <v>40199.004560000001</v>
      </c>
      <c r="H48" s="14">
        <f t="shared" si="4"/>
        <v>692901.38800000004</v>
      </c>
      <c r="I48" s="14">
        <f t="shared" si="4"/>
        <v>370852.17503534583</v>
      </c>
      <c r="J48" s="14">
        <f t="shared" si="4"/>
        <v>25187.74</v>
      </c>
      <c r="K48" s="14">
        <f t="shared" si="4"/>
        <v>1038565.8230353458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/>
      <c r="C52" s="385"/>
      <c r="D52" s="359"/>
      <c r="F52" s="11"/>
      <c r="G52" s="11"/>
      <c r="H52" s="12"/>
      <c r="I52" s="13">
        <v>0</v>
      </c>
      <c r="J52" s="12"/>
      <c r="K52" s="14">
        <f t="shared" ref="K52:K61" si="5">(H52+I52)-J52</f>
        <v>0</v>
      </c>
    </row>
    <row r="53" spans="1:11" ht="18" customHeight="1">
      <c r="A53" s="6" t="s">
        <v>63</v>
      </c>
      <c r="B53" s="27" t="s">
        <v>622</v>
      </c>
      <c r="C53" s="28"/>
      <c r="D53" s="29"/>
      <c r="F53" s="11">
        <v>36599.1</v>
      </c>
      <c r="G53" s="11"/>
      <c r="H53" s="12">
        <v>9410363.130069403</v>
      </c>
      <c r="I53" s="13">
        <f>H53*F$116</f>
        <v>5036580.5222757943</v>
      </c>
      <c r="J53" s="12">
        <v>0</v>
      </c>
      <c r="K53" s="14">
        <f t="shared" si="5"/>
        <v>14446943.652345197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 t="s">
        <v>621</v>
      </c>
      <c r="C56" s="358"/>
      <c r="D56" s="359"/>
      <c r="F56" s="11">
        <v>0.75</v>
      </c>
      <c r="G56" s="11">
        <v>0</v>
      </c>
      <c r="H56" s="12">
        <v>152</v>
      </c>
      <c r="I56" s="13">
        <f>H56*F$116</f>
        <v>81.352890298110594</v>
      </c>
      <c r="J56" s="12">
        <v>0</v>
      </c>
      <c r="K56" s="14">
        <f t="shared" si="5"/>
        <v>233.35289029811059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36599.85</v>
      </c>
      <c r="G63" s="19">
        <f t="shared" si="6"/>
        <v>0</v>
      </c>
      <c r="H63" s="14">
        <f t="shared" si="6"/>
        <v>9410515.130069403</v>
      </c>
      <c r="I63" s="14">
        <f t="shared" si="6"/>
        <v>5036661.8751660921</v>
      </c>
      <c r="J63" s="14">
        <f t="shared" si="6"/>
        <v>0</v>
      </c>
      <c r="K63" s="14">
        <f t="shared" si="6"/>
        <v>14447177.005235495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220">
        <v>9722.6285709839995</v>
      </c>
      <c r="G67" s="220">
        <v>10157</v>
      </c>
      <c r="H67" s="220">
        <v>682288.14600000007</v>
      </c>
      <c r="I67" s="13">
        <f>H67*F$116</f>
        <v>365171.79403446888</v>
      </c>
      <c r="J67" s="220">
        <v>555791.53</v>
      </c>
      <c r="K67" s="14">
        <f t="shared" ref="K67:K72" si="7">(H67+I67)-J67</f>
        <v>491668.41003446886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9722.6285709839995</v>
      </c>
      <c r="G74" s="43">
        <f t="shared" si="8"/>
        <v>10157</v>
      </c>
      <c r="H74" s="43">
        <f t="shared" si="8"/>
        <v>682288.14600000007</v>
      </c>
      <c r="I74" s="43">
        <f t="shared" si="8"/>
        <v>365171.79403446888</v>
      </c>
      <c r="J74" s="43">
        <f t="shared" si="8"/>
        <v>555791.53</v>
      </c>
      <c r="K74" s="43">
        <f t="shared" si="8"/>
        <v>491668.41003446886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669.14733123028395</v>
      </c>
      <c r="G77" s="11">
        <v>0</v>
      </c>
      <c r="H77" s="12">
        <v>1060397.27</v>
      </c>
      <c r="I77" s="13">
        <f>H77*F$116</f>
        <v>567541.99196530238</v>
      </c>
      <c r="J77" s="12">
        <v>0</v>
      </c>
      <c r="K77" s="14">
        <f>(H77+I77)-J77</f>
        <v>1627939.2619653023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52.8</v>
      </c>
      <c r="G79" s="11">
        <v>69.5</v>
      </c>
      <c r="H79" s="12">
        <v>14576.5</v>
      </c>
      <c r="I79" s="13">
        <f>H79*F$116</f>
        <v>7801.5816146737443</v>
      </c>
      <c r="J79" s="12">
        <v>0</v>
      </c>
      <c r="K79" s="14">
        <f>(H79+I79)-J79</f>
        <v>22378.081614673745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721.94733123028391</v>
      </c>
      <c r="G82" s="44">
        <f t="shared" si="9"/>
        <v>69.5</v>
      </c>
      <c r="H82" s="45">
        <f t="shared" si="9"/>
        <v>1074973.77</v>
      </c>
      <c r="I82" s="45">
        <f t="shared" si="9"/>
        <v>575343.5735799761</v>
      </c>
      <c r="J82" s="45">
        <f t="shared" si="9"/>
        <v>0</v>
      </c>
      <c r="K82" s="45">
        <f t="shared" si="9"/>
        <v>1650317.3435799761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405</v>
      </c>
      <c r="G86" s="11">
        <v>10</v>
      </c>
      <c r="H86" s="12">
        <v>15684.5</v>
      </c>
      <c r="I86" s="13">
        <f t="shared" ref="I86:I97" si="10">H86*F$116</f>
        <v>8394.6013676362873</v>
      </c>
      <c r="J86" s="12">
        <v>0</v>
      </c>
      <c r="K86" s="14">
        <f t="shared" ref="K86:K97" si="11">(H86+I86)-J86</f>
        <v>24079.101367636285</v>
      </c>
    </row>
    <row r="87" spans="1:11" ht="18" customHeight="1">
      <c r="A87" s="6" t="s">
        <v>102</v>
      </c>
      <c r="B87" s="63" t="s">
        <v>103</v>
      </c>
      <c r="F87" s="11">
        <v>23.75</v>
      </c>
      <c r="G87" s="11">
        <v>20</v>
      </c>
      <c r="H87" s="12">
        <v>3169.5</v>
      </c>
      <c r="I87" s="13">
        <f t="shared" si="10"/>
        <v>1696.3683276306681</v>
      </c>
      <c r="J87" s="12">
        <v>0</v>
      </c>
      <c r="K87" s="14">
        <f t="shared" si="11"/>
        <v>4865.8683276306683</v>
      </c>
    </row>
    <row r="88" spans="1:11" ht="18" customHeight="1">
      <c r="A88" s="6" t="s">
        <v>104</v>
      </c>
      <c r="B88" s="63" t="s">
        <v>105</v>
      </c>
      <c r="F88" s="11">
        <v>45</v>
      </c>
      <c r="G88" s="11">
        <v>390.5</v>
      </c>
      <c r="H88" s="12">
        <v>11948.5</v>
      </c>
      <c r="I88" s="13">
        <f t="shared" si="10"/>
        <v>6395.0329587300948</v>
      </c>
      <c r="J88" s="12">
        <v>0</v>
      </c>
      <c r="K88" s="14">
        <f t="shared" si="11"/>
        <v>18343.532958730095</v>
      </c>
    </row>
    <row r="89" spans="1:11" ht="18" customHeight="1">
      <c r="A89" s="6" t="s">
        <v>106</v>
      </c>
      <c r="B89" s="63" t="s">
        <v>107</v>
      </c>
      <c r="F89" s="11">
        <v>9.75</v>
      </c>
      <c r="G89" s="11">
        <v>25</v>
      </c>
      <c r="H89" s="12">
        <v>1772</v>
      </c>
      <c r="I89" s="13">
        <f t="shared" si="10"/>
        <v>948.40343163323666</v>
      </c>
      <c r="J89" s="12">
        <v>0</v>
      </c>
      <c r="K89" s="14">
        <f t="shared" si="11"/>
        <v>2720.4034316332368</v>
      </c>
    </row>
    <row r="90" spans="1:11" ht="18" customHeight="1">
      <c r="A90" s="6" t="s">
        <v>108</v>
      </c>
      <c r="B90" s="386" t="s">
        <v>109</v>
      </c>
      <c r="C90" s="356"/>
      <c r="F90" s="11">
        <v>32.549999999999997</v>
      </c>
      <c r="G90" s="11">
        <v>179</v>
      </c>
      <c r="H90" s="12">
        <v>4591</v>
      </c>
      <c r="I90" s="13">
        <f t="shared" si="10"/>
        <v>2457.1784168330641</v>
      </c>
      <c r="J90" s="12">
        <v>0</v>
      </c>
      <c r="K90" s="14">
        <f t="shared" si="11"/>
        <v>7048.1784168330641</v>
      </c>
    </row>
    <row r="91" spans="1:11" ht="18" customHeight="1">
      <c r="A91" s="6" t="s">
        <v>110</v>
      </c>
      <c r="B91" s="63" t="s">
        <v>111</v>
      </c>
      <c r="F91" s="11">
        <v>267.35000000000002</v>
      </c>
      <c r="G91" s="11">
        <v>1037.5</v>
      </c>
      <c r="H91" s="12">
        <v>26056.5</v>
      </c>
      <c r="I91" s="13">
        <f t="shared" si="10"/>
        <v>13945.865697715255</v>
      </c>
      <c r="J91" s="12">
        <v>250</v>
      </c>
      <c r="K91" s="14">
        <f t="shared" si="11"/>
        <v>39752.365697715257</v>
      </c>
    </row>
    <row r="92" spans="1:11" ht="18" customHeight="1">
      <c r="A92" s="6" t="s">
        <v>112</v>
      </c>
      <c r="B92" s="63" t="s">
        <v>113</v>
      </c>
      <c r="F92" s="46">
        <v>177.95</v>
      </c>
      <c r="G92" s="46">
        <v>846</v>
      </c>
      <c r="H92" s="47">
        <v>26877</v>
      </c>
      <c r="I92" s="13">
        <f t="shared" si="10"/>
        <v>14385.010740409991</v>
      </c>
      <c r="J92" s="47">
        <v>0</v>
      </c>
      <c r="K92" s="14">
        <f t="shared" si="11"/>
        <v>41262.010740409991</v>
      </c>
    </row>
    <row r="93" spans="1:11" ht="18" customHeight="1">
      <c r="A93" s="6" t="s">
        <v>114</v>
      </c>
      <c r="B93" s="63" t="s">
        <v>115</v>
      </c>
      <c r="F93" s="11">
        <v>70.400000000000006</v>
      </c>
      <c r="G93" s="11">
        <v>14</v>
      </c>
      <c r="H93" s="12">
        <v>15140</v>
      </c>
      <c r="I93" s="13">
        <f t="shared" si="10"/>
        <v>8103.1760467986478</v>
      </c>
      <c r="J93" s="12">
        <v>0</v>
      </c>
      <c r="K93" s="14">
        <f t="shared" si="11"/>
        <v>23243.176046798646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620</v>
      </c>
      <c r="C95" s="358"/>
      <c r="D95" s="359"/>
      <c r="F95" s="11">
        <v>2496</v>
      </c>
      <c r="G95" s="11">
        <v>476</v>
      </c>
      <c r="H95" s="12">
        <v>172455.77622</v>
      </c>
      <c r="I95" s="13">
        <f t="shared" si="10"/>
        <v>92301.156869086641</v>
      </c>
      <c r="J95" s="12">
        <v>0</v>
      </c>
      <c r="K95" s="14">
        <f t="shared" si="11"/>
        <v>264756.93308908667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3527.75</v>
      </c>
      <c r="G99" s="19">
        <f t="shared" si="12"/>
        <v>2998</v>
      </c>
      <c r="H99" s="19">
        <f t="shared" si="12"/>
        <v>277694.77622</v>
      </c>
      <c r="I99" s="19">
        <f t="shared" si="12"/>
        <v>148626.79385647387</v>
      </c>
      <c r="J99" s="19">
        <f t="shared" si="12"/>
        <v>250</v>
      </c>
      <c r="K99" s="19">
        <f t="shared" si="12"/>
        <v>426071.57007647387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>
        <v>70.449999999999989</v>
      </c>
      <c r="G104" s="11">
        <v>16.5</v>
      </c>
      <c r="H104" s="12">
        <v>13143</v>
      </c>
      <c r="I104" s="13">
        <f t="shared" si="13"/>
        <v>7034.3489288688652</v>
      </c>
      <c r="J104" s="12">
        <v>0</v>
      </c>
      <c r="K104" s="14">
        <f t="shared" si="14"/>
        <v>20177.348928868865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>
        <v>0</v>
      </c>
      <c r="K105" s="14">
        <f t="shared" si="14"/>
        <v>0</v>
      </c>
    </row>
    <row r="106" spans="1:11" ht="18" customHeight="1">
      <c r="A106" s="6" t="s">
        <v>125</v>
      </c>
      <c r="B106" s="381" t="s">
        <v>512</v>
      </c>
      <c r="C106" s="358"/>
      <c r="D106" s="359"/>
      <c r="F106" s="11">
        <v>562</v>
      </c>
      <c r="G106" s="11">
        <v>7641</v>
      </c>
      <c r="H106" s="12">
        <v>162454.86255000002</v>
      </c>
      <c r="I106" s="13">
        <f t="shared" si="13"/>
        <v>86948.504022531488</v>
      </c>
      <c r="J106" s="12">
        <v>0</v>
      </c>
      <c r="K106" s="14">
        <f t="shared" si="14"/>
        <v>249403.36657253152</v>
      </c>
    </row>
    <row r="107" spans="1:11" ht="18" customHeight="1">
      <c r="A107" s="6" t="s">
        <v>126</v>
      </c>
      <c r="B107" s="381"/>
      <c r="C107" s="358"/>
      <c r="D107" s="359"/>
      <c r="F107" s="11">
        <v>2</v>
      </c>
      <c r="G107" s="11">
        <v>4</v>
      </c>
      <c r="H107" s="12">
        <v>167986.63</v>
      </c>
      <c r="I107" s="13">
        <f t="shared" si="13"/>
        <v>89909.196591705884</v>
      </c>
      <c r="J107" s="12"/>
      <c r="K107" s="14">
        <f t="shared" si="14"/>
        <v>257895.8265917059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634.45000000000005</v>
      </c>
      <c r="G110" s="19">
        <f t="shared" si="15"/>
        <v>7661.5</v>
      </c>
      <c r="H110" s="14">
        <f t="shared" si="15"/>
        <v>343584.49255000002</v>
      </c>
      <c r="I110" s="14">
        <f t="shared" si="15"/>
        <v>183892.04954310623</v>
      </c>
      <c r="J110" s="14">
        <f t="shared" si="15"/>
        <v>0</v>
      </c>
      <c r="K110" s="14">
        <f t="shared" si="15"/>
        <v>527476.54209310631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9862543.3100000024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0.53521638354020129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248435200</v>
      </c>
    </row>
    <row r="120" spans="1:6" ht="18" customHeight="1">
      <c r="B120" s="2" t="s">
        <v>137</v>
      </c>
      <c r="F120" s="12">
        <v>5780465</v>
      </c>
    </row>
    <row r="121" spans="1:6" ht="18" customHeight="1">
      <c r="A121" s="6"/>
      <c r="B121" s="5" t="s">
        <v>138</v>
      </c>
      <c r="F121" s="12">
        <f>SUM(F119:F120)</f>
        <v>254215665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257235122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-3019457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228427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-2791030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60983.466446352577</v>
      </c>
      <c r="G144" s="54">
        <f t="shared" si="18"/>
        <v>24402.291938444312</v>
      </c>
      <c r="H144" s="54">
        <f t="shared" si="18"/>
        <v>3196152.0967000006</v>
      </c>
      <c r="I144" s="54">
        <f t="shared" si="18"/>
        <v>1710632.9664402059</v>
      </c>
      <c r="J144" s="54">
        <f t="shared" si="18"/>
        <v>288452.16499999998</v>
      </c>
      <c r="K144" s="54">
        <f t="shared" si="18"/>
        <v>4618332.898140206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15422.2207139744</v>
      </c>
      <c r="G145" s="54">
        <f t="shared" si="19"/>
        <v>40199.004560000001</v>
      </c>
      <c r="H145" s="54">
        <f t="shared" si="19"/>
        <v>692901.38800000004</v>
      </c>
      <c r="I145" s="54">
        <f t="shared" si="19"/>
        <v>370852.17503534583</v>
      </c>
      <c r="J145" s="54">
        <f t="shared" si="19"/>
        <v>25187.74</v>
      </c>
      <c r="K145" s="54">
        <f t="shared" si="19"/>
        <v>1038565.8230353458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36599.85</v>
      </c>
      <c r="G146" s="54">
        <f t="shared" si="20"/>
        <v>0</v>
      </c>
      <c r="H146" s="54">
        <f t="shared" si="20"/>
        <v>9410515.130069403</v>
      </c>
      <c r="I146" s="54">
        <f t="shared" si="20"/>
        <v>5036661.8751660921</v>
      </c>
      <c r="J146" s="54">
        <f t="shared" si="20"/>
        <v>0</v>
      </c>
      <c r="K146" s="54">
        <f t="shared" si="20"/>
        <v>14447177.005235495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9722.6285709839995</v>
      </c>
      <c r="G147" s="54">
        <f t="shared" si="21"/>
        <v>10157</v>
      </c>
      <c r="H147" s="54">
        <f t="shared" si="21"/>
        <v>682288.14600000007</v>
      </c>
      <c r="I147" s="54">
        <f t="shared" si="21"/>
        <v>365171.79403446888</v>
      </c>
      <c r="J147" s="54">
        <f t="shared" si="21"/>
        <v>555791.53</v>
      </c>
      <c r="K147" s="54">
        <f t="shared" si="21"/>
        <v>491668.41003446886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721.94733123028391</v>
      </c>
      <c r="G148" s="54">
        <f t="shared" si="22"/>
        <v>69.5</v>
      </c>
      <c r="H148" s="54">
        <f t="shared" si="22"/>
        <v>1074973.77</v>
      </c>
      <c r="I148" s="54">
        <f t="shared" si="22"/>
        <v>575343.5735799761</v>
      </c>
      <c r="J148" s="54">
        <f t="shared" si="22"/>
        <v>0</v>
      </c>
      <c r="K148" s="54">
        <f t="shared" si="22"/>
        <v>1650317.3435799761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3527.75</v>
      </c>
      <c r="G149" s="54">
        <f t="shared" si="23"/>
        <v>2998</v>
      </c>
      <c r="H149" s="54">
        <f t="shared" si="23"/>
        <v>277694.77622</v>
      </c>
      <c r="I149" s="54">
        <f t="shared" si="23"/>
        <v>148626.79385647387</v>
      </c>
      <c r="J149" s="54">
        <f t="shared" si="23"/>
        <v>250</v>
      </c>
      <c r="K149" s="54">
        <f t="shared" si="23"/>
        <v>426071.57007647387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634.45000000000005</v>
      </c>
      <c r="G150" s="19">
        <f t="shared" si="24"/>
        <v>7661.5</v>
      </c>
      <c r="H150" s="19">
        <f t="shared" si="24"/>
        <v>343584.49255000002</v>
      </c>
      <c r="I150" s="19">
        <f t="shared" si="24"/>
        <v>183892.04954310623</v>
      </c>
      <c r="J150" s="19">
        <f t="shared" si="24"/>
        <v>0</v>
      </c>
      <c r="K150" s="19">
        <f t="shared" si="24"/>
        <v>527476.54209310631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9862543.3100000024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127612.31306254127</v>
      </c>
      <c r="G154" s="60">
        <f t="shared" si="26"/>
        <v>85487.29649844431</v>
      </c>
      <c r="H154" s="60">
        <f t="shared" si="26"/>
        <v>15678109.799539402</v>
      </c>
      <c r="I154" s="60">
        <f t="shared" si="26"/>
        <v>8391181.2276556697</v>
      </c>
      <c r="J154" s="60">
        <f t="shared" si="26"/>
        <v>869681.43500000006</v>
      </c>
      <c r="K154" s="61">
        <f t="shared" si="26"/>
        <v>33062152.902195074</v>
      </c>
    </row>
    <row r="156" spans="1:11" ht="18" customHeight="1">
      <c r="B156" s="5" t="s">
        <v>178</v>
      </c>
      <c r="F156" s="233">
        <f>K154/F123</f>
        <v>0.1285289218872494</v>
      </c>
    </row>
    <row r="157" spans="1:11" ht="18" customHeight="1">
      <c r="B157" s="5" t="s">
        <v>179</v>
      </c>
      <c r="F157" s="233">
        <f>K154/F129</f>
        <v>-11.845860812028203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D2:H2"/>
    <mergeCell ref="B44:D44"/>
    <mergeCell ref="B45:D45"/>
    <mergeCell ref="B46:D46"/>
    <mergeCell ref="B32:D32"/>
    <mergeCell ref="C11:G11"/>
    <mergeCell ref="B39:C39"/>
    <mergeCell ref="B13:H13"/>
    <mergeCell ref="B29:D29"/>
    <mergeCell ref="C5:G5"/>
    <mergeCell ref="C6:G6"/>
    <mergeCell ref="C7:G7"/>
    <mergeCell ref="C9:G9"/>
    <mergeCell ref="C10:G10"/>
    <mergeCell ref="B28:D28"/>
    <mergeCell ref="B97:D97"/>
    <mergeCell ref="B96:D96"/>
    <mergeCell ref="B56:D56"/>
    <mergeCell ref="B95:D95"/>
    <mergeCell ref="B51:C51"/>
    <mergeCell ref="B90:C90"/>
    <mergeCell ref="B52:D52"/>
    <mergeCell ref="B54:D54"/>
    <mergeCell ref="B55:D55"/>
    <mergeCell ref="B58:D58"/>
    <mergeCell ref="B61:D61"/>
    <mergeCell ref="B104:C104"/>
    <mergeCell ref="B137:D137"/>
    <mergeCell ref="B138:D138"/>
    <mergeCell ref="B136:D136"/>
    <mergeCell ref="B106:D106"/>
    <mergeCell ref="B107:D107"/>
    <mergeCell ref="B108:D108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  <cellWatches>
    <cellWatch r="C5"/>
  </cellWatches>
</worksheet>
</file>

<file path=xl/worksheets/sheet5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180</v>
      </c>
      <c r="D5" s="363"/>
      <c r="E5" s="363"/>
      <c r="F5" s="363"/>
      <c r="G5" s="364"/>
    </row>
    <row r="6" spans="1:11" ht="18" customHeight="1">
      <c r="B6" s="6" t="s">
        <v>4</v>
      </c>
      <c r="C6" s="365">
        <v>61</v>
      </c>
      <c r="D6" s="366"/>
      <c r="E6" s="366"/>
      <c r="F6" s="366"/>
      <c r="G6" s="367"/>
    </row>
    <row r="7" spans="1:11" ht="18" customHeight="1">
      <c r="B7" s="6" t="s">
        <v>5</v>
      </c>
      <c r="C7" s="368">
        <v>698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181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182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183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4152.5</v>
      </c>
      <c r="G18" s="11">
        <v>665</v>
      </c>
      <c r="H18" s="12">
        <f>238971+11788+28282+300000</f>
        <v>579041</v>
      </c>
      <c r="I18" s="13">
        <f>H18*F$116</f>
        <v>373770.96549999999</v>
      </c>
      <c r="J18" s="12">
        <v>150</v>
      </c>
      <c r="K18" s="14">
        <f t="shared" ref="K18:K32" si="0">(H18+I18)-J18</f>
        <v>952661.96549999993</v>
      </c>
    </row>
    <row r="19" spans="1:11" ht="18" customHeight="1">
      <c r="A19" s="6"/>
      <c r="B19" s="2" t="s">
        <v>23</v>
      </c>
      <c r="F19" s="11"/>
      <c r="G19" s="11"/>
      <c r="H19" s="12"/>
      <c r="I19" s="13">
        <f>H19*F$116</f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1117.5</v>
      </c>
      <c r="G22" s="11">
        <v>141</v>
      </c>
      <c r="H22" s="12">
        <f>122180+65517</f>
        <v>187697</v>
      </c>
      <c r="I22" s="13">
        <f t="shared" si="1"/>
        <v>121158.4135</v>
      </c>
      <c r="J22" s="12"/>
      <c r="K22" s="14">
        <f t="shared" si="0"/>
        <v>308855.41350000002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462.6</v>
      </c>
      <c r="G26" s="11">
        <v>9</v>
      </c>
      <c r="H26" s="12">
        <v>9528</v>
      </c>
      <c r="I26" s="13">
        <f t="shared" si="1"/>
        <v>6150.3239999999996</v>
      </c>
      <c r="J26" s="12"/>
      <c r="K26" s="14">
        <f t="shared" si="0"/>
        <v>15678.324000000001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 t="s">
        <v>184</v>
      </c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5732.6</v>
      </c>
      <c r="G34" s="19">
        <f t="shared" si="2"/>
        <v>815</v>
      </c>
      <c r="H34" s="14">
        <f t="shared" si="2"/>
        <v>776266</v>
      </c>
      <c r="I34" s="14">
        <f t="shared" si="2"/>
        <v>501079.70299999998</v>
      </c>
      <c r="J34" s="14">
        <f t="shared" si="2"/>
        <v>150</v>
      </c>
      <c r="K34" s="14">
        <f t="shared" si="2"/>
        <v>1277195.703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1091.5</v>
      </c>
      <c r="G38" s="11">
        <v>8</v>
      </c>
      <c r="H38" s="12">
        <v>34231</v>
      </c>
      <c r="I38" s="13">
        <v>0</v>
      </c>
      <c r="J38" s="12"/>
      <c r="K38" s="14">
        <f t="shared" ref="K38:K46" si="3">(H38+I38)-J38</f>
        <v>34231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4039.5</v>
      </c>
      <c r="G40" s="11">
        <v>354</v>
      </c>
      <c r="H40" s="12">
        <v>118240</v>
      </c>
      <c r="I40" s="13">
        <v>0</v>
      </c>
      <c r="J40" s="12"/>
      <c r="K40" s="14">
        <f t="shared" si="3"/>
        <v>118240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5172.5</v>
      </c>
      <c r="G42" s="11">
        <v>174</v>
      </c>
      <c r="H42" s="12">
        <v>137517</v>
      </c>
      <c r="I42" s="13">
        <v>0</v>
      </c>
      <c r="J42" s="12"/>
      <c r="K42" s="14">
        <f t="shared" si="3"/>
        <v>137517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10303.5</v>
      </c>
      <c r="G48" s="25">
        <f t="shared" si="4"/>
        <v>536</v>
      </c>
      <c r="H48" s="14">
        <f t="shared" si="4"/>
        <v>289988</v>
      </c>
      <c r="I48" s="14">
        <f t="shared" si="4"/>
        <v>0</v>
      </c>
      <c r="J48" s="14">
        <f t="shared" si="4"/>
        <v>0</v>
      </c>
      <c r="K48" s="14">
        <f t="shared" si="4"/>
        <v>289988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185</v>
      </c>
      <c r="C52" s="385"/>
      <c r="D52" s="359"/>
      <c r="F52" s="11">
        <v>40.5</v>
      </c>
      <c r="G52" s="11">
        <v>3</v>
      </c>
      <c r="H52" s="12">
        <v>1891</v>
      </c>
      <c r="I52" s="13">
        <f>H52*F$116</f>
        <v>1220.6405</v>
      </c>
      <c r="J52" s="12"/>
      <c r="K52" s="14">
        <f t="shared" ref="K52:K61" si="5">(H52+I52)-J52</f>
        <v>3111.6405</v>
      </c>
    </row>
    <row r="53" spans="1:11" ht="18" customHeight="1">
      <c r="A53" s="6" t="s">
        <v>63</v>
      </c>
      <c r="B53" s="27" t="s">
        <v>186</v>
      </c>
      <c r="C53" s="28"/>
      <c r="D53" s="29"/>
      <c r="F53" s="11">
        <v>284</v>
      </c>
      <c r="G53" s="11">
        <v>29</v>
      </c>
      <c r="H53" s="12">
        <v>11632</v>
      </c>
      <c r="I53" s="13">
        <f>H53*F$116</f>
        <v>7508.4559999999992</v>
      </c>
      <c r="J53" s="12"/>
      <c r="K53" s="14">
        <f t="shared" si="5"/>
        <v>19140.455999999998</v>
      </c>
    </row>
    <row r="54" spans="1:11" ht="18" customHeight="1">
      <c r="A54" s="6" t="s">
        <v>65</v>
      </c>
      <c r="B54" s="381" t="s">
        <v>187</v>
      </c>
      <c r="C54" s="358"/>
      <c r="D54" s="359"/>
      <c r="F54" s="11"/>
      <c r="G54" s="11"/>
      <c r="H54" s="12">
        <v>222575</v>
      </c>
      <c r="I54" s="13">
        <v>0</v>
      </c>
      <c r="J54" s="12"/>
      <c r="K54" s="14">
        <f t="shared" si="5"/>
        <v>222575</v>
      </c>
    </row>
    <row r="55" spans="1:11" ht="18" customHeight="1">
      <c r="A55" s="6" t="s">
        <v>67</v>
      </c>
      <c r="B55" s="381" t="s">
        <v>188</v>
      </c>
      <c r="C55" s="358"/>
      <c r="D55" s="359"/>
      <c r="F55" s="11"/>
      <c r="G55" s="11"/>
      <c r="H55" s="12">
        <v>110513</v>
      </c>
      <c r="I55" s="13"/>
      <c r="J55" s="12"/>
      <c r="K55" s="14">
        <f t="shared" si="5"/>
        <v>110513</v>
      </c>
    </row>
    <row r="56" spans="1:11" ht="18" customHeight="1">
      <c r="A56" s="6" t="s">
        <v>69</v>
      </c>
      <c r="B56" s="381" t="s">
        <v>189</v>
      </c>
      <c r="C56" s="358"/>
      <c r="D56" s="359"/>
      <c r="F56" s="11">
        <v>4160</v>
      </c>
      <c r="G56" s="11">
        <v>2241</v>
      </c>
      <c r="H56" s="12">
        <v>147264</v>
      </c>
      <c r="I56" s="13">
        <f>H56*F$116</f>
        <v>95058.911999999997</v>
      </c>
      <c r="J56" s="12">
        <v>68299</v>
      </c>
      <c r="K56" s="14">
        <f t="shared" si="5"/>
        <v>174023.91200000001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4484.5</v>
      </c>
      <c r="G63" s="19">
        <f t="shared" si="6"/>
        <v>2273</v>
      </c>
      <c r="H63" s="14">
        <f t="shared" si="6"/>
        <v>493875</v>
      </c>
      <c r="I63" s="14">
        <f t="shared" si="6"/>
        <v>103788.0085</v>
      </c>
      <c r="J63" s="14">
        <f t="shared" si="6"/>
        <v>68299</v>
      </c>
      <c r="K63" s="14">
        <f t="shared" si="6"/>
        <v>529364.0085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71</v>
      </c>
      <c r="G67" s="34">
        <v>11</v>
      </c>
      <c r="H67" s="34">
        <v>5216</v>
      </c>
      <c r="I67" s="13">
        <v>0</v>
      </c>
      <c r="J67" s="34"/>
      <c r="K67" s="14">
        <f t="shared" ref="K67:K72" si="7">(H67+I67)-J67</f>
        <v>5216</v>
      </c>
    </row>
    <row r="68" spans="1:11" ht="18" customHeight="1">
      <c r="A68" s="6" t="s">
        <v>82</v>
      </c>
      <c r="B68" s="63" t="s">
        <v>83</v>
      </c>
      <c r="F68" s="34">
        <v>1</v>
      </c>
      <c r="G68" s="34">
        <v>1</v>
      </c>
      <c r="H68" s="34">
        <v>38</v>
      </c>
      <c r="I68" s="13">
        <v>0</v>
      </c>
      <c r="J68" s="34"/>
      <c r="K68" s="14">
        <f t="shared" si="7"/>
        <v>38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72</v>
      </c>
      <c r="G74" s="43">
        <f t="shared" si="8"/>
        <v>12</v>
      </c>
      <c r="H74" s="43">
        <f t="shared" si="8"/>
        <v>5254</v>
      </c>
      <c r="I74" s="43">
        <f t="shared" si="8"/>
        <v>0</v>
      </c>
      <c r="J74" s="43">
        <f t="shared" si="8"/>
        <v>0</v>
      </c>
      <c r="K74" s="43">
        <f t="shared" si="8"/>
        <v>5254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/>
      <c r="I77" s="13">
        <v>0</v>
      </c>
      <c r="J77" s="12"/>
      <c r="K77" s="14">
        <f>(H77+I77)-J77</f>
        <v>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7653.5</v>
      </c>
      <c r="G79" s="11">
        <v>115</v>
      </c>
      <c r="H79" s="12">
        <v>78064</v>
      </c>
      <c r="I79" s="13">
        <v>0</v>
      </c>
      <c r="J79" s="12"/>
      <c r="K79" s="14">
        <f>(H79+I79)-J79</f>
        <v>78064</v>
      </c>
    </row>
    <row r="80" spans="1:11" ht="18" customHeight="1">
      <c r="A80" s="6" t="s">
        <v>93</v>
      </c>
      <c r="B80" s="63" t="s">
        <v>97</v>
      </c>
      <c r="F80" s="11">
        <v>60</v>
      </c>
      <c r="G80" s="11">
        <v>6</v>
      </c>
      <c r="H80" s="12">
        <v>3475</v>
      </c>
      <c r="I80" s="13">
        <v>0</v>
      </c>
      <c r="J80" s="12"/>
      <c r="K80" s="14">
        <f>(H80+I80)-J80</f>
        <v>3475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7713.5</v>
      </c>
      <c r="G82" s="44">
        <f t="shared" si="9"/>
        <v>121</v>
      </c>
      <c r="H82" s="45">
        <f t="shared" si="9"/>
        <v>81539</v>
      </c>
      <c r="I82" s="45">
        <f t="shared" si="9"/>
        <v>0</v>
      </c>
      <c r="J82" s="45">
        <f t="shared" si="9"/>
        <v>0</v>
      </c>
      <c r="K82" s="45">
        <f t="shared" si="9"/>
        <v>81539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>
        <v>52</v>
      </c>
      <c r="G86" s="11">
        <v>9</v>
      </c>
      <c r="H86" s="12">
        <v>1457</v>
      </c>
      <c r="I86" s="13">
        <f t="shared" ref="I86:I97" si="10">H86*F$116</f>
        <v>940.49349999999993</v>
      </c>
      <c r="J86" s="12"/>
      <c r="K86" s="14">
        <f t="shared" ref="K86:K97" si="11">(H86+I86)-J86</f>
        <v>2397.4935</v>
      </c>
    </row>
    <row r="87" spans="1:11" ht="18" customHeight="1">
      <c r="A87" s="6" t="s">
        <v>102</v>
      </c>
      <c r="B87" s="63" t="s">
        <v>103</v>
      </c>
      <c r="F87" s="11">
        <v>4</v>
      </c>
      <c r="G87" s="11">
        <v>2</v>
      </c>
      <c r="H87" s="12">
        <v>1053</v>
      </c>
      <c r="I87" s="13">
        <f t="shared" si="10"/>
        <v>679.7115</v>
      </c>
      <c r="J87" s="12"/>
      <c r="K87" s="14">
        <f t="shared" si="11"/>
        <v>1732.7114999999999</v>
      </c>
    </row>
    <row r="88" spans="1:11" ht="18" customHeight="1">
      <c r="A88" s="6" t="s">
        <v>104</v>
      </c>
      <c r="B88" s="63" t="s">
        <v>105</v>
      </c>
      <c r="F88" s="11">
        <v>205</v>
      </c>
      <c r="G88" s="11">
        <v>23</v>
      </c>
      <c r="H88" s="12">
        <v>16133</v>
      </c>
      <c r="I88" s="13">
        <f t="shared" si="10"/>
        <v>10413.851499999999</v>
      </c>
      <c r="J88" s="12"/>
      <c r="K88" s="14">
        <f t="shared" si="11"/>
        <v>26546.851499999997</v>
      </c>
    </row>
    <row r="89" spans="1:11" ht="18" customHeight="1">
      <c r="A89" s="6" t="s">
        <v>106</v>
      </c>
      <c r="B89" s="63" t="s">
        <v>107</v>
      </c>
      <c r="F89" s="11">
        <v>312</v>
      </c>
      <c r="G89" s="11">
        <v>23</v>
      </c>
      <c r="H89" s="12">
        <v>15365</v>
      </c>
      <c r="I89" s="13">
        <f t="shared" si="10"/>
        <v>9918.1075000000001</v>
      </c>
      <c r="J89" s="12"/>
      <c r="K89" s="14">
        <f t="shared" si="11"/>
        <v>25283.107499999998</v>
      </c>
    </row>
    <row r="90" spans="1:11" ht="18" customHeight="1">
      <c r="A90" s="6" t="s">
        <v>108</v>
      </c>
      <c r="B90" s="386" t="s">
        <v>109</v>
      </c>
      <c r="C90" s="356"/>
      <c r="F90" s="11">
        <v>100</v>
      </c>
      <c r="G90" s="11">
        <v>1</v>
      </c>
      <c r="H90" s="12">
        <v>2125</v>
      </c>
      <c r="I90" s="13">
        <f t="shared" si="10"/>
        <v>1371.6875</v>
      </c>
      <c r="J90" s="12"/>
      <c r="K90" s="14">
        <f t="shared" si="11"/>
        <v>3496.6875</v>
      </c>
    </row>
    <row r="91" spans="1:11" ht="18" customHeight="1">
      <c r="A91" s="6" t="s">
        <v>110</v>
      </c>
      <c r="B91" s="63" t="s">
        <v>111</v>
      </c>
      <c r="F91" s="11">
        <v>1952.5</v>
      </c>
      <c r="G91" s="11">
        <v>574</v>
      </c>
      <c r="H91" s="12">
        <v>97798</v>
      </c>
      <c r="I91" s="13">
        <f t="shared" si="10"/>
        <v>63128.608999999997</v>
      </c>
      <c r="J91" s="12"/>
      <c r="K91" s="14">
        <f t="shared" si="11"/>
        <v>160926.609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>
        <v>455</v>
      </c>
      <c r="G93" s="11">
        <v>63</v>
      </c>
      <c r="H93" s="12">
        <v>51264</v>
      </c>
      <c r="I93" s="13">
        <f t="shared" si="10"/>
        <v>33090.911999999997</v>
      </c>
      <c r="J93" s="12"/>
      <c r="K93" s="14">
        <f t="shared" si="11"/>
        <v>84354.911999999997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3080.5</v>
      </c>
      <c r="G99" s="19">
        <f t="shared" si="12"/>
        <v>695</v>
      </c>
      <c r="H99" s="19">
        <f t="shared" si="12"/>
        <v>185195</v>
      </c>
      <c r="I99" s="19">
        <f t="shared" si="12"/>
        <v>119543.37249999998</v>
      </c>
      <c r="J99" s="19">
        <f t="shared" si="12"/>
        <v>0</v>
      </c>
      <c r="K99" s="19">
        <f t="shared" si="12"/>
        <v>304738.3725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>
        <f>158889+154676</f>
        <v>313565</v>
      </c>
      <c r="I103" s="13">
        <f t="shared" ref="I103:I108" si="13">H103*F$116</f>
        <v>202406.20749999999</v>
      </c>
      <c r="J103" s="12"/>
      <c r="K103" s="14">
        <f t="shared" ref="K103:K108" si="14">(H103+I103)-J103</f>
        <v>515971.20750000002</v>
      </c>
    </row>
    <row r="104" spans="1:11" ht="18" customHeight="1">
      <c r="A104" s="6" t="s">
        <v>121</v>
      </c>
      <c r="B104" s="386" t="s">
        <v>122</v>
      </c>
      <c r="C104" s="386"/>
      <c r="F104" s="11">
        <v>15.5</v>
      </c>
      <c r="G104" s="11">
        <v>7</v>
      </c>
      <c r="H104" s="12">
        <v>833</v>
      </c>
      <c r="I104" s="13">
        <f t="shared" si="13"/>
        <v>537.70150000000001</v>
      </c>
      <c r="J104" s="12"/>
      <c r="K104" s="14">
        <f t="shared" si="14"/>
        <v>1370.7015000000001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>
        <v>73</v>
      </c>
      <c r="G106" s="11">
        <v>43</v>
      </c>
      <c r="H106" s="12">
        <v>2189</v>
      </c>
      <c r="I106" s="13">
        <f t="shared" si="13"/>
        <v>1412.9994999999999</v>
      </c>
      <c r="J106" s="12"/>
      <c r="K106" s="14">
        <f t="shared" si="14"/>
        <v>3601.9994999999999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88.5</v>
      </c>
      <c r="G110" s="19">
        <f t="shared" si="15"/>
        <v>50</v>
      </c>
      <c r="H110" s="14">
        <f t="shared" si="15"/>
        <v>316587</v>
      </c>
      <c r="I110" s="14">
        <f t="shared" si="15"/>
        <v>204356.90849999999</v>
      </c>
      <c r="J110" s="14">
        <f t="shared" si="15"/>
        <v>0</v>
      </c>
      <c r="K110" s="14">
        <f t="shared" si="15"/>
        <v>520943.90850000002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1016205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0.64549999999999996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78728168</v>
      </c>
    </row>
    <row r="120" spans="1:6" ht="18" customHeight="1">
      <c r="B120" s="2" t="s">
        <v>137</v>
      </c>
      <c r="F120" s="12">
        <v>441294</v>
      </c>
    </row>
    <row r="121" spans="1:6" ht="18" customHeight="1">
      <c r="A121" s="6"/>
      <c r="B121" s="5" t="s">
        <v>138</v>
      </c>
      <c r="F121" s="12">
        <v>79169462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78925917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243545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1019099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1262645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5732.6</v>
      </c>
      <c r="G144" s="54">
        <f t="shared" si="18"/>
        <v>815</v>
      </c>
      <c r="H144" s="54">
        <f t="shared" si="18"/>
        <v>776266</v>
      </c>
      <c r="I144" s="54">
        <f t="shared" si="18"/>
        <v>501079.70299999998</v>
      </c>
      <c r="J144" s="54">
        <f t="shared" si="18"/>
        <v>150</v>
      </c>
      <c r="K144" s="54">
        <f t="shared" si="18"/>
        <v>1277195.703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10303.5</v>
      </c>
      <c r="G145" s="54">
        <f t="shared" si="19"/>
        <v>536</v>
      </c>
      <c r="H145" s="54">
        <f t="shared" si="19"/>
        <v>289988</v>
      </c>
      <c r="I145" s="54">
        <f t="shared" si="19"/>
        <v>0</v>
      </c>
      <c r="J145" s="54">
        <f t="shared" si="19"/>
        <v>0</v>
      </c>
      <c r="K145" s="54">
        <f t="shared" si="19"/>
        <v>289988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4484.5</v>
      </c>
      <c r="G146" s="54">
        <f t="shared" si="20"/>
        <v>2273</v>
      </c>
      <c r="H146" s="54">
        <f t="shared" si="20"/>
        <v>493875</v>
      </c>
      <c r="I146" s="54">
        <f t="shared" si="20"/>
        <v>103788.0085</v>
      </c>
      <c r="J146" s="54">
        <f t="shared" si="20"/>
        <v>68299</v>
      </c>
      <c r="K146" s="54">
        <f t="shared" si="20"/>
        <v>529364.0085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72</v>
      </c>
      <c r="G147" s="54">
        <f t="shared" si="21"/>
        <v>12</v>
      </c>
      <c r="H147" s="54">
        <f t="shared" si="21"/>
        <v>5254</v>
      </c>
      <c r="I147" s="54">
        <f t="shared" si="21"/>
        <v>0</v>
      </c>
      <c r="J147" s="54">
        <f t="shared" si="21"/>
        <v>0</v>
      </c>
      <c r="K147" s="54">
        <f t="shared" si="21"/>
        <v>5254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7713.5</v>
      </c>
      <c r="G148" s="54">
        <f t="shared" si="22"/>
        <v>121</v>
      </c>
      <c r="H148" s="54">
        <f t="shared" si="22"/>
        <v>81539</v>
      </c>
      <c r="I148" s="54">
        <f t="shared" si="22"/>
        <v>0</v>
      </c>
      <c r="J148" s="54">
        <f t="shared" si="22"/>
        <v>0</v>
      </c>
      <c r="K148" s="54">
        <f t="shared" si="22"/>
        <v>81539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3080.5</v>
      </c>
      <c r="G149" s="54">
        <f t="shared" si="23"/>
        <v>695</v>
      </c>
      <c r="H149" s="54">
        <f t="shared" si="23"/>
        <v>185195</v>
      </c>
      <c r="I149" s="54">
        <f t="shared" si="23"/>
        <v>119543.37249999998</v>
      </c>
      <c r="J149" s="54">
        <f t="shared" si="23"/>
        <v>0</v>
      </c>
      <c r="K149" s="54">
        <f t="shared" si="23"/>
        <v>304738.3725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88.5</v>
      </c>
      <c r="G150" s="19">
        <f t="shared" si="24"/>
        <v>50</v>
      </c>
      <c r="H150" s="19">
        <f t="shared" si="24"/>
        <v>316587</v>
      </c>
      <c r="I150" s="19">
        <f t="shared" si="24"/>
        <v>204356.90849999999</v>
      </c>
      <c r="J150" s="19">
        <f t="shared" si="24"/>
        <v>0</v>
      </c>
      <c r="K150" s="19">
        <f t="shared" si="24"/>
        <v>520943.90850000002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1016205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31475.1</v>
      </c>
      <c r="G154" s="60">
        <f t="shared" si="26"/>
        <v>4502</v>
      </c>
      <c r="H154" s="60">
        <f t="shared" si="26"/>
        <v>2148704</v>
      </c>
      <c r="I154" s="60">
        <f t="shared" si="26"/>
        <v>928767.99249999993</v>
      </c>
      <c r="J154" s="60">
        <f t="shared" si="26"/>
        <v>68449</v>
      </c>
      <c r="K154" s="61">
        <f t="shared" si="26"/>
        <v>4025227.9925000002</v>
      </c>
    </row>
    <row r="156" spans="1:11" ht="18" customHeight="1">
      <c r="B156" s="5" t="s">
        <v>178</v>
      </c>
      <c r="F156" s="62">
        <f>K154/F123</f>
        <v>5.1000078877765843E-2</v>
      </c>
    </row>
    <row r="157" spans="1:11" ht="18" customHeight="1">
      <c r="B157" s="5" t="s">
        <v>179</v>
      </c>
      <c r="F157" s="62">
        <f>K154/F129</f>
        <v>3.187933261130405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1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100" zoomScaleSheetLayoutView="7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637</v>
      </c>
      <c r="D5" s="363"/>
      <c r="E5" s="363"/>
      <c r="F5" s="363"/>
      <c r="G5" s="364"/>
    </row>
    <row r="6" spans="1:11" ht="18" customHeight="1">
      <c r="B6" s="6" t="s">
        <v>4</v>
      </c>
      <c r="C6" s="441">
        <v>1</v>
      </c>
      <c r="D6" s="436"/>
      <c r="E6" s="436"/>
      <c r="F6" s="436"/>
      <c r="G6" s="437"/>
    </row>
    <row r="7" spans="1:11" ht="18" customHeight="1">
      <c r="B7" s="6" t="s">
        <v>5</v>
      </c>
      <c r="C7" s="438">
        <v>2211</v>
      </c>
      <c r="D7" s="439"/>
      <c r="E7" s="439"/>
      <c r="F7" s="439"/>
      <c r="G7" s="440"/>
    </row>
    <row r="9" spans="1:11" ht="18" customHeight="1">
      <c r="B9" s="6" t="s">
        <v>6</v>
      </c>
      <c r="C9" s="387" t="s">
        <v>636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635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634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6307.1</v>
      </c>
      <c r="G18" s="11">
        <v>3147319</v>
      </c>
      <c r="H18" s="12">
        <v>545297</v>
      </c>
      <c r="I18" s="13">
        <f t="shared" ref="I18:I32" si="0">H18*F$116</f>
        <v>259561.37199999997</v>
      </c>
      <c r="J18" s="12">
        <v>2935</v>
      </c>
      <c r="K18" s="14">
        <f t="shared" ref="K18:K32" si="1">(H18+I18)-J18</f>
        <v>801923.37199999997</v>
      </c>
    </row>
    <row r="19" spans="1:11" ht="18" customHeight="1">
      <c r="A19" s="6"/>
      <c r="B19" s="2" t="s">
        <v>23</v>
      </c>
      <c r="F19" s="11">
        <v>10749.3</v>
      </c>
      <c r="G19" s="11">
        <v>17274</v>
      </c>
      <c r="H19" s="12">
        <v>343127</v>
      </c>
      <c r="I19" s="13">
        <f t="shared" si="0"/>
        <v>163328.45199999999</v>
      </c>
      <c r="J19" s="12">
        <v>2678</v>
      </c>
      <c r="K19" s="14">
        <f t="shared" si="1"/>
        <v>503777.45199999999</v>
      </c>
    </row>
    <row r="20" spans="1:11" ht="18" customHeight="1">
      <c r="A20" s="6"/>
      <c r="B20" s="2" t="s">
        <v>24</v>
      </c>
      <c r="F20" s="11">
        <v>1705.2</v>
      </c>
      <c r="G20" s="11">
        <v>1382</v>
      </c>
      <c r="H20" s="12">
        <v>76594</v>
      </c>
      <c r="I20" s="13">
        <f t="shared" si="0"/>
        <v>36458.743999999999</v>
      </c>
      <c r="J20" s="12">
        <v>7800</v>
      </c>
      <c r="K20" s="14">
        <f t="shared" si="1"/>
        <v>105252.74400000001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0"/>
        <v>0</v>
      </c>
      <c r="J21" s="12"/>
      <c r="K21" s="14">
        <f t="shared" si="1"/>
        <v>0</v>
      </c>
    </row>
    <row r="22" spans="1:11" ht="18" customHeight="1">
      <c r="A22" s="6"/>
      <c r="B22" s="2" t="s">
        <v>27</v>
      </c>
      <c r="F22" s="11">
        <v>343.8</v>
      </c>
      <c r="G22" s="11">
        <v>745</v>
      </c>
      <c r="H22" s="12">
        <v>12819</v>
      </c>
      <c r="I22" s="13">
        <f t="shared" si="0"/>
        <v>6101.8440000000001</v>
      </c>
      <c r="J22" s="12">
        <v>0</v>
      </c>
      <c r="K22" s="14">
        <f t="shared" si="1"/>
        <v>18920.844000000001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0"/>
        <v>0</v>
      </c>
      <c r="J23" s="12"/>
      <c r="K23" s="14">
        <f t="shared" si="1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0"/>
        <v>0</v>
      </c>
      <c r="J24" s="12"/>
      <c r="K24" s="14">
        <f t="shared" si="1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0"/>
        <v>0</v>
      </c>
      <c r="J25" s="12"/>
      <c r="K25" s="14">
        <f t="shared" si="1"/>
        <v>0</v>
      </c>
    </row>
    <row r="26" spans="1:11" ht="18" customHeight="1">
      <c r="A26" s="6" t="s">
        <v>31</v>
      </c>
      <c r="B26" s="2" t="s">
        <v>32</v>
      </c>
      <c r="F26" s="11">
        <v>9984.9</v>
      </c>
      <c r="G26" s="11">
        <v>9348</v>
      </c>
      <c r="H26" s="12">
        <v>299306</v>
      </c>
      <c r="I26" s="13">
        <f t="shared" si="0"/>
        <v>142469.65599999999</v>
      </c>
      <c r="J26" s="12">
        <v>0</v>
      </c>
      <c r="K26" s="14">
        <f t="shared" si="1"/>
        <v>441775.65599999996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0"/>
        <v>0</v>
      </c>
      <c r="J27" s="12"/>
      <c r="K27" s="14">
        <f t="shared" si="1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0"/>
        <v>0</v>
      </c>
      <c r="J28" s="12"/>
      <c r="K28" s="14">
        <f t="shared" si="1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0"/>
        <v>0</v>
      </c>
      <c r="J29" s="12"/>
      <c r="K29" s="14">
        <f t="shared" si="1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0"/>
        <v>0</v>
      </c>
      <c r="J30" s="12"/>
      <c r="K30" s="14">
        <f t="shared" si="1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0"/>
        <v>0</v>
      </c>
      <c r="J31" s="12"/>
      <c r="K31" s="14">
        <f t="shared" si="1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0"/>
        <v>0</v>
      </c>
      <c r="J32" s="12"/>
      <c r="K32" s="14">
        <f t="shared" si="1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29090.300000000003</v>
      </c>
      <c r="G34" s="19">
        <f t="shared" si="2"/>
        <v>3176068</v>
      </c>
      <c r="H34" s="14">
        <f t="shared" si="2"/>
        <v>1277143</v>
      </c>
      <c r="I34" s="14">
        <f t="shared" si="2"/>
        <v>607920.06799999997</v>
      </c>
      <c r="J34" s="14">
        <f t="shared" si="2"/>
        <v>13413</v>
      </c>
      <c r="K34" s="14">
        <f t="shared" si="2"/>
        <v>1871650.068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>
        <v>108</v>
      </c>
      <c r="G41" s="11">
        <v>248</v>
      </c>
      <c r="H41" s="12">
        <v>3453</v>
      </c>
      <c r="I41" s="13">
        <v>0</v>
      </c>
      <c r="J41" s="12">
        <v>0</v>
      </c>
      <c r="K41" s="14">
        <f t="shared" si="3"/>
        <v>3453</v>
      </c>
    </row>
    <row r="42" spans="1:11" ht="18" customHeight="1">
      <c r="A42" s="6" t="s">
        <v>52</v>
      </c>
      <c r="B42" s="63" t="s">
        <v>53</v>
      </c>
      <c r="F42" s="11">
        <v>1365.5</v>
      </c>
      <c r="G42" s="11">
        <v>810</v>
      </c>
      <c r="H42" s="12">
        <v>60990</v>
      </c>
      <c r="I42" s="13">
        <v>0</v>
      </c>
      <c r="J42" s="12">
        <v>0</v>
      </c>
      <c r="K42" s="14">
        <f t="shared" si="3"/>
        <v>60990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>
        <v>0</v>
      </c>
      <c r="K43" s="14">
        <f t="shared" si="3"/>
        <v>0</v>
      </c>
    </row>
    <row r="44" spans="1:11" ht="18" customHeight="1">
      <c r="A44" s="6" t="s">
        <v>55</v>
      </c>
      <c r="B44" s="378" t="s">
        <v>633</v>
      </c>
      <c r="C44" s="379"/>
      <c r="D44" s="380"/>
      <c r="F44" s="11">
        <v>230</v>
      </c>
      <c r="G44" s="11">
        <v>304</v>
      </c>
      <c r="H44" s="12">
        <v>7653</v>
      </c>
      <c r="I44" s="13">
        <v>0</v>
      </c>
      <c r="J44" s="12">
        <v>0</v>
      </c>
      <c r="K44" s="14">
        <f t="shared" si="3"/>
        <v>7653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1703.5</v>
      </c>
      <c r="G48" s="25">
        <f t="shared" si="4"/>
        <v>1362</v>
      </c>
      <c r="H48" s="14">
        <f t="shared" si="4"/>
        <v>72096</v>
      </c>
      <c r="I48" s="14">
        <f t="shared" si="4"/>
        <v>0</v>
      </c>
      <c r="J48" s="14">
        <f t="shared" si="4"/>
        <v>0</v>
      </c>
      <c r="K48" s="14">
        <f t="shared" si="4"/>
        <v>72096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632</v>
      </c>
      <c r="C52" s="385"/>
      <c r="D52" s="359"/>
      <c r="F52" s="11">
        <v>24341</v>
      </c>
      <c r="G52" s="11">
        <v>7566</v>
      </c>
      <c r="H52" s="12">
        <v>1390082</v>
      </c>
      <c r="I52" s="13">
        <f>H52*F$116</f>
        <v>661679.03200000001</v>
      </c>
      <c r="J52" s="12">
        <v>644512</v>
      </c>
      <c r="K52" s="14">
        <f t="shared" ref="K52:K61" si="5">(H52+I52)-J52</f>
        <v>1407249.0320000001</v>
      </c>
    </row>
    <row r="53" spans="1:11" ht="18" customHeight="1">
      <c r="A53" s="6" t="s">
        <v>63</v>
      </c>
      <c r="B53" s="27" t="s">
        <v>631</v>
      </c>
      <c r="C53" s="28"/>
      <c r="D53" s="29"/>
      <c r="F53" s="11">
        <v>3317</v>
      </c>
      <c r="G53" s="11">
        <v>3348</v>
      </c>
      <c r="H53" s="12">
        <v>110978</v>
      </c>
      <c r="I53" s="13">
        <f>H53*F$116</f>
        <v>52825.527999999998</v>
      </c>
      <c r="J53" s="12">
        <v>75939</v>
      </c>
      <c r="K53" s="14">
        <f t="shared" si="5"/>
        <v>87864.527999999991</v>
      </c>
    </row>
    <row r="54" spans="1:11" ht="18" customHeight="1">
      <c r="A54" s="6" t="s">
        <v>65</v>
      </c>
      <c r="B54" s="381" t="s">
        <v>630</v>
      </c>
      <c r="C54" s="358"/>
      <c r="D54" s="359"/>
      <c r="F54" s="11">
        <v>16196</v>
      </c>
      <c r="G54" s="11">
        <v>6333</v>
      </c>
      <c r="H54" s="12">
        <v>1064189</v>
      </c>
      <c r="I54" s="13">
        <f>H54*F$116</f>
        <v>506553.96399999998</v>
      </c>
      <c r="J54" s="12">
        <v>249454</v>
      </c>
      <c r="K54" s="14">
        <f t="shared" si="5"/>
        <v>1321288.9639999999</v>
      </c>
    </row>
    <row r="55" spans="1:11" ht="18" customHeight="1">
      <c r="A55" s="6" t="s">
        <v>67</v>
      </c>
      <c r="B55" s="381" t="s">
        <v>629</v>
      </c>
      <c r="C55" s="358"/>
      <c r="D55" s="359"/>
      <c r="F55" s="11">
        <v>17901</v>
      </c>
      <c r="G55" s="11">
        <v>15896</v>
      </c>
      <c r="H55" s="12">
        <v>1812326</v>
      </c>
      <c r="I55" s="13">
        <f>H55*F$116</f>
        <v>862667.17599999998</v>
      </c>
      <c r="J55" s="12">
        <v>1142061</v>
      </c>
      <c r="K55" s="14">
        <f t="shared" si="5"/>
        <v>1532932.176</v>
      </c>
    </row>
    <row r="56" spans="1:11" ht="18" customHeight="1">
      <c r="A56" s="6" t="s">
        <v>69</v>
      </c>
      <c r="B56" s="381" t="s">
        <v>628</v>
      </c>
      <c r="C56" s="358"/>
      <c r="D56" s="359"/>
      <c r="F56" s="11">
        <v>2508</v>
      </c>
      <c r="G56" s="11">
        <v>818</v>
      </c>
      <c r="H56" s="12">
        <v>3974298</v>
      </c>
      <c r="I56" s="13">
        <v>0</v>
      </c>
      <c r="J56" s="12">
        <v>999909</v>
      </c>
      <c r="K56" s="14">
        <f t="shared" si="5"/>
        <v>2974389</v>
      </c>
    </row>
    <row r="57" spans="1:11" ht="18" customHeight="1">
      <c r="A57" s="6" t="s">
        <v>71</v>
      </c>
      <c r="B57" s="27" t="s">
        <v>627</v>
      </c>
      <c r="C57" s="28"/>
      <c r="D57" s="29"/>
      <c r="F57" s="11"/>
      <c r="G57" s="11"/>
      <c r="H57" s="12">
        <v>638750</v>
      </c>
      <c r="I57" s="13">
        <v>0</v>
      </c>
      <c r="J57" s="12">
        <v>0</v>
      </c>
      <c r="K57" s="14">
        <f t="shared" si="5"/>
        <v>638750</v>
      </c>
    </row>
    <row r="58" spans="1:11" ht="18" customHeight="1">
      <c r="A58" s="6" t="s">
        <v>73</v>
      </c>
      <c r="B58" s="381" t="s">
        <v>626</v>
      </c>
      <c r="C58" s="358"/>
      <c r="D58" s="359"/>
      <c r="F58" s="11"/>
      <c r="G58" s="11"/>
      <c r="H58" s="12">
        <v>1213875</v>
      </c>
      <c r="I58" s="13">
        <v>0</v>
      </c>
      <c r="J58" s="12">
        <v>0</v>
      </c>
      <c r="K58" s="14">
        <f t="shared" si="5"/>
        <v>1213875</v>
      </c>
    </row>
    <row r="59" spans="1:11" ht="18" customHeight="1">
      <c r="A59" s="6" t="s">
        <v>75</v>
      </c>
      <c r="B59" s="27" t="s">
        <v>625</v>
      </c>
      <c r="C59" s="28"/>
      <c r="D59" s="29"/>
      <c r="F59" s="11">
        <v>6</v>
      </c>
      <c r="G59" s="11"/>
      <c r="H59" s="12">
        <v>361</v>
      </c>
      <c r="I59" s="13">
        <f>H59*F$116</f>
        <v>171.83599999999998</v>
      </c>
      <c r="J59" s="12">
        <v>225</v>
      </c>
      <c r="K59" s="14">
        <f t="shared" si="5"/>
        <v>307.83600000000001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64269</v>
      </c>
      <c r="G63" s="19">
        <f t="shared" si="6"/>
        <v>33961</v>
      </c>
      <c r="H63" s="14">
        <f t="shared" si="6"/>
        <v>10204859</v>
      </c>
      <c r="I63" s="14">
        <f t="shared" si="6"/>
        <v>2083897.5359999998</v>
      </c>
      <c r="J63" s="14">
        <f t="shared" si="6"/>
        <v>3112100</v>
      </c>
      <c r="K63" s="14">
        <f t="shared" si="6"/>
        <v>9176656.5359999985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>
        <v>7220</v>
      </c>
      <c r="G67" s="34">
        <v>130</v>
      </c>
      <c r="H67" s="34">
        <v>614856</v>
      </c>
      <c r="I67" s="13">
        <f>H67*F$116</f>
        <v>292671.45600000001</v>
      </c>
      <c r="J67" s="34">
        <v>553205</v>
      </c>
      <c r="K67" s="14">
        <f t="shared" ref="K67:K72" si="7">(H67+I67)-J67</f>
        <v>354322.45600000001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7220</v>
      </c>
      <c r="G74" s="43">
        <f t="shared" si="8"/>
        <v>130</v>
      </c>
      <c r="H74" s="43">
        <f t="shared" si="8"/>
        <v>614856</v>
      </c>
      <c r="I74" s="43">
        <f t="shared" si="8"/>
        <v>292671.45600000001</v>
      </c>
      <c r="J74" s="43">
        <f t="shared" si="8"/>
        <v>553205</v>
      </c>
      <c r="K74" s="43">
        <f t="shared" si="8"/>
        <v>354322.45600000001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6.5</v>
      </c>
      <c r="G77" s="11">
        <v>2</v>
      </c>
      <c r="H77" s="12">
        <v>770</v>
      </c>
      <c r="I77" s="13">
        <v>0</v>
      </c>
      <c r="J77" s="12"/>
      <c r="K77" s="14">
        <f>(H77+I77)-J77</f>
        <v>770</v>
      </c>
    </row>
    <row r="78" spans="1:11" ht="18" customHeight="1">
      <c r="A78" s="6" t="s">
        <v>93</v>
      </c>
      <c r="B78" s="63" t="s">
        <v>94</v>
      </c>
      <c r="F78" s="11"/>
      <c r="G78" s="11"/>
      <c r="H78" s="12">
        <v>336814</v>
      </c>
      <c r="I78" s="13">
        <v>0</v>
      </c>
      <c r="J78" s="12">
        <v>296845</v>
      </c>
      <c r="K78" s="14">
        <f>(H78+I78)-J78</f>
        <v>39969</v>
      </c>
    </row>
    <row r="79" spans="1:11" ht="18" customHeight="1">
      <c r="A79" s="6" t="s">
        <v>95</v>
      </c>
      <c r="B79" s="63" t="s">
        <v>96</v>
      </c>
      <c r="F79" s="11">
        <v>818.8</v>
      </c>
      <c r="G79" s="11">
        <v>7505</v>
      </c>
      <c r="H79" s="12">
        <v>189673</v>
      </c>
      <c r="I79" s="13">
        <v>0</v>
      </c>
      <c r="J79" s="12">
        <v>0</v>
      </c>
      <c r="K79" s="14">
        <f>(H79+I79)-J79</f>
        <v>189673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825.3</v>
      </c>
      <c r="G82" s="44">
        <f t="shared" si="9"/>
        <v>7507</v>
      </c>
      <c r="H82" s="45">
        <f t="shared" si="9"/>
        <v>527257</v>
      </c>
      <c r="I82" s="45">
        <f t="shared" si="9"/>
        <v>0</v>
      </c>
      <c r="J82" s="45">
        <f t="shared" si="9"/>
        <v>296845</v>
      </c>
      <c r="K82" s="45">
        <f t="shared" si="9"/>
        <v>230412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>
        <v>118.5</v>
      </c>
      <c r="G88" s="11">
        <v>37</v>
      </c>
      <c r="H88" s="12">
        <v>4592</v>
      </c>
      <c r="I88" s="13">
        <f t="shared" si="10"/>
        <v>2185.7919999999999</v>
      </c>
      <c r="J88" s="12"/>
      <c r="K88" s="14">
        <f t="shared" si="11"/>
        <v>6777.7919999999995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v>846.6</v>
      </c>
      <c r="G92" s="46">
        <v>2154</v>
      </c>
      <c r="H92" s="47">
        <v>32399</v>
      </c>
      <c r="I92" s="13">
        <f t="shared" si="10"/>
        <v>15421.923999999999</v>
      </c>
      <c r="J92" s="47"/>
      <c r="K92" s="14">
        <f t="shared" si="11"/>
        <v>47820.923999999999</v>
      </c>
    </row>
    <row r="93" spans="1:11" ht="18" customHeight="1">
      <c r="A93" s="6" t="s">
        <v>114</v>
      </c>
      <c r="B93" s="63" t="s">
        <v>115</v>
      </c>
      <c r="F93" s="11">
        <v>411</v>
      </c>
      <c r="G93" s="11">
        <v>754</v>
      </c>
      <c r="H93" s="12">
        <v>13529</v>
      </c>
      <c r="I93" s="13">
        <f t="shared" si="10"/>
        <v>6439.8040000000001</v>
      </c>
      <c r="J93" s="12">
        <v>754</v>
      </c>
      <c r="K93" s="14">
        <f t="shared" si="11"/>
        <v>19214.804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1376.1</v>
      </c>
      <c r="G99" s="19">
        <f t="shared" si="12"/>
        <v>2945</v>
      </c>
      <c r="H99" s="19">
        <f t="shared" si="12"/>
        <v>50520</v>
      </c>
      <c r="I99" s="19">
        <f t="shared" si="12"/>
        <v>24047.52</v>
      </c>
      <c r="J99" s="19">
        <f t="shared" si="12"/>
        <v>754</v>
      </c>
      <c r="K99" s="19">
        <f t="shared" si="12"/>
        <v>73813.52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231.3</v>
      </c>
      <c r="G103" s="11">
        <v>6</v>
      </c>
      <c r="H103" s="12">
        <v>10174</v>
      </c>
      <c r="I103" s="13">
        <f t="shared" ref="I103:I108" si="13">H103*F$116</f>
        <v>4842.8239999999996</v>
      </c>
      <c r="J103" s="12">
        <v>0</v>
      </c>
      <c r="K103" s="14">
        <f t="shared" ref="K103:K108" si="14">(H103+I103)-J103</f>
        <v>15016.824000000001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231.3</v>
      </c>
      <c r="G110" s="19">
        <f t="shared" si="15"/>
        <v>6</v>
      </c>
      <c r="H110" s="14">
        <f t="shared" si="15"/>
        <v>10174</v>
      </c>
      <c r="I110" s="14">
        <f t="shared" si="15"/>
        <v>4842.8239999999996</v>
      </c>
      <c r="J110" s="14">
        <f t="shared" si="15"/>
        <v>0</v>
      </c>
      <c r="K110" s="14">
        <f t="shared" si="15"/>
        <v>15016.824000000001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10028718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0.47599999999999998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243097000</v>
      </c>
    </row>
    <row r="120" spans="1:6" ht="18" customHeight="1">
      <c r="B120" s="2" t="s">
        <v>137</v>
      </c>
      <c r="F120" s="12">
        <v>4213600</v>
      </c>
    </row>
    <row r="121" spans="1:6" ht="18" customHeight="1">
      <c r="A121" s="6"/>
      <c r="B121" s="5" t="s">
        <v>138</v>
      </c>
      <c r="F121" s="12">
        <f>F120+F119</f>
        <v>247310600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243536900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3773700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f>-4440000-147500</f>
        <v>-4587500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-813800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 t="s">
        <v>624</v>
      </c>
      <c r="C136" s="379"/>
      <c r="D136" s="380"/>
      <c r="F136" s="11"/>
      <c r="G136" s="11">
        <v>2</v>
      </c>
      <c r="H136" s="12">
        <v>2455.4499999999998</v>
      </c>
      <c r="I136" s="13">
        <v>0</v>
      </c>
      <c r="J136" s="12"/>
      <c r="K136" s="14">
        <f t="shared" si="16"/>
        <v>2455.4499999999998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2</v>
      </c>
      <c r="H140" s="14">
        <f t="shared" si="17"/>
        <v>2455.4499999999998</v>
      </c>
      <c r="I140" s="14">
        <f t="shared" si="17"/>
        <v>0</v>
      </c>
      <c r="J140" s="14">
        <f t="shared" si="17"/>
        <v>0</v>
      </c>
      <c r="K140" s="14">
        <f t="shared" si="17"/>
        <v>2455.4499999999998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29090.300000000003</v>
      </c>
      <c r="G144" s="54">
        <f t="shared" si="18"/>
        <v>3176068</v>
      </c>
      <c r="H144" s="54">
        <f t="shared" si="18"/>
        <v>1277143</v>
      </c>
      <c r="I144" s="54">
        <f t="shared" si="18"/>
        <v>607920.06799999997</v>
      </c>
      <c r="J144" s="54">
        <f t="shared" si="18"/>
        <v>13413</v>
      </c>
      <c r="K144" s="54">
        <f t="shared" si="18"/>
        <v>1871650.068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1703.5</v>
      </c>
      <c r="G145" s="54">
        <f t="shared" si="19"/>
        <v>1362</v>
      </c>
      <c r="H145" s="54">
        <f t="shared" si="19"/>
        <v>72096</v>
      </c>
      <c r="I145" s="54">
        <f t="shared" si="19"/>
        <v>0</v>
      </c>
      <c r="J145" s="54">
        <f t="shared" si="19"/>
        <v>0</v>
      </c>
      <c r="K145" s="54">
        <f t="shared" si="19"/>
        <v>72096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64269</v>
      </c>
      <c r="G146" s="54">
        <f t="shared" si="20"/>
        <v>33961</v>
      </c>
      <c r="H146" s="54">
        <f t="shared" si="20"/>
        <v>10204859</v>
      </c>
      <c r="I146" s="54">
        <f t="shared" si="20"/>
        <v>2083897.5359999998</v>
      </c>
      <c r="J146" s="54">
        <f t="shared" si="20"/>
        <v>3112100</v>
      </c>
      <c r="K146" s="54">
        <f t="shared" si="20"/>
        <v>9176656.5359999985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7220</v>
      </c>
      <c r="G147" s="54">
        <f t="shared" si="21"/>
        <v>130</v>
      </c>
      <c r="H147" s="54">
        <f t="shared" si="21"/>
        <v>614856</v>
      </c>
      <c r="I147" s="54">
        <f t="shared" si="21"/>
        <v>292671.45600000001</v>
      </c>
      <c r="J147" s="54">
        <f t="shared" si="21"/>
        <v>553205</v>
      </c>
      <c r="K147" s="54">
        <f t="shared" si="21"/>
        <v>354322.45600000001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825.3</v>
      </c>
      <c r="G148" s="54">
        <f t="shared" si="22"/>
        <v>7507</v>
      </c>
      <c r="H148" s="54">
        <f t="shared" si="22"/>
        <v>527257</v>
      </c>
      <c r="I148" s="54">
        <f t="shared" si="22"/>
        <v>0</v>
      </c>
      <c r="J148" s="54">
        <f t="shared" si="22"/>
        <v>296845</v>
      </c>
      <c r="K148" s="54">
        <f t="shared" si="22"/>
        <v>230412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1376.1</v>
      </c>
      <c r="G149" s="54">
        <f t="shared" si="23"/>
        <v>2945</v>
      </c>
      <c r="H149" s="54">
        <f t="shared" si="23"/>
        <v>50520</v>
      </c>
      <c r="I149" s="54">
        <f t="shared" si="23"/>
        <v>24047.52</v>
      </c>
      <c r="J149" s="54">
        <f t="shared" si="23"/>
        <v>754</v>
      </c>
      <c r="K149" s="54">
        <f t="shared" si="23"/>
        <v>73813.52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231.3</v>
      </c>
      <c r="G150" s="19">
        <f t="shared" si="24"/>
        <v>6</v>
      </c>
      <c r="H150" s="19">
        <f t="shared" si="24"/>
        <v>10174</v>
      </c>
      <c r="I150" s="19">
        <f t="shared" si="24"/>
        <v>4842.8239999999996</v>
      </c>
      <c r="J150" s="19">
        <f t="shared" si="24"/>
        <v>0</v>
      </c>
      <c r="K150" s="19">
        <f t="shared" si="24"/>
        <v>15016.824000000001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10028718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2</v>
      </c>
      <c r="H152" s="19">
        <f t="shared" si="25"/>
        <v>2455.4499999999998</v>
      </c>
      <c r="I152" s="19">
        <f t="shared" si="25"/>
        <v>0</v>
      </c>
      <c r="J152" s="19">
        <f t="shared" si="25"/>
        <v>0</v>
      </c>
      <c r="K152" s="19">
        <f t="shared" si="25"/>
        <v>2455.4499999999998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104715.50000000001</v>
      </c>
      <c r="G154" s="60">
        <f t="shared" si="26"/>
        <v>3221981</v>
      </c>
      <c r="H154" s="60">
        <f t="shared" si="26"/>
        <v>12759360.449999999</v>
      </c>
      <c r="I154" s="60">
        <f t="shared" si="26"/>
        <v>3013379.4039999996</v>
      </c>
      <c r="J154" s="60">
        <f t="shared" si="26"/>
        <v>3976317</v>
      </c>
      <c r="K154" s="61">
        <f t="shared" si="26"/>
        <v>21825140.853999998</v>
      </c>
    </row>
    <row r="156" spans="1:11" ht="18" customHeight="1">
      <c r="B156" s="5" t="s">
        <v>178</v>
      </c>
      <c r="F156" s="233">
        <f>K154/F123</f>
        <v>8.9617387976934901E-2</v>
      </c>
    </row>
    <row r="157" spans="1:11" ht="18" customHeight="1">
      <c r="B157" s="5" t="s">
        <v>179</v>
      </c>
      <c r="F157" s="233">
        <f>K154/F129</f>
        <v>-26.818801737527647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51:C51"/>
    <mergeCell ref="B90:C90"/>
    <mergeCell ref="B52:D52"/>
    <mergeCell ref="B54:D54"/>
    <mergeCell ref="B55:D55"/>
    <mergeCell ref="B58:D58"/>
    <mergeCell ref="B61:D61"/>
    <mergeCell ref="B137:D137"/>
    <mergeCell ref="B138:D138"/>
    <mergeCell ref="B136:D136"/>
    <mergeCell ref="B106:D106"/>
    <mergeCell ref="B107:D107"/>
    <mergeCell ref="B108:D108"/>
    <mergeCell ref="D2:H2"/>
    <mergeCell ref="B44:D44"/>
    <mergeCell ref="B45:D45"/>
    <mergeCell ref="B46:D46"/>
    <mergeCell ref="B32:D32"/>
    <mergeCell ref="C11:G11"/>
    <mergeCell ref="B39:C39"/>
    <mergeCell ref="B29:D29"/>
    <mergeCell ref="C5:G5"/>
    <mergeCell ref="C6:G6"/>
    <mergeCell ref="C7:G7"/>
    <mergeCell ref="C9:G9"/>
    <mergeCell ref="C10:G10"/>
    <mergeCell ref="B13:H13"/>
    <mergeCell ref="B28:D28"/>
    <mergeCell ref="B95:D95"/>
    <mergeCell ref="B97:D97"/>
    <mergeCell ref="B96:D96"/>
    <mergeCell ref="B56:D56"/>
    <mergeCell ref="B104:C104"/>
  </mergeCells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K166"/>
  <sheetViews>
    <sheetView view="pageBreakPreview" zoomScale="80" zoomScaleNormal="80" zoomScaleSheetLayoutView="80" workbookViewId="0">
      <selection activeCell="B3" sqref="B3"/>
    </sheetView>
  </sheetViews>
  <sheetFormatPr defaultRowHeight="18" customHeight="1"/>
  <cols>
    <col min="1" max="1" width="4.7109375" style="68" customWidth="1"/>
    <col min="2" max="2" width="51.7109375" style="66" customWidth="1"/>
    <col min="3" max="3" width="9.5703125" style="66" customWidth="1"/>
    <col min="4" max="5" width="8.7109375" style="66" customWidth="1"/>
    <col min="6" max="6" width="15.85546875" style="70" customWidth="1"/>
    <col min="7" max="7" width="14.42578125" style="70" customWidth="1"/>
    <col min="8" max="9" width="11.7109375" style="66" customWidth="1"/>
    <col min="10" max="10" width="13.5703125" style="66" customWidth="1"/>
    <col min="11" max="11" width="14.42578125" style="66" customWidth="1"/>
    <col min="12" max="16384" width="9.140625" style="66"/>
  </cols>
  <sheetData>
    <row r="2" spans="1:11" ht="18" customHeight="1">
      <c r="E2" s="65" t="s">
        <v>0</v>
      </c>
    </row>
    <row r="3" spans="1:11" ht="18" customHeight="1">
      <c r="A3" s="66"/>
      <c r="C3" s="67"/>
      <c r="D3" s="67"/>
      <c r="E3" s="67"/>
      <c r="F3" s="67"/>
      <c r="G3" s="67"/>
      <c r="H3" s="67"/>
    </row>
    <row r="4" spans="1:11" ht="18" customHeight="1">
      <c r="B4" s="69" t="s">
        <v>1</v>
      </c>
    </row>
    <row r="6" spans="1:11" ht="18" customHeight="1">
      <c r="A6" s="71"/>
      <c r="B6" s="74" t="s">
        <v>665</v>
      </c>
      <c r="C6" s="401" t="s">
        <v>666</v>
      </c>
      <c r="D6" s="401"/>
      <c r="E6" s="401"/>
      <c r="F6" s="401"/>
      <c r="G6" s="401"/>
    </row>
    <row r="7" spans="1:11" ht="18" customHeight="1">
      <c r="A7" s="71"/>
      <c r="B7" s="74" t="s">
        <v>670</v>
      </c>
      <c r="C7" s="402">
        <v>43</v>
      </c>
      <c r="D7" s="402"/>
      <c r="E7" s="402"/>
      <c r="F7" s="402"/>
      <c r="G7" s="402"/>
    </row>
    <row r="8" spans="1:11" ht="18" customHeight="1">
      <c r="A8" s="71"/>
      <c r="B8" s="74" t="s">
        <v>671</v>
      </c>
      <c r="C8" s="403">
        <v>2578</v>
      </c>
      <c r="D8" s="403"/>
      <c r="E8" s="403"/>
      <c r="F8" s="403"/>
      <c r="G8" s="403"/>
    </row>
    <row r="9" spans="1:11" ht="18" customHeight="1">
      <c r="A9" s="71"/>
      <c r="B9" s="74"/>
      <c r="C9" s="404"/>
      <c r="D9" s="404"/>
      <c r="E9" s="404"/>
      <c r="F9" s="404"/>
      <c r="G9" s="404"/>
    </row>
    <row r="10" spans="1:11" ht="18" customHeight="1">
      <c r="A10" s="71"/>
      <c r="B10" s="74" t="s">
        <v>672</v>
      </c>
      <c r="C10" s="401" t="s">
        <v>667</v>
      </c>
      <c r="D10" s="401"/>
      <c r="E10" s="401"/>
      <c r="F10" s="401"/>
      <c r="G10" s="401"/>
    </row>
    <row r="11" spans="1:11" ht="18" customHeight="1">
      <c r="A11" s="71"/>
      <c r="B11" s="74" t="s">
        <v>673</v>
      </c>
      <c r="C11" s="405" t="s">
        <v>668</v>
      </c>
      <c r="D11" s="405"/>
      <c r="E11" s="405"/>
      <c r="F11" s="405"/>
      <c r="G11" s="405"/>
    </row>
    <row r="12" spans="1:11" ht="18" customHeight="1">
      <c r="A12" s="71"/>
      <c r="B12" s="74" t="s">
        <v>10</v>
      </c>
      <c r="C12" s="401" t="s">
        <v>669</v>
      </c>
      <c r="D12" s="401"/>
      <c r="E12" s="401"/>
      <c r="F12" s="401"/>
      <c r="G12" s="401"/>
    </row>
    <row r="13" spans="1:11" ht="18" customHeight="1">
      <c r="A13" s="71"/>
      <c r="B13" s="69"/>
      <c r="C13" s="72"/>
      <c r="D13" s="72"/>
      <c r="E13" s="72"/>
      <c r="F13" s="73"/>
      <c r="G13" s="73"/>
    </row>
    <row r="14" spans="1:11" ht="18" customHeight="1">
      <c r="A14" s="71"/>
      <c r="B14" s="69"/>
      <c r="C14" s="72"/>
      <c r="D14" s="72"/>
      <c r="E14" s="72"/>
      <c r="F14" s="73"/>
      <c r="G14" s="73"/>
    </row>
    <row r="15" spans="1:11" ht="16.5" customHeight="1">
      <c r="B15" s="74"/>
      <c r="C15" s="74"/>
      <c r="D15" s="74"/>
      <c r="E15" s="74"/>
      <c r="F15" s="75"/>
      <c r="G15" s="75"/>
    </row>
    <row r="16" spans="1:11" ht="49.5" customHeight="1">
      <c r="A16" s="249" t="s">
        <v>12</v>
      </c>
      <c r="B16" s="250"/>
      <c r="C16" s="250"/>
      <c r="D16" s="250"/>
      <c r="E16" s="250"/>
      <c r="F16" s="77" t="s">
        <v>13</v>
      </c>
      <c r="G16" s="77" t="s">
        <v>14</v>
      </c>
      <c r="H16" s="77" t="s">
        <v>15</v>
      </c>
      <c r="I16" s="77" t="s">
        <v>16</v>
      </c>
      <c r="J16" s="77" t="s">
        <v>17</v>
      </c>
      <c r="K16" s="77" t="s">
        <v>18</v>
      </c>
    </row>
    <row r="17" spans="1:11" ht="18" customHeight="1">
      <c r="A17" s="71" t="s">
        <v>19</v>
      </c>
      <c r="B17" s="69" t="s">
        <v>20</v>
      </c>
      <c r="F17" s="66"/>
      <c r="G17" s="66"/>
    </row>
    <row r="18" spans="1:11" ht="18" customHeight="1">
      <c r="A18" s="74" t="s">
        <v>21</v>
      </c>
      <c r="B18" s="66" t="s">
        <v>22</v>
      </c>
      <c r="F18" s="251">
        <v>166.5</v>
      </c>
      <c r="G18" s="251">
        <v>2275</v>
      </c>
      <c r="H18" s="252">
        <v>18146.77</v>
      </c>
      <c r="I18" s="253">
        <v>7850.2927019999997</v>
      </c>
      <c r="J18" s="252">
        <v>0</v>
      </c>
      <c r="K18" s="254">
        <v>25997.062701999999</v>
      </c>
    </row>
    <row r="19" spans="1:11" ht="18" customHeight="1">
      <c r="A19" s="74"/>
      <c r="B19" s="66" t="s">
        <v>23</v>
      </c>
      <c r="F19" s="251">
        <v>96.5</v>
      </c>
      <c r="G19" s="251">
        <v>830</v>
      </c>
      <c r="H19" s="252">
        <v>120.75</v>
      </c>
      <c r="I19" s="253">
        <v>52.236449999999998</v>
      </c>
      <c r="J19" s="252">
        <v>0</v>
      </c>
      <c r="K19" s="254">
        <v>172.98644999999999</v>
      </c>
    </row>
    <row r="20" spans="1:11" ht="18" customHeight="1">
      <c r="A20" s="74"/>
      <c r="B20" s="66" t="s">
        <v>24</v>
      </c>
      <c r="F20" s="251">
        <v>4</v>
      </c>
      <c r="G20" s="251">
        <v>175</v>
      </c>
      <c r="H20" s="252">
        <v>10721.74</v>
      </c>
      <c r="I20" s="253">
        <v>4638.2247239999997</v>
      </c>
      <c r="J20" s="252">
        <v>0</v>
      </c>
      <c r="K20" s="254">
        <v>15359.964723999999</v>
      </c>
    </row>
    <row r="21" spans="1:11" ht="18" customHeight="1">
      <c r="A21" s="74" t="s">
        <v>25</v>
      </c>
      <c r="B21" s="66" t="s">
        <v>26</v>
      </c>
      <c r="F21" s="251">
        <v>0</v>
      </c>
      <c r="G21" s="251">
        <v>0</v>
      </c>
      <c r="H21" s="252">
        <v>0</v>
      </c>
      <c r="I21" s="253">
        <v>0</v>
      </c>
      <c r="J21" s="252">
        <v>0</v>
      </c>
      <c r="K21" s="254">
        <v>0</v>
      </c>
    </row>
    <row r="22" spans="1:11" ht="18" customHeight="1">
      <c r="A22" s="74"/>
      <c r="B22" s="66" t="s">
        <v>27</v>
      </c>
      <c r="F22" s="251">
        <v>83</v>
      </c>
      <c r="G22" s="251">
        <v>599</v>
      </c>
      <c r="H22" s="252">
        <v>325976.98</v>
      </c>
      <c r="I22" s="253">
        <v>141017.64154799999</v>
      </c>
      <c r="J22" s="252">
        <v>0</v>
      </c>
      <c r="K22" s="254">
        <v>466994.62154799997</v>
      </c>
    </row>
    <row r="23" spans="1:11" ht="18" customHeight="1">
      <c r="A23" s="74"/>
      <c r="B23" s="66" t="s">
        <v>28</v>
      </c>
      <c r="F23" s="251">
        <v>15.5</v>
      </c>
      <c r="G23" s="251">
        <v>447</v>
      </c>
      <c r="H23" s="252">
        <v>5932.78</v>
      </c>
      <c r="I23" s="253">
        <v>2566.5206279999998</v>
      </c>
      <c r="J23" s="252">
        <v>0</v>
      </c>
      <c r="K23" s="254">
        <v>8499.3006279999991</v>
      </c>
    </row>
    <row r="24" spans="1:11" ht="18" customHeight="1">
      <c r="A24" s="74"/>
      <c r="B24" s="66" t="s">
        <v>29</v>
      </c>
      <c r="F24" s="251">
        <v>0</v>
      </c>
      <c r="G24" s="251">
        <v>0</v>
      </c>
      <c r="H24" s="252">
        <v>0</v>
      </c>
      <c r="I24" s="253">
        <v>0</v>
      </c>
      <c r="J24" s="252">
        <v>0</v>
      </c>
      <c r="K24" s="254">
        <v>0</v>
      </c>
    </row>
    <row r="25" spans="1:11" ht="18" customHeight="1">
      <c r="A25" s="74"/>
      <c r="B25" s="66" t="s">
        <v>30</v>
      </c>
      <c r="F25" s="251">
        <v>0</v>
      </c>
      <c r="G25" s="251">
        <v>0</v>
      </c>
      <c r="H25" s="252">
        <v>0</v>
      </c>
      <c r="I25" s="253">
        <v>0</v>
      </c>
      <c r="J25" s="252">
        <v>0</v>
      </c>
      <c r="K25" s="254">
        <v>0</v>
      </c>
    </row>
    <row r="26" spans="1:11" ht="18" customHeight="1">
      <c r="A26" s="74" t="s">
        <v>31</v>
      </c>
      <c r="B26" s="66" t="s">
        <v>32</v>
      </c>
      <c r="F26" s="251">
        <v>0</v>
      </c>
      <c r="G26" s="251">
        <v>0</v>
      </c>
      <c r="H26" s="252">
        <v>0</v>
      </c>
      <c r="I26" s="253">
        <v>0</v>
      </c>
      <c r="J26" s="252">
        <v>0</v>
      </c>
      <c r="K26" s="254">
        <v>0</v>
      </c>
    </row>
    <row r="27" spans="1:11" ht="18" customHeight="1">
      <c r="A27" s="74" t="s">
        <v>33</v>
      </c>
      <c r="B27" s="66" t="s">
        <v>34</v>
      </c>
      <c r="F27" s="251">
        <v>0</v>
      </c>
      <c r="G27" s="251">
        <v>0</v>
      </c>
      <c r="H27" s="252">
        <v>0</v>
      </c>
      <c r="I27" s="253">
        <v>0</v>
      </c>
      <c r="J27" s="252">
        <v>0</v>
      </c>
      <c r="K27" s="254">
        <v>0</v>
      </c>
    </row>
    <row r="28" spans="1:11" ht="18" customHeight="1">
      <c r="A28" s="74" t="s">
        <v>35</v>
      </c>
      <c r="B28" s="390" t="s">
        <v>190</v>
      </c>
      <c r="C28" s="391"/>
      <c r="D28" s="392"/>
      <c r="F28" s="251">
        <v>1105</v>
      </c>
      <c r="G28" s="251">
        <v>150</v>
      </c>
      <c r="H28" s="252">
        <v>45721.63</v>
      </c>
      <c r="I28" s="253">
        <v>19779.177137999999</v>
      </c>
      <c r="J28" s="252">
        <v>0</v>
      </c>
      <c r="K28" s="254">
        <v>65500.807137999996</v>
      </c>
    </row>
    <row r="29" spans="1:11" ht="18" customHeight="1">
      <c r="A29" s="74" t="s">
        <v>37</v>
      </c>
      <c r="B29" s="390" t="s">
        <v>191</v>
      </c>
      <c r="C29" s="391"/>
      <c r="D29" s="392"/>
      <c r="F29" s="251">
        <v>885</v>
      </c>
      <c r="G29" s="251">
        <v>0</v>
      </c>
      <c r="H29" s="252">
        <v>28320</v>
      </c>
      <c r="I29" s="253">
        <v>12251.232</v>
      </c>
      <c r="J29" s="252">
        <v>0</v>
      </c>
      <c r="K29" s="254">
        <v>40571.232000000004</v>
      </c>
    </row>
    <row r="30" spans="1:11" ht="18" customHeight="1">
      <c r="A30" s="74" t="s">
        <v>38</v>
      </c>
      <c r="B30" s="114"/>
      <c r="C30" s="255"/>
      <c r="D30" s="256"/>
      <c r="F30" s="251">
        <v>0</v>
      </c>
      <c r="G30" s="251">
        <v>0</v>
      </c>
      <c r="H30" s="252">
        <v>0</v>
      </c>
      <c r="I30" s="253">
        <v>0</v>
      </c>
      <c r="J30" s="252">
        <v>0</v>
      </c>
      <c r="K30" s="254">
        <v>0</v>
      </c>
    </row>
    <row r="31" spans="1:11" ht="18" customHeight="1">
      <c r="A31" s="74" t="s">
        <v>39</v>
      </c>
      <c r="B31" s="114"/>
      <c r="C31" s="255"/>
      <c r="D31" s="256"/>
      <c r="F31" s="251">
        <v>0</v>
      </c>
      <c r="G31" s="251">
        <v>0</v>
      </c>
      <c r="H31" s="252" t="s">
        <v>192</v>
      </c>
      <c r="I31" s="253" t="s">
        <v>192</v>
      </c>
      <c r="J31" s="252">
        <v>0</v>
      </c>
      <c r="K31" s="254" t="s">
        <v>192</v>
      </c>
    </row>
    <row r="32" spans="1:11" ht="18" customHeight="1">
      <c r="A32" s="74" t="s">
        <v>40</v>
      </c>
      <c r="B32" s="390"/>
      <c r="C32" s="391"/>
      <c r="D32" s="392"/>
      <c r="F32" s="251">
        <v>0</v>
      </c>
      <c r="G32" s="251">
        <v>0</v>
      </c>
      <c r="H32" s="252" t="s">
        <v>192</v>
      </c>
      <c r="I32" s="253" t="s">
        <v>192</v>
      </c>
      <c r="J32" s="252">
        <v>0</v>
      </c>
      <c r="K32" s="254" t="s">
        <v>192</v>
      </c>
    </row>
    <row r="33" spans="1:11" ht="18" customHeight="1">
      <c r="F33" s="66"/>
      <c r="G33" s="66"/>
      <c r="K33" s="257"/>
    </row>
    <row r="34" spans="1:11" ht="18" customHeight="1">
      <c r="C34" s="66" t="s">
        <v>41</v>
      </c>
      <c r="E34" s="69"/>
      <c r="F34" s="258">
        <v>2355.5</v>
      </c>
      <c r="G34" s="258">
        <v>4476</v>
      </c>
      <c r="H34" s="254">
        <v>434940.65</v>
      </c>
      <c r="I34" s="254">
        <v>188155.32518999997</v>
      </c>
      <c r="J34" s="254">
        <v>0</v>
      </c>
      <c r="K34" s="254">
        <v>623095.97518999991</v>
      </c>
    </row>
    <row r="35" spans="1:11" ht="18" customHeight="1" thickBot="1">
      <c r="B35" s="69"/>
      <c r="F35" s="259"/>
      <c r="G35" s="259"/>
      <c r="H35" s="91"/>
      <c r="I35" s="91"/>
      <c r="J35" s="91"/>
      <c r="K35" s="92"/>
    </row>
    <row r="36" spans="1:11" ht="42.75" customHeight="1">
      <c r="A36" s="249"/>
      <c r="B36" s="250"/>
      <c r="C36" s="250"/>
      <c r="D36" s="250"/>
      <c r="E36" s="250"/>
      <c r="F36" s="77" t="s">
        <v>13</v>
      </c>
      <c r="G36" s="77" t="s">
        <v>14</v>
      </c>
      <c r="H36" s="77" t="s">
        <v>15</v>
      </c>
      <c r="I36" s="77" t="s">
        <v>16</v>
      </c>
      <c r="J36" s="77" t="s">
        <v>17</v>
      </c>
      <c r="K36" s="77" t="s">
        <v>18</v>
      </c>
    </row>
    <row r="37" spans="1:11" ht="18.75" customHeight="1">
      <c r="A37" s="71" t="s">
        <v>42</v>
      </c>
      <c r="B37" s="69" t="s">
        <v>43</v>
      </c>
      <c r="F37" s="66"/>
      <c r="G37" s="66"/>
    </row>
    <row r="38" spans="1:11" ht="18" customHeight="1">
      <c r="A38" s="74" t="s">
        <v>44</v>
      </c>
      <c r="B38" s="66" t="s">
        <v>45</v>
      </c>
      <c r="F38" s="251">
        <v>0</v>
      </c>
      <c r="G38" s="251">
        <v>4</v>
      </c>
      <c r="H38" s="252">
        <v>275941</v>
      </c>
      <c r="I38" s="253">
        <v>119372.0766</v>
      </c>
      <c r="J38" s="252">
        <v>0</v>
      </c>
      <c r="K38" s="254">
        <v>395313.07660000003</v>
      </c>
    </row>
    <row r="39" spans="1:11" ht="18" customHeight="1">
      <c r="A39" s="74" t="s">
        <v>46</v>
      </c>
      <c r="B39" s="396" t="s">
        <v>47</v>
      </c>
      <c r="C39" s="396"/>
      <c r="F39" s="251">
        <v>0</v>
      </c>
      <c r="G39" s="251">
        <v>0</v>
      </c>
      <c r="H39" s="252">
        <v>0</v>
      </c>
      <c r="I39" s="253">
        <v>0</v>
      </c>
      <c r="J39" s="252">
        <v>0</v>
      </c>
      <c r="K39" s="254">
        <v>0</v>
      </c>
    </row>
    <row r="40" spans="1:11" ht="18" customHeight="1">
      <c r="A40" s="74" t="s">
        <v>48</v>
      </c>
      <c r="B40" s="66" t="s">
        <v>49</v>
      </c>
      <c r="F40" s="251">
        <v>3896</v>
      </c>
      <c r="G40" s="251">
        <v>260</v>
      </c>
      <c r="H40" s="252">
        <v>131490</v>
      </c>
      <c r="I40" s="253">
        <v>56882.574000000001</v>
      </c>
      <c r="J40" s="252">
        <v>0</v>
      </c>
      <c r="K40" s="254">
        <v>188372.57399999999</v>
      </c>
    </row>
    <row r="41" spans="1:11" ht="18" customHeight="1">
      <c r="A41" s="74" t="s">
        <v>50</v>
      </c>
      <c r="B41" s="82" t="s">
        <v>51</v>
      </c>
      <c r="C41" s="82"/>
      <c r="D41" s="82"/>
      <c r="F41" s="251">
        <v>449</v>
      </c>
      <c r="G41" s="251">
        <v>3</v>
      </c>
      <c r="H41" s="252">
        <v>10102.5</v>
      </c>
      <c r="I41" s="253">
        <v>4370.3414999999995</v>
      </c>
      <c r="J41" s="252">
        <v>0</v>
      </c>
      <c r="K41" s="254">
        <v>14472.841499999999</v>
      </c>
    </row>
    <row r="42" spans="1:11" ht="18" customHeight="1">
      <c r="A42" s="74" t="s">
        <v>52</v>
      </c>
      <c r="B42" s="66" t="s">
        <v>53</v>
      </c>
      <c r="F42" s="251">
        <v>0</v>
      </c>
      <c r="G42" s="251">
        <v>0</v>
      </c>
      <c r="H42" s="252">
        <v>0</v>
      </c>
      <c r="I42" s="253">
        <v>0</v>
      </c>
      <c r="J42" s="252">
        <v>0</v>
      </c>
      <c r="K42" s="254">
        <v>0</v>
      </c>
    </row>
    <row r="43" spans="1:11" ht="18" customHeight="1">
      <c r="A43" s="74" t="s">
        <v>54</v>
      </c>
      <c r="B43" s="66" t="s">
        <v>34</v>
      </c>
      <c r="F43" s="251">
        <v>0</v>
      </c>
      <c r="G43" s="251">
        <v>0</v>
      </c>
      <c r="H43" s="252">
        <v>0</v>
      </c>
      <c r="I43" s="253">
        <v>0</v>
      </c>
      <c r="J43" s="252">
        <v>0</v>
      </c>
      <c r="K43" s="254">
        <v>0</v>
      </c>
    </row>
    <row r="44" spans="1:11" ht="18" customHeight="1">
      <c r="A44" s="74" t="s">
        <v>55</v>
      </c>
      <c r="B44" s="393"/>
      <c r="C44" s="394"/>
      <c r="D44" s="395"/>
      <c r="F44" s="251">
        <v>0</v>
      </c>
      <c r="G44" s="251">
        <v>0</v>
      </c>
      <c r="H44" s="252">
        <v>0</v>
      </c>
      <c r="I44" s="253">
        <v>0</v>
      </c>
      <c r="J44" s="252">
        <v>0</v>
      </c>
      <c r="K44" s="254">
        <v>0</v>
      </c>
    </row>
    <row r="45" spans="1:11" ht="18" customHeight="1">
      <c r="A45" s="74" t="s">
        <v>57</v>
      </c>
      <c r="B45" s="393"/>
      <c r="C45" s="394"/>
      <c r="D45" s="395"/>
      <c r="F45" s="251">
        <v>0</v>
      </c>
      <c r="G45" s="251">
        <v>0</v>
      </c>
      <c r="H45" s="252">
        <v>0</v>
      </c>
      <c r="I45" s="253">
        <v>0</v>
      </c>
      <c r="J45" s="252">
        <v>0</v>
      </c>
      <c r="K45" s="254">
        <v>0</v>
      </c>
    </row>
    <row r="46" spans="1:11" ht="18" customHeight="1">
      <c r="A46" s="74" t="s">
        <v>58</v>
      </c>
      <c r="B46" s="393"/>
      <c r="C46" s="394"/>
      <c r="D46" s="395"/>
      <c r="F46" s="251">
        <v>0</v>
      </c>
      <c r="G46" s="251">
        <v>0</v>
      </c>
      <c r="H46" s="252">
        <v>0</v>
      </c>
      <c r="I46" s="253">
        <v>0</v>
      </c>
      <c r="J46" s="252">
        <v>0</v>
      </c>
      <c r="K46" s="254">
        <v>0</v>
      </c>
    </row>
    <row r="47" spans="1:11" ht="18" customHeight="1">
      <c r="F47" s="66"/>
      <c r="G47" s="66"/>
    </row>
    <row r="48" spans="1:11" ht="18" customHeight="1">
      <c r="C48" s="66" t="s">
        <v>41</v>
      </c>
      <c r="E48" s="69"/>
      <c r="F48" s="260">
        <v>4345</v>
      </c>
      <c r="G48" s="260">
        <v>267</v>
      </c>
      <c r="H48" s="254">
        <v>417533.5</v>
      </c>
      <c r="I48" s="254">
        <v>180624.9921</v>
      </c>
      <c r="J48" s="254">
        <v>0</v>
      </c>
      <c r="K48" s="254">
        <v>598158.49210000003</v>
      </c>
    </row>
    <row r="49" spans="1:11" ht="18" customHeight="1" thickBot="1">
      <c r="F49" s="66"/>
      <c r="G49" s="98"/>
      <c r="H49" s="98"/>
      <c r="I49" s="98"/>
      <c r="J49" s="98"/>
      <c r="K49" s="98"/>
    </row>
    <row r="50" spans="1:11" ht="42.75" customHeight="1">
      <c r="A50" s="249"/>
      <c r="B50" s="250"/>
      <c r="C50" s="250"/>
      <c r="D50" s="250"/>
      <c r="E50" s="250"/>
      <c r="F50" s="77" t="s">
        <v>13</v>
      </c>
      <c r="G50" s="77" t="s">
        <v>14</v>
      </c>
      <c r="H50" s="77" t="s">
        <v>15</v>
      </c>
      <c r="I50" s="77" t="s">
        <v>16</v>
      </c>
      <c r="J50" s="77" t="s">
        <v>17</v>
      </c>
      <c r="K50" s="77" t="s">
        <v>18</v>
      </c>
    </row>
    <row r="51" spans="1:11" ht="18" customHeight="1">
      <c r="A51" s="71" t="s">
        <v>59</v>
      </c>
      <c r="B51" s="397" t="s">
        <v>60</v>
      </c>
      <c r="C51" s="398"/>
      <c r="F51" s="66"/>
      <c r="G51" s="66"/>
    </row>
    <row r="52" spans="1:11" ht="18" customHeight="1">
      <c r="A52" s="74" t="s">
        <v>61</v>
      </c>
      <c r="B52" s="399" t="s">
        <v>193</v>
      </c>
      <c r="C52" s="400"/>
      <c r="D52" s="395"/>
      <c r="F52" s="251">
        <v>212</v>
      </c>
      <c r="G52" s="251">
        <v>15</v>
      </c>
      <c r="H52" s="252">
        <v>1995.54</v>
      </c>
      <c r="I52" s="253">
        <v>863.27060399999993</v>
      </c>
      <c r="J52" s="252">
        <v>700</v>
      </c>
      <c r="K52" s="254">
        <v>2158.8106039999998</v>
      </c>
    </row>
    <row r="53" spans="1:11" ht="18" customHeight="1">
      <c r="A53" s="74" t="s">
        <v>63</v>
      </c>
      <c r="B53" s="113" t="s">
        <v>194</v>
      </c>
      <c r="C53" s="261"/>
      <c r="D53" s="262"/>
      <c r="F53" s="251">
        <v>21</v>
      </c>
      <c r="G53" s="251">
        <v>450</v>
      </c>
      <c r="H53" s="252">
        <v>42815</v>
      </c>
      <c r="I53" s="253">
        <v>18521.769</v>
      </c>
      <c r="J53" s="252">
        <v>0</v>
      </c>
      <c r="K53" s="254">
        <v>61336.769</v>
      </c>
    </row>
    <row r="54" spans="1:11" ht="18" customHeight="1">
      <c r="A54" s="74" t="s">
        <v>65</v>
      </c>
      <c r="B54" s="393" t="s">
        <v>195</v>
      </c>
      <c r="C54" s="394"/>
      <c r="D54" s="395"/>
      <c r="F54" s="251">
        <v>398</v>
      </c>
      <c r="G54" s="251">
        <v>265</v>
      </c>
      <c r="H54" s="252">
        <v>15776.8</v>
      </c>
      <c r="I54" s="253">
        <v>6825.0436799999998</v>
      </c>
      <c r="J54" s="252">
        <v>0</v>
      </c>
      <c r="K54" s="254">
        <v>22601.843679999998</v>
      </c>
    </row>
    <row r="55" spans="1:11" ht="18" customHeight="1">
      <c r="A55" s="74" t="s">
        <v>67</v>
      </c>
      <c r="B55" s="393" t="s">
        <v>196</v>
      </c>
      <c r="C55" s="394"/>
      <c r="D55" s="395"/>
      <c r="F55" s="251">
        <v>142.5</v>
      </c>
      <c r="G55" s="251">
        <v>0</v>
      </c>
      <c r="H55" s="252">
        <v>16990.830000000002</v>
      </c>
      <c r="I55" s="253">
        <v>7350.2330580000007</v>
      </c>
      <c r="J55" s="252">
        <v>0</v>
      </c>
      <c r="K55" s="254">
        <v>24341.063058000003</v>
      </c>
    </row>
    <row r="56" spans="1:11" ht="18" customHeight="1">
      <c r="A56" s="74" t="s">
        <v>69</v>
      </c>
      <c r="B56" s="393" t="s">
        <v>197</v>
      </c>
      <c r="C56" s="394"/>
      <c r="D56" s="395"/>
      <c r="F56" s="251">
        <v>0</v>
      </c>
      <c r="G56" s="251">
        <v>80000</v>
      </c>
      <c r="H56" s="252">
        <v>21944.74</v>
      </c>
      <c r="I56" s="253">
        <v>9493.2945240000008</v>
      </c>
      <c r="J56" s="252">
        <v>0</v>
      </c>
      <c r="K56" s="254">
        <v>31438.034524000002</v>
      </c>
    </row>
    <row r="57" spans="1:11" ht="18" customHeight="1">
      <c r="A57" s="74" t="s">
        <v>71</v>
      </c>
      <c r="B57" s="113" t="s">
        <v>198</v>
      </c>
      <c r="C57" s="261"/>
      <c r="D57" s="262"/>
      <c r="F57" s="251">
        <v>0</v>
      </c>
      <c r="G57" s="251">
        <v>1800</v>
      </c>
      <c r="H57" s="252">
        <v>14472</v>
      </c>
      <c r="I57" s="253">
        <v>6260.5871999999999</v>
      </c>
      <c r="J57" s="252">
        <v>0</v>
      </c>
      <c r="K57" s="254">
        <v>20732.587200000002</v>
      </c>
    </row>
    <row r="58" spans="1:11" ht="18" customHeight="1">
      <c r="A58" s="74" t="s">
        <v>73</v>
      </c>
      <c r="B58" s="393"/>
      <c r="C58" s="394"/>
      <c r="D58" s="395"/>
      <c r="F58" s="251">
        <v>0</v>
      </c>
      <c r="G58" s="251">
        <v>0</v>
      </c>
      <c r="H58" s="252">
        <v>0</v>
      </c>
      <c r="I58" s="253">
        <v>0</v>
      </c>
      <c r="J58" s="252">
        <v>0</v>
      </c>
      <c r="K58" s="254">
        <v>0</v>
      </c>
    </row>
    <row r="59" spans="1:11" ht="18" customHeight="1">
      <c r="A59" s="74" t="s">
        <v>75</v>
      </c>
      <c r="B59" s="113"/>
      <c r="C59" s="261"/>
      <c r="D59" s="262"/>
      <c r="F59" s="251">
        <v>0</v>
      </c>
      <c r="G59" s="251">
        <v>0</v>
      </c>
      <c r="H59" s="252">
        <v>0</v>
      </c>
      <c r="I59" s="253">
        <v>0</v>
      </c>
      <c r="J59" s="252">
        <v>0</v>
      </c>
      <c r="K59" s="254">
        <v>0</v>
      </c>
    </row>
    <row r="60" spans="1:11" ht="18" customHeight="1">
      <c r="A60" s="74" t="s">
        <v>76</v>
      </c>
      <c r="B60" s="113" t="s">
        <v>199</v>
      </c>
      <c r="C60" s="261"/>
      <c r="D60" s="262"/>
      <c r="F60" s="251">
        <v>0</v>
      </c>
      <c r="G60" s="251">
        <v>1121</v>
      </c>
      <c r="H60" s="252">
        <v>73834.84</v>
      </c>
      <c r="I60" s="253">
        <v>31940.951783999997</v>
      </c>
      <c r="J60" s="252">
        <v>0</v>
      </c>
      <c r="K60" s="254">
        <v>105775.791784</v>
      </c>
    </row>
    <row r="61" spans="1:11" ht="18" customHeight="1">
      <c r="A61" s="74" t="s">
        <v>77</v>
      </c>
      <c r="B61" s="393" t="s">
        <v>200</v>
      </c>
      <c r="C61" s="394"/>
      <c r="D61" s="395"/>
      <c r="F61" s="251">
        <v>4756</v>
      </c>
      <c r="G61" s="251">
        <v>0</v>
      </c>
      <c r="H61" s="252">
        <v>135991.47</v>
      </c>
      <c r="I61" s="253">
        <v>58829.909921999999</v>
      </c>
      <c r="J61" s="252">
        <v>0</v>
      </c>
      <c r="K61" s="254">
        <v>194821.37992199999</v>
      </c>
    </row>
    <row r="62" spans="1:11" ht="18" customHeight="1">
      <c r="A62" s="74"/>
      <c r="F62" s="66"/>
      <c r="G62" s="66"/>
      <c r="I62" s="263"/>
    </row>
    <row r="63" spans="1:11" ht="18" customHeight="1">
      <c r="A63" s="74"/>
      <c r="C63" s="66" t="s">
        <v>41</v>
      </c>
      <c r="E63" s="69"/>
      <c r="F63" s="258">
        <v>5529.5</v>
      </c>
      <c r="G63" s="258">
        <v>83651</v>
      </c>
      <c r="H63" s="254">
        <v>323821.21999999997</v>
      </c>
      <c r="I63" s="254">
        <v>140085.05977200001</v>
      </c>
      <c r="J63" s="254">
        <v>700</v>
      </c>
      <c r="K63" s="254">
        <v>463206.27977199998</v>
      </c>
    </row>
    <row r="64" spans="1:11" ht="18" customHeight="1" thickBot="1">
      <c r="F64" s="98"/>
      <c r="G64" s="98"/>
      <c r="H64" s="98"/>
      <c r="I64" s="98"/>
      <c r="J64" s="98"/>
      <c r="K64" s="98"/>
    </row>
    <row r="65" spans="1:11" ht="42.75" customHeight="1">
      <c r="A65" s="249"/>
      <c r="B65" s="250"/>
      <c r="C65" s="250"/>
      <c r="D65" s="250"/>
      <c r="E65" s="250"/>
      <c r="F65" s="77" t="s">
        <v>13</v>
      </c>
      <c r="G65" s="77" t="s">
        <v>14</v>
      </c>
      <c r="H65" s="77" t="s">
        <v>15</v>
      </c>
      <c r="I65" s="77" t="s">
        <v>16</v>
      </c>
      <c r="J65" s="77" t="s">
        <v>17</v>
      </c>
      <c r="K65" s="77" t="s">
        <v>18</v>
      </c>
    </row>
    <row r="66" spans="1:11" ht="18" customHeight="1">
      <c r="A66" s="71" t="s">
        <v>78</v>
      </c>
      <c r="B66" s="69" t="s">
        <v>79</v>
      </c>
      <c r="F66" s="264"/>
      <c r="G66" s="264"/>
      <c r="H66" s="264"/>
      <c r="I66" s="263"/>
      <c r="J66" s="264"/>
      <c r="K66" s="265"/>
    </row>
    <row r="67" spans="1:11" ht="18" customHeight="1">
      <c r="A67" s="74" t="s">
        <v>80</v>
      </c>
      <c r="B67" s="66" t="s">
        <v>81</v>
      </c>
      <c r="F67" s="266">
        <v>570.5</v>
      </c>
      <c r="G67" s="266">
        <v>389</v>
      </c>
      <c r="H67" s="266">
        <v>25667.02</v>
      </c>
      <c r="I67" s="253">
        <v>11103.552851999999</v>
      </c>
      <c r="J67" s="266">
        <v>0</v>
      </c>
      <c r="K67" s="254">
        <v>36770.572851999998</v>
      </c>
    </row>
    <row r="68" spans="1:11" ht="18" customHeight="1">
      <c r="A68" s="74" t="s">
        <v>82</v>
      </c>
      <c r="B68" s="66" t="s">
        <v>83</v>
      </c>
      <c r="F68" s="266">
        <v>0</v>
      </c>
      <c r="G68" s="266">
        <v>0</v>
      </c>
      <c r="H68" s="266">
        <v>0</v>
      </c>
      <c r="I68" s="253">
        <v>0</v>
      </c>
      <c r="J68" s="266">
        <v>0</v>
      </c>
      <c r="K68" s="254">
        <v>0</v>
      </c>
    </row>
    <row r="69" spans="1:11" ht="18" customHeight="1">
      <c r="A69" s="74" t="s">
        <v>84</v>
      </c>
      <c r="B69" s="66" t="s">
        <v>85</v>
      </c>
      <c r="F69" s="251">
        <v>0</v>
      </c>
      <c r="G69" s="251">
        <v>0</v>
      </c>
      <c r="H69" s="252">
        <v>0</v>
      </c>
      <c r="I69" s="253">
        <v>0</v>
      </c>
      <c r="J69" s="252">
        <v>0</v>
      </c>
      <c r="K69" s="254">
        <v>0</v>
      </c>
    </row>
    <row r="70" spans="1:11" ht="18" customHeight="1">
      <c r="A70" s="74" t="s">
        <v>86</v>
      </c>
      <c r="B70" s="113"/>
      <c r="C70" s="261"/>
      <c r="D70" s="262"/>
      <c r="E70" s="69"/>
      <c r="F70" s="267">
        <v>0</v>
      </c>
      <c r="G70" s="267">
        <v>0</v>
      </c>
      <c r="H70" s="268">
        <v>0</v>
      </c>
      <c r="I70" s="253">
        <v>0</v>
      </c>
      <c r="J70" s="268">
        <v>0</v>
      </c>
      <c r="K70" s="254">
        <v>0</v>
      </c>
    </row>
    <row r="71" spans="1:11" ht="18" customHeight="1">
      <c r="A71" s="74" t="s">
        <v>87</v>
      </c>
      <c r="B71" s="113"/>
      <c r="C71" s="261"/>
      <c r="D71" s="262"/>
      <c r="E71" s="69"/>
      <c r="F71" s="267">
        <v>0</v>
      </c>
      <c r="G71" s="267">
        <v>0</v>
      </c>
      <c r="H71" s="268">
        <v>0</v>
      </c>
      <c r="I71" s="253">
        <v>0</v>
      </c>
      <c r="J71" s="268">
        <v>0</v>
      </c>
      <c r="K71" s="254">
        <v>0</v>
      </c>
    </row>
    <row r="72" spans="1:11" ht="18" customHeight="1">
      <c r="A72" s="74" t="s">
        <v>88</v>
      </c>
      <c r="B72" s="269"/>
      <c r="C72" s="270"/>
      <c r="D72" s="271"/>
      <c r="E72" s="69"/>
      <c r="F72" s="251">
        <v>0</v>
      </c>
      <c r="G72" s="251">
        <v>0</v>
      </c>
      <c r="H72" s="252">
        <v>0</v>
      </c>
      <c r="I72" s="253">
        <v>0</v>
      </c>
      <c r="J72" s="252">
        <v>0</v>
      </c>
      <c r="K72" s="254">
        <v>0</v>
      </c>
    </row>
    <row r="73" spans="1:11" ht="18" customHeight="1">
      <c r="A73" s="74"/>
      <c r="E73" s="69"/>
      <c r="F73" s="272"/>
      <c r="G73" s="272"/>
      <c r="H73" s="273"/>
      <c r="I73" s="274"/>
      <c r="J73" s="273"/>
      <c r="K73" s="265"/>
    </row>
    <row r="74" spans="1:11" ht="18" customHeight="1">
      <c r="C74" s="66" t="s">
        <v>41</v>
      </c>
      <c r="E74" s="69"/>
      <c r="F74" s="275">
        <v>570.5</v>
      </c>
      <c r="G74" s="275">
        <v>389</v>
      </c>
      <c r="H74" s="275">
        <v>25667.02</v>
      </c>
      <c r="I74" s="275">
        <v>11103.552851999999</v>
      </c>
      <c r="J74" s="275">
        <v>0</v>
      </c>
      <c r="K74" s="275">
        <v>36770.572851999998</v>
      </c>
    </row>
    <row r="75" spans="1:11" ht="42.75" customHeight="1">
      <c r="A75" s="249"/>
      <c r="B75" s="250"/>
      <c r="C75" s="250"/>
      <c r="D75" s="250"/>
      <c r="E75" s="250"/>
      <c r="F75" s="77" t="s">
        <v>13</v>
      </c>
      <c r="G75" s="77" t="s">
        <v>14</v>
      </c>
      <c r="H75" s="77" t="s">
        <v>15</v>
      </c>
      <c r="I75" s="77" t="s">
        <v>16</v>
      </c>
      <c r="J75" s="77" t="s">
        <v>17</v>
      </c>
      <c r="K75" s="77" t="s">
        <v>18</v>
      </c>
    </row>
    <row r="76" spans="1:11" ht="18" customHeight="1">
      <c r="A76" s="71" t="s">
        <v>89</v>
      </c>
      <c r="B76" s="69" t="s">
        <v>90</v>
      </c>
      <c r="F76" s="66"/>
      <c r="G76" s="66"/>
    </row>
    <row r="77" spans="1:11" ht="18" customHeight="1">
      <c r="A77" s="74" t="s">
        <v>91</v>
      </c>
      <c r="B77" s="66" t="s">
        <v>92</v>
      </c>
      <c r="F77" s="251">
        <v>0</v>
      </c>
      <c r="G77" s="251">
        <v>0</v>
      </c>
      <c r="H77" s="252">
        <v>12420</v>
      </c>
      <c r="I77" s="253">
        <v>5372.8919999999998</v>
      </c>
      <c r="J77" s="252">
        <v>0</v>
      </c>
      <c r="K77" s="254">
        <v>17792.892</v>
      </c>
    </row>
    <row r="78" spans="1:11" ht="18" customHeight="1">
      <c r="A78" s="74" t="s">
        <v>93</v>
      </c>
      <c r="B78" s="66" t="s">
        <v>94</v>
      </c>
      <c r="F78" s="251">
        <v>0</v>
      </c>
      <c r="G78" s="251">
        <v>0</v>
      </c>
      <c r="H78" s="252">
        <v>0</v>
      </c>
      <c r="I78" s="253">
        <v>0</v>
      </c>
      <c r="J78" s="252">
        <v>0</v>
      </c>
      <c r="K78" s="254">
        <v>0</v>
      </c>
    </row>
    <row r="79" spans="1:11" ht="18" customHeight="1">
      <c r="A79" s="74" t="s">
        <v>95</v>
      </c>
      <c r="B79" s="66" t="s">
        <v>96</v>
      </c>
      <c r="F79" s="251">
        <v>36</v>
      </c>
      <c r="G79" s="251">
        <v>982</v>
      </c>
      <c r="H79" s="252">
        <v>2237.83</v>
      </c>
      <c r="I79" s="253">
        <v>968.08525799999995</v>
      </c>
      <c r="J79" s="252">
        <v>0</v>
      </c>
      <c r="K79" s="254">
        <v>3205.915258</v>
      </c>
    </row>
    <row r="80" spans="1:11" ht="18" customHeight="1">
      <c r="A80" s="74" t="s">
        <v>93</v>
      </c>
      <c r="B80" s="66" t="s">
        <v>97</v>
      </c>
      <c r="F80" s="251">
        <v>0</v>
      </c>
      <c r="G80" s="251">
        <v>0</v>
      </c>
      <c r="H80" s="252">
        <v>262.90999999999997</v>
      </c>
      <c r="I80" s="253">
        <v>113.73486599999998</v>
      </c>
      <c r="J80" s="252">
        <v>0</v>
      </c>
      <c r="K80" s="254">
        <v>376.64486599999998</v>
      </c>
    </row>
    <row r="81" spans="1:11" ht="18" customHeight="1">
      <c r="A81" s="74"/>
      <c r="F81" s="66"/>
      <c r="G81" s="66"/>
      <c r="K81" s="265"/>
    </row>
    <row r="82" spans="1:11" ht="18" customHeight="1">
      <c r="A82" s="74"/>
      <c r="C82" s="66" t="s">
        <v>41</v>
      </c>
      <c r="E82" s="69"/>
      <c r="F82" s="276">
        <v>36</v>
      </c>
      <c r="G82" s="276">
        <v>982</v>
      </c>
      <c r="H82" s="277">
        <v>14920.74</v>
      </c>
      <c r="I82" s="277">
        <v>6454.7121239999997</v>
      </c>
      <c r="J82" s="277">
        <v>0</v>
      </c>
      <c r="K82" s="277">
        <v>21375.452123999999</v>
      </c>
    </row>
    <row r="83" spans="1:11" ht="18" customHeight="1" thickBot="1">
      <c r="A83" s="74"/>
      <c r="F83" s="98"/>
      <c r="G83" s="98"/>
      <c r="H83" s="98"/>
      <c r="I83" s="98"/>
      <c r="J83" s="98"/>
      <c r="K83" s="98"/>
    </row>
    <row r="84" spans="1:11" ht="42.75" customHeight="1">
      <c r="A84" s="249"/>
      <c r="B84" s="250"/>
      <c r="C84" s="250"/>
      <c r="D84" s="250"/>
      <c r="E84" s="250"/>
      <c r="F84" s="77" t="s">
        <v>13</v>
      </c>
      <c r="G84" s="77" t="s">
        <v>14</v>
      </c>
      <c r="H84" s="77" t="s">
        <v>15</v>
      </c>
      <c r="I84" s="77" t="s">
        <v>16</v>
      </c>
      <c r="J84" s="77" t="s">
        <v>17</v>
      </c>
      <c r="K84" s="77" t="s">
        <v>18</v>
      </c>
    </row>
    <row r="85" spans="1:11" ht="18" customHeight="1">
      <c r="A85" s="71" t="s">
        <v>98</v>
      </c>
      <c r="B85" s="69" t="s">
        <v>99</v>
      </c>
      <c r="F85" s="66"/>
      <c r="G85" s="66"/>
    </row>
    <row r="86" spans="1:11" ht="18" customHeight="1">
      <c r="A86" s="74" t="s">
        <v>100</v>
      </c>
      <c r="B86" s="66" t="s">
        <v>101</v>
      </c>
      <c r="F86" s="251">
        <v>0</v>
      </c>
      <c r="G86" s="251">
        <v>0</v>
      </c>
      <c r="H86" s="252">
        <v>0</v>
      </c>
      <c r="I86" s="253">
        <v>0</v>
      </c>
      <c r="J86" s="252">
        <v>0</v>
      </c>
      <c r="K86" s="254">
        <v>0</v>
      </c>
    </row>
    <row r="87" spans="1:11" ht="18" customHeight="1">
      <c r="A87" s="74" t="s">
        <v>102</v>
      </c>
      <c r="B87" s="66" t="s">
        <v>103</v>
      </c>
      <c r="F87" s="251">
        <v>0</v>
      </c>
      <c r="G87" s="251">
        <v>0</v>
      </c>
      <c r="H87" s="252">
        <v>2260</v>
      </c>
      <c r="I87" s="253">
        <v>977.67599999999993</v>
      </c>
      <c r="J87" s="252">
        <v>0</v>
      </c>
      <c r="K87" s="254">
        <v>3237.6759999999999</v>
      </c>
    </row>
    <row r="88" spans="1:11" ht="18" customHeight="1">
      <c r="A88" s="74" t="s">
        <v>104</v>
      </c>
      <c r="B88" s="66" t="s">
        <v>105</v>
      </c>
      <c r="F88" s="251">
        <v>45</v>
      </c>
      <c r="G88" s="251">
        <v>411</v>
      </c>
      <c r="H88" s="252">
        <v>288.5</v>
      </c>
      <c r="I88" s="253">
        <v>124.8051</v>
      </c>
      <c r="J88" s="252">
        <v>0</v>
      </c>
      <c r="K88" s="254">
        <v>413.30509999999998</v>
      </c>
    </row>
    <row r="89" spans="1:11" ht="18" customHeight="1">
      <c r="A89" s="74" t="s">
        <v>106</v>
      </c>
      <c r="B89" s="66" t="s">
        <v>107</v>
      </c>
      <c r="F89" s="251">
        <v>0</v>
      </c>
      <c r="G89" s="251">
        <v>0</v>
      </c>
      <c r="H89" s="252">
        <v>0</v>
      </c>
      <c r="I89" s="253">
        <v>0</v>
      </c>
      <c r="J89" s="252">
        <v>0</v>
      </c>
      <c r="K89" s="254">
        <v>0</v>
      </c>
    </row>
    <row r="90" spans="1:11" ht="18" customHeight="1">
      <c r="A90" s="74" t="s">
        <v>108</v>
      </c>
      <c r="B90" s="396" t="s">
        <v>109</v>
      </c>
      <c r="C90" s="396"/>
      <c r="F90" s="251">
        <v>0</v>
      </c>
      <c r="G90" s="251">
        <v>0</v>
      </c>
      <c r="H90" s="252">
        <v>0</v>
      </c>
      <c r="I90" s="253">
        <v>0</v>
      </c>
      <c r="J90" s="252">
        <v>0</v>
      </c>
      <c r="K90" s="254">
        <v>0</v>
      </c>
    </row>
    <row r="91" spans="1:11" ht="18" customHeight="1">
      <c r="A91" s="74" t="s">
        <v>110</v>
      </c>
      <c r="B91" s="66" t="s">
        <v>111</v>
      </c>
      <c r="F91" s="251">
        <v>0</v>
      </c>
      <c r="G91" s="251">
        <v>0</v>
      </c>
      <c r="H91" s="252">
        <v>0</v>
      </c>
      <c r="I91" s="253">
        <v>0</v>
      </c>
      <c r="J91" s="252">
        <v>0</v>
      </c>
      <c r="K91" s="254">
        <v>0</v>
      </c>
    </row>
    <row r="92" spans="1:11" ht="18" customHeight="1">
      <c r="A92" s="74" t="s">
        <v>112</v>
      </c>
      <c r="B92" s="66" t="s">
        <v>113</v>
      </c>
      <c r="F92" s="278">
        <v>0</v>
      </c>
      <c r="G92" s="278">
        <v>0</v>
      </c>
      <c r="H92" s="279">
        <v>0</v>
      </c>
      <c r="I92" s="253">
        <v>0</v>
      </c>
      <c r="J92" s="279">
        <v>0</v>
      </c>
      <c r="K92" s="254">
        <v>0</v>
      </c>
    </row>
    <row r="93" spans="1:11" ht="18" customHeight="1">
      <c r="A93" s="74" t="s">
        <v>114</v>
      </c>
      <c r="B93" s="66" t="s">
        <v>115</v>
      </c>
      <c r="F93" s="251">
        <v>0</v>
      </c>
      <c r="G93" s="251">
        <v>0</v>
      </c>
      <c r="H93" s="252">
        <v>0</v>
      </c>
      <c r="I93" s="253">
        <v>0</v>
      </c>
      <c r="J93" s="252">
        <v>0</v>
      </c>
      <c r="K93" s="254">
        <v>0</v>
      </c>
    </row>
    <row r="94" spans="1:11" ht="18" customHeight="1">
      <c r="A94" s="74" t="s">
        <v>116</v>
      </c>
      <c r="B94" s="66" t="s">
        <v>85</v>
      </c>
      <c r="F94" s="251">
        <v>0</v>
      </c>
      <c r="G94" s="251">
        <v>0</v>
      </c>
      <c r="H94" s="252">
        <v>0</v>
      </c>
      <c r="I94" s="253">
        <v>0</v>
      </c>
      <c r="J94" s="252">
        <v>0</v>
      </c>
      <c r="K94" s="254">
        <v>0</v>
      </c>
    </row>
    <row r="95" spans="1:11" ht="18" customHeight="1">
      <c r="A95" s="74"/>
      <c r="B95" s="393" t="s">
        <v>201</v>
      </c>
      <c r="C95" s="394"/>
      <c r="D95" s="395"/>
      <c r="F95" s="251">
        <v>0</v>
      </c>
      <c r="G95" s="251">
        <v>700</v>
      </c>
      <c r="H95" s="252">
        <v>34729.03</v>
      </c>
      <c r="I95" s="253">
        <v>15023.778377999999</v>
      </c>
      <c r="J95" s="252">
        <v>29410</v>
      </c>
      <c r="K95" s="254">
        <v>20342.808378000002</v>
      </c>
    </row>
    <row r="96" spans="1:11" ht="18" customHeight="1">
      <c r="A96" s="74"/>
      <c r="B96" s="393"/>
      <c r="C96" s="394"/>
      <c r="D96" s="395"/>
      <c r="F96" s="251">
        <v>0</v>
      </c>
      <c r="G96" s="251">
        <v>0</v>
      </c>
      <c r="H96" s="252">
        <v>0</v>
      </c>
      <c r="I96" s="253">
        <v>0</v>
      </c>
      <c r="J96" s="252">
        <v>0</v>
      </c>
      <c r="K96" s="254">
        <v>0</v>
      </c>
    </row>
    <row r="97" spans="1:11" ht="18" customHeight="1">
      <c r="A97" s="74"/>
      <c r="B97" s="393"/>
      <c r="C97" s="394"/>
      <c r="D97" s="395"/>
      <c r="F97" s="251">
        <v>0</v>
      </c>
      <c r="G97" s="251">
        <v>0</v>
      </c>
      <c r="H97" s="252">
        <v>0</v>
      </c>
      <c r="I97" s="253">
        <v>0</v>
      </c>
      <c r="J97" s="252">
        <v>0</v>
      </c>
      <c r="K97" s="254">
        <v>0</v>
      </c>
    </row>
    <row r="98" spans="1:11" ht="18" customHeight="1">
      <c r="A98" s="74"/>
      <c r="F98" s="66"/>
      <c r="G98" s="66"/>
    </row>
    <row r="99" spans="1:11" ht="18" customHeight="1">
      <c r="C99" s="66" t="s">
        <v>41</v>
      </c>
      <c r="E99" s="69"/>
      <c r="F99" s="258">
        <v>45</v>
      </c>
      <c r="G99" s="258">
        <v>1111</v>
      </c>
      <c r="H99" s="258">
        <v>37277.53</v>
      </c>
      <c r="I99" s="258">
        <v>16126.259478</v>
      </c>
      <c r="J99" s="258">
        <v>29410</v>
      </c>
      <c r="K99" s="258">
        <v>23993.789478000002</v>
      </c>
    </row>
    <row r="100" spans="1:11" ht="18" customHeight="1" thickBot="1">
      <c r="B100" s="69"/>
      <c r="F100" s="98"/>
      <c r="G100" s="98"/>
      <c r="H100" s="98"/>
      <c r="I100" s="98"/>
      <c r="J100" s="98"/>
      <c r="K100" s="98"/>
    </row>
    <row r="101" spans="1:11" ht="42.75" customHeight="1">
      <c r="A101" s="249"/>
      <c r="B101" s="250"/>
      <c r="C101" s="250"/>
      <c r="D101" s="250"/>
      <c r="E101" s="250"/>
      <c r="F101" s="77" t="s">
        <v>13</v>
      </c>
      <c r="G101" s="77" t="s">
        <v>14</v>
      </c>
      <c r="H101" s="77" t="s">
        <v>15</v>
      </c>
      <c r="I101" s="77" t="s">
        <v>16</v>
      </c>
      <c r="J101" s="77" t="s">
        <v>17</v>
      </c>
      <c r="K101" s="77" t="s">
        <v>18</v>
      </c>
    </row>
    <row r="102" spans="1:11" ht="18" customHeight="1">
      <c r="A102" s="71" t="s">
        <v>117</v>
      </c>
      <c r="B102" s="69" t="s">
        <v>118</v>
      </c>
      <c r="F102" s="66"/>
      <c r="G102" s="66"/>
    </row>
    <row r="103" spans="1:11" ht="18" customHeight="1">
      <c r="A103" s="74" t="s">
        <v>119</v>
      </c>
      <c r="B103" s="66" t="s">
        <v>120</v>
      </c>
      <c r="F103" s="251">
        <v>60</v>
      </c>
      <c r="G103" s="251">
        <v>0</v>
      </c>
      <c r="H103" s="252">
        <v>1350</v>
      </c>
      <c r="I103" s="253">
        <v>584.01</v>
      </c>
      <c r="J103" s="252">
        <v>0</v>
      </c>
      <c r="K103" s="254">
        <v>1934.01</v>
      </c>
    </row>
    <row r="104" spans="1:11" ht="18" customHeight="1">
      <c r="A104" s="74" t="s">
        <v>121</v>
      </c>
      <c r="B104" s="396" t="s">
        <v>122</v>
      </c>
      <c r="C104" s="396"/>
      <c r="F104" s="251">
        <v>0</v>
      </c>
      <c r="G104" s="251">
        <v>0</v>
      </c>
      <c r="H104" s="252">
        <v>0</v>
      </c>
      <c r="I104" s="253">
        <v>0</v>
      </c>
      <c r="J104" s="252">
        <v>0</v>
      </c>
      <c r="K104" s="254">
        <v>0</v>
      </c>
    </row>
    <row r="105" spans="1:11" ht="18" customHeight="1">
      <c r="A105" s="74" t="s">
        <v>123</v>
      </c>
      <c r="B105" s="66" t="s">
        <v>124</v>
      </c>
      <c r="F105" s="251">
        <v>0</v>
      </c>
      <c r="G105" s="251">
        <v>0</v>
      </c>
      <c r="H105" s="252">
        <v>0</v>
      </c>
      <c r="I105" s="253">
        <v>0</v>
      </c>
      <c r="J105" s="252">
        <v>0</v>
      </c>
      <c r="K105" s="254">
        <v>0</v>
      </c>
    </row>
    <row r="106" spans="1:11" ht="18" customHeight="1">
      <c r="A106" s="74" t="s">
        <v>125</v>
      </c>
      <c r="B106" s="393"/>
      <c r="C106" s="394"/>
      <c r="D106" s="395"/>
      <c r="F106" s="251">
        <v>0</v>
      </c>
      <c r="G106" s="251">
        <v>0</v>
      </c>
      <c r="H106" s="252">
        <v>0</v>
      </c>
      <c r="I106" s="253">
        <v>0</v>
      </c>
      <c r="J106" s="252">
        <v>0</v>
      </c>
      <c r="K106" s="254">
        <v>0</v>
      </c>
    </row>
    <row r="107" spans="1:11" ht="18" customHeight="1">
      <c r="A107" s="74" t="s">
        <v>126</v>
      </c>
      <c r="B107" s="393"/>
      <c r="C107" s="394"/>
      <c r="D107" s="395"/>
      <c r="F107" s="251">
        <v>0</v>
      </c>
      <c r="G107" s="251">
        <v>0</v>
      </c>
      <c r="H107" s="252">
        <v>0</v>
      </c>
      <c r="I107" s="253">
        <v>0</v>
      </c>
      <c r="J107" s="252">
        <v>0</v>
      </c>
      <c r="K107" s="254">
        <v>0</v>
      </c>
    </row>
    <row r="108" spans="1:11" ht="18" customHeight="1">
      <c r="A108" s="74" t="s">
        <v>127</v>
      </c>
      <c r="B108" s="393"/>
      <c r="C108" s="394"/>
      <c r="D108" s="395"/>
      <c r="F108" s="251">
        <v>0</v>
      </c>
      <c r="G108" s="251">
        <v>0</v>
      </c>
      <c r="H108" s="252">
        <v>0</v>
      </c>
      <c r="I108" s="253">
        <v>0</v>
      </c>
      <c r="J108" s="252">
        <v>0</v>
      </c>
      <c r="K108" s="254">
        <v>0</v>
      </c>
    </row>
    <row r="109" spans="1:11" ht="18" customHeight="1">
      <c r="B109" s="69"/>
      <c r="F109" s="66"/>
      <c r="G109" s="66"/>
    </row>
    <row r="110" spans="1:11" ht="18" customHeight="1">
      <c r="B110" s="82"/>
      <c r="C110" s="66" t="s">
        <v>41</v>
      </c>
      <c r="E110" s="69"/>
      <c r="F110" s="258">
        <v>60</v>
      </c>
      <c r="G110" s="258">
        <v>0</v>
      </c>
      <c r="H110" s="254">
        <v>1350</v>
      </c>
      <c r="I110" s="254">
        <v>584.01</v>
      </c>
      <c r="J110" s="254">
        <v>0</v>
      </c>
      <c r="K110" s="254">
        <v>1934.01</v>
      </c>
    </row>
    <row r="111" spans="1:11" ht="18" customHeight="1" thickBot="1">
      <c r="A111" s="280"/>
      <c r="B111" s="281"/>
      <c r="C111" s="282"/>
      <c r="D111" s="282"/>
      <c r="E111" s="282"/>
      <c r="F111" s="98"/>
      <c r="G111" s="98"/>
      <c r="H111" s="98"/>
      <c r="I111" s="98"/>
      <c r="J111" s="98"/>
      <c r="K111" s="98"/>
    </row>
    <row r="112" spans="1:11" ht="18" customHeight="1">
      <c r="A112" s="71" t="s">
        <v>128</v>
      </c>
      <c r="B112" s="69" t="s">
        <v>129</v>
      </c>
      <c r="F112" s="66"/>
      <c r="G112" s="66"/>
    </row>
    <row r="113" spans="1:6" s="66" customFormat="1" ht="18" customHeight="1">
      <c r="A113" s="68"/>
      <c r="B113" s="69"/>
      <c r="C113" s="66" t="s">
        <v>41</v>
      </c>
      <c r="E113" s="69"/>
      <c r="F113" s="252">
        <v>4892037</v>
      </c>
    </row>
    <row r="114" spans="1:6" s="66" customFormat="1" ht="18" customHeight="1">
      <c r="A114" s="68"/>
      <c r="B114" s="69"/>
      <c r="E114" s="69"/>
      <c r="F114" s="127"/>
    </row>
    <row r="115" spans="1:6" s="66" customFormat="1" ht="18" customHeight="1">
      <c r="A115" s="71" t="s">
        <v>130</v>
      </c>
      <c r="B115" s="69" t="s">
        <v>131</v>
      </c>
    </row>
    <row r="116" spans="1:6" s="66" customFormat="1" ht="18" customHeight="1">
      <c r="A116" s="74" t="s">
        <v>132</v>
      </c>
      <c r="B116" s="66" t="s">
        <v>133</v>
      </c>
      <c r="F116" s="283">
        <v>0.43259999999999998</v>
      </c>
    </row>
    <row r="117" spans="1:6" s="66" customFormat="1" ht="18" customHeight="1">
      <c r="A117" s="74"/>
      <c r="B117" s="69"/>
    </row>
    <row r="118" spans="1:6" s="66" customFormat="1" ht="18" customHeight="1">
      <c r="A118" s="74" t="s">
        <v>134</v>
      </c>
      <c r="B118" s="69" t="s">
        <v>135</v>
      </c>
    </row>
    <row r="119" spans="1:6" s="66" customFormat="1" ht="18" customHeight="1">
      <c r="A119" s="74"/>
      <c r="B119" s="66" t="s">
        <v>136</v>
      </c>
      <c r="F119" s="252">
        <v>290516000</v>
      </c>
    </row>
    <row r="120" spans="1:6" s="66" customFormat="1" ht="18" customHeight="1">
      <c r="A120" s="68"/>
      <c r="B120" s="66" t="s">
        <v>137</v>
      </c>
      <c r="F120" s="252">
        <v>2296000</v>
      </c>
    </row>
    <row r="121" spans="1:6" s="66" customFormat="1" ht="18" customHeight="1">
      <c r="A121" s="74"/>
      <c r="B121" s="69" t="s">
        <v>138</v>
      </c>
      <c r="F121" s="252">
        <v>292812000</v>
      </c>
    </row>
    <row r="122" spans="1:6" s="66" customFormat="1" ht="18" customHeight="1">
      <c r="A122" s="74"/>
      <c r="B122" s="69"/>
    </row>
    <row r="123" spans="1:6" s="66" customFormat="1" ht="18" customHeight="1">
      <c r="A123" s="74" t="s">
        <v>139</v>
      </c>
      <c r="B123" s="69" t="s">
        <v>140</v>
      </c>
      <c r="F123" s="252">
        <v>273937000</v>
      </c>
    </row>
    <row r="124" spans="1:6" s="66" customFormat="1" ht="18" customHeight="1">
      <c r="A124" s="74"/>
    </row>
    <row r="125" spans="1:6" s="66" customFormat="1" ht="18" customHeight="1">
      <c r="A125" s="74" t="s">
        <v>141</v>
      </c>
      <c r="B125" s="69" t="s">
        <v>142</v>
      </c>
      <c r="F125" s="252">
        <v>18875000</v>
      </c>
    </row>
    <row r="126" spans="1:6" s="66" customFormat="1" ht="18" customHeight="1">
      <c r="A126" s="74"/>
    </row>
    <row r="127" spans="1:6" s="66" customFormat="1" ht="18" customHeight="1">
      <c r="A127" s="74" t="s">
        <v>143</v>
      </c>
      <c r="B127" s="69" t="s">
        <v>144</v>
      </c>
      <c r="F127" s="252">
        <v>-9232000</v>
      </c>
    </row>
    <row r="128" spans="1:6" s="66" customFormat="1" ht="18" customHeight="1">
      <c r="A128" s="74"/>
    </row>
    <row r="129" spans="1:11" ht="18" customHeight="1">
      <c r="A129" s="74" t="s">
        <v>145</v>
      </c>
      <c r="B129" s="69" t="s">
        <v>146</v>
      </c>
      <c r="F129" s="252">
        <v>9643000</v>
      </c>
      <c r="G129" s="66"/>
    </row>
    <row r="130" spans="1:11" ht="18" customHeight="1">
      <c r="A130" s="74"/>
      <c r="F130" s="66"/>
      <c r="G130" s="66"/>
    </row>
    <row r="131" spans="1:11" ht="42.75" customHeight="1">
      <c r="A131" s="249"/>
      <c r="B131" s="250"/>
      <c r="C131" s="250"/>
      <c r="D131" s="250"/>
      <c r="E131" s="250"/>
      <c r="F131" s="77" t="s">
        <v>13</v>
      </c>
      <c r="G131" s="77" t="s">
        <v>14</v>
      </c>
      <c r="H131" s="77" t="s">
        <v>15</v>
      </c>
      <c r="I131" s="77" t="s">
        <v>16</v>
      </c>
      <c r="J131" s="77" t="s">
        <v>17</v>
      </c>
      <c r="K131" s="77" t="s">
        <v>18</v>
      </c>
    </row>
    <row r="132" spans="1:11" ht="18" customHeight="1">
      <c r="A132" s="71" t="s">
        <v>147</v>
      </c>
      <c r="B132" s="69" t="s">
        <v>148</v>
      </c>
      <c r="F132" s="66"/>
      <c r="G132" s="66"/>
    </row>
    <row r="133" spans="1:11" ht="18" customHeight="1">
      <c r="A133" s="74" t="s">
        <v>149</v>
      </c>
      <c r="B133" s="66" t="s">
        <v>150</v>
      </c>
      <c r="F133" s="251">
        <v>0</v>
      </c>
      <c r="G133" s="251">
        <v>0</v>
      </c>
      <c r="H133" s="252"/>
      <c r="I133" s="253">
        <v>0</v>
      </c>
      <c r="J133" s="252">
        <v>0</v>
      </c>
      <c r="K133" s="254">
        <v>0</v>
      </c>
    </row>
    <row r="134" spans="1:11" ht="18" customHeight="1">
      <c r="A134" s="74" t="s">
        <v>151</v>
      </c>
      <c r="B134" s="66" t="s">
        <v>152</v>
      </c>
      <c r="F134" s="251">
        <v>0</v>
      </c>
      <c r="G134" s="251">
        <v>0</v>
      </c>
      <c r="H134" s="252">
        <v>0</v>
      </c>
      <c r="I134" s="253">
        <v>0</v>
      </c>
      <c r="J134" s="252">
        <v>0</v>
      </c>
      <c r="K134" s="254">
        <v>0</v>
      </c>
    </row>
    <row r="135" spans="1:11" ht="18" customHeight="1">
      <c r="A135" s="74" t="s">
        <v>153</v>
      </c>
      <c r="B135" s="66" t="s">
        <v>34</v>
      </c>
      <c r="F135" s="251">
        <v>0</v>
      </c>
      <c r="G135" s="251">
        <v>0</v>
      </c>
      <c r="H135" s="252">
        <v>0</v>
      </c>
      <c r="I135" s="253">
        <v>0</v>
      </c>
      <c r="J135" s="252">
        <v>0</v>
      </c>
      <c r="K135" s="254">
        <v>0</v>
      </c>
    </row>
    <row r="136" spans="1:11" ht="18" customHeight="1">
      <c r="A136" s="74" t="s">
        <v>154</v>
      </c>
      <c r="B136" s="393" t="s">
        <v>202</v>
      </c>
      <c r="C136" s="394"/>
      <c r="D136" s="395"/>
      <c r="F136" s="251">
        <v>0</v>
      </c>
      <c r="G136" s="251">
        <v>0</v>
      </c>
      <c r="H136" s="252">
        <v>25907</v>
      </c>
      <c r="I136" s="253">
        <v>11207.368199999999</v>
      </c>
      <c r="J136" s="252">
        <v>0</v>
      </c>
      <c r="K136" s="254">
        <v>37114.368199999997</v>
      </c>
    </row>
    <row r="137" spans="1:11" ht="18" customHeight="1">
      <c r="A137" s="74" t="s">
        <v>155</v>
      </c>
      <c r="B137" s="393"/>
      <c r="C137" s="394"/>
      <c r="D137" s="395"/>
      <c r="F137" s="251">
        <v>0</v>
      </c>
      <c r="G137" s="251">
        <v>0</v>
      </c>
      <c r="H137" s="252">
        <v>0</v>
      </c>
      <c r="I137" s="253">
        <v>0</v>
      </c>
      <c r="J137" s="252">
        <v>0</v>
      </c>
      <c r="K137" s="254">
        <v>0</v>
      </c>
    </row>
    <row r="138" spans="1:11" ht="18" customHeight="1">
      <c r="A138" s="74" t="s">
        <v>156</v>
      </c>
      <c r="B138" s="393"/>
      <c r="C138" s="394"/>
      <c r="D138" s="395"/>
      <c r="F138" s="251">
        <v>0</v>
      </c>
      <c r="G138" s="251">
        <v>0</v>
      </c>
      <c r="H138" s="252">
        <v>0</v>
      </c>
      <c r="I138" s="253">
        <v>0</v>
      </c>
      <c r="J138" s="252">
        <v>0</v>
      </c>
      <c r="K138" s="254">
        <v>0</v>
      </c>
    </row>
    <row r="139" spans="1:11" ht="18" customHeight="1">
      <c r="A139" s="71"/>
      <c r="F139" s="66"/>
      <c r="G139" s="66"/>
    </row>
    <row r="140" spans="1:11" ht="18" customHeight="1">
      <c r="B140" s="69" t="s">
        <v>157</v>
      </c>
      <c r="F140" s="258">
        <v>0</v>
      </c>
      <c r="G140" s="258">
        <v>0</v>
      </c>
      <c r="H140" s="254">
        <v>25907</v>
      </c>
      <c r="I140" s="254">
        <v>11207.368199999999</v>
      </c>
      <c r="J140" s="254">
        <v>0</v>
      </c>
      <c r="K140" s="254">
        <v>37114.368199999997</v>
      </c>
    </row>
    <row r="141" spans="1:11" ht="18" customHeight="1">
      <c r="A141" s="66"/>
      <c r="F141" s="66"/>
      <c r="G141" s="66"/>
    </row>
    <row r="142" spans="1:11" ht="42.75" customHeight="1">
      <c r="A142" s="249"/>
      <c r="B142" s="250"/>
      <c r="C142" s="250"/>
      <c r="D142" s="250"/>
      <c r="E142" s="250"/>
      <c r="F142" s="77" t="s">
        <v>13</v>
      </c>
      <c r="G142" s="77" t="s">
        <v>14</v>
      </c>
      <c r="H142" s="77" t="s">
        <v>15</v>
      </c>
      <c r="I142" s="77" t="s">
        <v>16</v>
      </c>
      <c r="J142" s="77" t="s">
        <v>17</v>
      </c>
      <c r="K142" s="77" t="s">
        <v>18</v>
      </c>
    </row>
    <row r="143" spans="1:11" ht="18" customHeight="1">
      <c r="A143" s="71" t="s">
        <v>158</v>
      </c>
      <c r="B143" s="66" t="s">
        <v>159</v>
      </c>
      <c r="F143" s="66"/>
      <c r="G143" s="66"/>
    </row>
    <row r="144" spans="1:11" ht="18" customHeight="1">
      <c r="A144" s="74" t="s">
        <v>160</v>
      </c>
      <c r="B144" s="69" t="s">
        <v>161</v>
      </c>
      <c r="F144" s="284">
        <v>2355.5</v>
      </c>
      <c r="G144" s="284">
        <v>4476</v>
      </c>
      <c r="H144" s="284">
        <v>434940.65</v>
      </c>
      <c r="I144" s="284">
        <v>188155.32518999997</v>
      </c>
      <c r="J144" s="284">
        <v>0</v>
      </c>
      <c r="K144" s="284">
        <v>623095.97518999991</v>
      </c>
    </row>
    <row r="145" spans="1:11" ht="18" customHeight="1">
      <c r="A145" s="74" t="s">
        <v>162</v>
      </c>
      <c r="B145" s="69" t="s">
        <v>163</v>
      </c>
      <c r="F145" s="284">
        <v>4345</v>
      </c>
      <c r="G145" s="284">
        <v>267</v>
      </c>
      <c r="H145" s="284">
        <v>417533.5</v>
      </c>
      <c r="I145" s="284">
        <v>180624.9921</v>
      </c>
      <c r="J145" s="284">
        <v>0</v>
      </c>
      <c r="K145" s="284">
        <v>598158.49210000003</v>
      </c>
    </row>
    <row r="146" spans="1:11" ht="18" customHeight="1">
      <c r="A146" s="74" t="s">
        <v>164</v>
      </c>
      <c r="B146" s="69" t="s">
        <v>165</v>
      </c>
      <c r="F146" s="284">
        <v>5529.5</v>
      </c>
      <c r="G146" s="284">
        <v>83651</v>
      </c>
      <c r="H146" s="284">
        <v>323821.21999999997</v>
      </c>
      <c r="I146" s="284">
        <v>140085.05977200001</v>
      </c>
      <c r="J146" s="284">
        <v>700</v>
      </c>
      <c r="K146" s="284">
        <v>463206.27977199998</v>
      </c>
    </row>
    <row r="147" spans="1:11" ht="18" customHeight="1">
      <c r="A147" s="74" t="s">
        <v>166</v>
      </c>
      <c r="B147" s="69" t="s">
        <v>167</v>
      </c>
      <c r="F147" s="284">
        <v>570.5</v>
      </c>
      <c r="G147" s="284">
        <v>389</v>
      </c>
      <c r="H147" s="284">
        <v>25667.02</v>
      </c>
      <c r="I147" s="284">
        <v>11103.552851999999</v>
      </c>
      <c r="J147" s="284">
        <v>0</v>
      </c>
      <c r="K147" s="284">
        <v>36770.572851999998</v>
      </c>
    </row>
    <row r="148" spans="1:11" ht="18" customHeight="1">
      <c r="A148" s="74" t="s">
        <v>168</v>
      </c>
      <c r="B148" s="69" t="s">
        <v>169</v>
      </c>
      <c r="F148" s="284">
        <v>36</v>
      </c>
      <c r="G148" s="284">
        <v>982</v>
      </c>
      <c r="H148" s="284">
        <v>14920.74</v>
      </c>
      <c r="I148" s="284">
        <v>6454.7121239999997</v>
      </c>
      <c r="J148" s="284">
        <v>0</v>
      </c>
      <c r="K148" s="284">
        <v>21375.452123999999</v>
      </c>
    </row>
    <row r="149" spans="1:11" ht="18" customHeight="1">
      <c r="A149" s="74" t="s">
        <v>170</v>
      </c>
      <c r="B149" s="69" t="s">
        <v>171</v>
      </c>
      <c r="F149" s="284">
        <v>45</v>
      </c>
      <c r="G149" s="284">
        <v>1111</v>
      </c>
      <c r="H149" s="284">
        <v>37277.53</v>
      </c>
      <c r="I149" s="284">
        <v>16126.259478</v>
      </c>
      <c r="J149" s="284">
        <v>29410</v>
      </c>
      <c r="K149" s="284">
        <v>23993.789478000002</v>
      </c>
    </row>
    <row r="150" spans="1:11" ht="18" customHeight="1">
      <c r="A150" s="74" t="s">
        <v>172</v>
      </c>
      <c r="B150" s="69" t="s">
        <v>173</v>
      </c>
      <c r="F150" s="258">
        <v>60</v>
      </c>
      <c r="G150" s="258">
        <v>0</v>
      </c>
      <c r="H150" s="258">
        <v>1350</v>
      </c>
      <c r="I150" s="258">
        <v>584.01</v>
      </c>
      <c r="J150" s="258">
        <v>0</v>
      </c>
      <c r="K150" s="258">
        <v>1934.01</v>
      </c>
    </row>
    <row r="151" spans="1:11" ht="18" customHeight="1">
      <c r="A151" s="74" t="s">
        <v>174</v>
      </c>
      <c r="B151" s="69" t="s">
        <v>175</v>
      </c>
      <c r="F151" s="285" t="s">
        <v>176</v>
      </c>
      <c r="G151" s="285" t="s">
        <v>176</v>
      </c>
      <c r="H151" s="117" t="s">
        <v>176</v>
      </c>
      <c r="I151" s="117" t="s">
        <v>176</v>
      </c>
      <c r="J151" s="117" t="s">
        <v>176</v>
      </c>
      <c r="K151" s="286">
        <v>4892037</v>
      </c>
    </row>
    <row r="152" spans="1:11" ht="18" customHeight="1">
      <c r="A152" s="74" t="s">
        <v>147</v>
      </c>
      <c r="B152" s="69" t="s">
        <v>177</v>
      </c>
      <c r="F152" s="258">
        <v>0</v>
      </c>
      <c r="G152" s="258">
        <v>0</v>
      </c>
      <c r="H152" s="258">
        <v>25907</v>
      </c>
      <c r="I152" s="258">
        <v>11207.368199999999</v>
      </c>
      <c r="J152" s="258">
        <v>0</v>
      </c>
      <c r="K152" s="258">
        <v>37114.368199999997</v>
      </c>
    </row>
    <row r="153" spans="1:11" ht="18" customHeight="1">
      <c r="B153" s="69"/>
      <c r="F153" s="119"/>
      <c r="G153" s="119"/>
      <c r="H153" s="119"/>
      <c r="I153" s="119"/>
      <c r="J153" s="119"/>
      <c r="K153" s="119"/>
    </row>
    <row r="154" spans="1:11" ht="18" customHeight="1">
      <c r="A154" s="71"/>
      <c r="B154" s="69" t="s">
        <v>159</v>
      </c>
      <c r="F154" s="287">
        <v>12941.5</v>
      </c>
      <c r="G154" s="288">
        <v>90876</v>
      </c>
      <c r="H154" s="288">
        <v>1281417.6600000001</v>
      </c>
      <c r="I154" s="288">
        <v>554341.27971599996</v>
      </c>
      <c r="J154" s="288">
        <v>30110</v>
      </c>
      <c r="K154" s="289">
        <v>6697685.9397160001</v>
      </c>
    </row>
    <row r="155" spans="1:11" ht="18" customHeight="1">
      <c r="F155" s="66"/>
      <c r="G155" s="66"/>
    </row>
    <row r="156" spans="1:11" ht="18" customHeight="1">
      <c r="B156" s="69" t="s">
        <v>178</v>
      </c>
      <c r="F156" s="290">
        <v>2.444973092249678E-2</v>
      </c>
      <c r="G156" s="66"/>
    </row>
    <row r="157" spans="1:11" ht="18" customHeight="1">
      <c r="B157" s="69" t="s">
        <v>179</v>
      </c>
      <c r="F157" s="290">
        <v>0.69456454834760972</v>
      </c>
      <c r="G157" s="69"/>
    </row>
    <row r="158" spans="1:11" ht="18" customHeight="1">
      <c r="G158" s="75"/>
    </row>
    <row r="159" spans="1:11" ht="18" customHeight="1">
      <c r="A159" s="71"/>
      <c r="B159" s="125"/>
    </row>
    <row r="160" spans="1:11" ht="18" customHeight="1">
      <c r="B160" s="126"/>
      <c r="H160" s="75"/>
    </row>
    <row r="161" spans="1:9" ht="18" customHeight="1">
      <c r="H161" s="73"/>
      <c r="I161" s="69"/>
    </row>
    <row r="162" spans="1:9" ht="18" customHeight="1">
      <c r="A162" s="71"/>
      <c r="H162" s="73"/>
    </row>
    <row r="163" spans="1:9" ht="18" customHeight="1">
      <c r="A163" s="74"/>
      <c r="B163" s="93"/>
      <c r="H163" s="73"/>
    </row>
    <row r="164" spans="1:9" ht="18" customHeight="1">
      <c r="H164" s="73"/>
    </row>
    <row r="165" spans="1:9" ht="18" customHeight="1">
      <c r="H165" s="73"/>
    </row>
    <row r="166" spans="1:9" ht="18" customHeight="1">
      <c r="B166" s="72"/>
      <c r="C166" s="72"/>
      <c r="D166" s="72"/>
      <c r="E166" s="72"/>
      <c r="F166" s="72"/>
      <c r="H166" s="127"/>
    </row>
  </sheetData>
  <sheetProtection password="EF72" sheet="1" objects="1" scenarios="1"/>
  <mergeCells count="32">
    <mergeCell ref="C12:G12"/>
    <mergeCell ref="C6:G6"/>
    <mergeCell ref="C7:G7"/>
    <mergeCell ref="C8:G8"/>
    <mergeCell ref="C9:G9"/>
    <mergeCell ref="C10:G10"/>
    <mergeCell ref="C11:G11"/>
    <mergeCell ref="B138:D138"/>
    <mergeCell ref="B61:D61"/>
    <mergeCell ref="B90:C90"/>
    <mergeCell ref="B95:D95"/>
    <mergeCell ref="B96:D96"/>
    <mergeCell ref="B97:D97"/>
    <mergeCell ref="B104:C104"/>
    <mergeCell ref="B106:D106"/>
    <mergeCell ref="B107:D107"/>
    <mergeCell ref="B108:D108"/>
    <mergeCell ref="B137:D137"/>
    <mergeCell ref="B136:D136"/>
    <mergeCell ref="B32:D32"/>
    <mergeCell ref="B29:D29"/>
    <mergeCell ref="B28:D28"/>
    <mergeCell ref="B58:D58"/>
    <mergeCell ref="B39:C39"/>
    <mergeCell ref="B44:D44"/>
    <mergeCell ref="B45:D45"/>
    <mergeCell ref="B46:D46"/>
    <mergeCell ref="B51:C51"/>
    <mergeCell ref="B52:D52"/>
    <mergeCell ref="B54:D54"/>
    <mergeCell ref="B55:D55"/>
    <mergeCell ref="B56:D56"/>
  </mergeCells>
  <pageMargins left="0" right="0" top="0.75" bottom="1.5" header="0.5" footer="0.5"/>
  <pageSetup scale="55" orientation="landscape" r:id="rId1"/>
  <headerFooter alignWithMargins="0">
    <oddFooter>&amp;L&amp;8&amp;F&amp;C&amp;8&amp;P of &amp;N&amp;R&amp;8&amp;D</oddFooter>
  </headerFooter>
  <rowBreaks count="4" manualBreakCount="4">
    <brk id="35" max="10" man="1"/>
    <brk id="64" max="16383" man="1"/>
    <brk id="100" max="16383" man="1"/>
    <brk id="1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70" zoomScaleNormal="50" zoomScaleSheetLayoutView="70" workbookViewId="0">
      <selection activeCell="F156" sqref="F156:F157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203</v>
      </c>
      <c r="D5" s="363"/>
      <c r="E5" s="363"/>
      <c r="F5" s="363"/>
      <c r="G5" s="364"/>
    </row>
    <row r="6" spans="1:11" ht="18" customHeight="1">
      <c r="B6" s="6" t="s">
        <v>4</v>
      </c>
      <c r="C6" s="406" t="s">
        <v>204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205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206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207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208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1040</v>
      </c>
      <c r="G18" s="11">
        <f>2421+4771</f>
        <v>7192</v>
      </c>
      <c r="H18" s="12">
        <f>11400+79843+45764</f>
        <v>137007</v>
      </c>
      <c r="I18" s="13">
        <v>0</v>
      </c>
      <c r="J18" s="12"/>
      <c r="K18" s="14">
        <f t="shared" ref="K18:K32" si="0">(H18+I18)-J18</f>
        <v>137007</v>
      </c>
    </row>
    <row r="19" spans="1:11" ht="18" customHeight="1">
      <c r="A19" s="6"/>
      <c r="B19" s="2" t="s">
        <v>23</v>
      </c>
      <c r="F19" s="11"/>
      <c r="G19" s="11"/>
      <c r="H19" s="12"/>
      <c r="I19" s="13">
        <f>H19*F$116</f>
        <v>0</v>
      </c>
      <c r="J19" s="12"/>
      <c r="K19" s="14">
        <f t="shared" si="0"/>
        <v>0</v>
      </c>
    </row>
    <row r="20" spans="1:11" ht="18" customHeight="1">
      <c r="A20" s="6"/>
      <c r="B20" s="2" t="s">
        <v>24</v>
      </c>
      <c r="F20" s="11"/>
      <c r="G20" s="11"/>
      <c r="H20" s="12"/>
      <c r="I20" s="13">
        <f t="shared" ref="I20:I32" si="1">H20*F$116</f>
        <v>0</v>
      </c>
      <c r="J20" s="12"/>
      <c r="K20" s="14">
        <f t="shared" si="0"/>
        <v>0</v>
      </c>
    </row>
    <row r="21" spans="1:11" ht="18" customHeight="1">
      <c r="A21" s="6" t="s">
        <v>25</v>
      </c>
      <c r="B21" s="2" t="s">
        <v>26</v>
      </c>
      <c r="F21" s="11">
        <v>64</v>
      </c>
      <c r="G21" s="11">
        <v>1098</v>
      </c>
      <c r="H21" s="12">
        <v>2688</v>
      </c>
      <c r="I21" s="13">
        <v>0</v>
      </c>
      <c r="J21" s="12"/>
      <c r="K21" s="14">
        <f t="shared" si="0"/>
        <v>2688</v>
      </c>
    </row>
    <row r="22" spans="1:11" ht="18" customHeight="1">
      <c r="A22" s="6"/>
      <c r="B22" s="2" t="s">
        <v>27</v>
      </c>
      <c r="F22" s="11"/>
      <c r="G22" s="11"/>
      <c r="H22" s="12"/>
      <c r="I22" s="13">
        <f t="shared" si="1"/>
        <v>0</v>
      </c>
      <c r="J22" s="12"/>
      <c r="K22" s="14">
        <f t="shared" si="0"/>
        <v>0</v>
      </c>
    </row>
    <row r="23" spans="1:11" ht="18" customHeight="1">
      <c r="A23" s="6"/>
      <c r="B23" s="2" t="s">
        <v>28</v>
      </c>
      <c r="F23" s="11"/>
      <c r="G23" s="11"/>
      <c r="H23" s="12"/>
      <c r="I23" s="13">
        <f t="shared" si="1"/>
        <v>0</v>
      </c>
      <c r="J23" s="12"/>
      <c r="K23" s="14">
        <f t="shared" si="0"/>
        <v>0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1040</v>
      </c>
      <c r="G26" s="11">
        <v>2770</v>
      </c>
      <c r="H26" s="12">
        <f>504800+156147</f>
        <v>660947</v>
      </c>
      <c r="I26" s="13">
        <v>0</v>
      </c>
      <c r="J26" s="12"/>
      <c r="K26" s="14">
        <f t="shared" si="0"/>
        <v>660947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2144</v>
      </c>
      <c r="G34" s="19">
        <f t="shared" si="2"/>
        <v>11060</v>
      </c>
      <c r="H34" s="14">
        <f t="shared" si="2"/>
        <v>800642</v>
      </c>
      <c r="I34" s="14">
        <f t="shared" si="2"/>
        <v>0</v>
      </c>
      <c r="J34" s="14">
        <f t="shared" si="2"/>
        <v>0</v>
      </c>
      <c r="K34" s="14">
        <f t="shared" si="2"/>
        <v>800642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/>
      <c r="G40" s="11"/>
      <c r="H40" s="12"/>
      <c r="I40" s="13">
        <v>0</v>
      </c>
      <c r="J40" s="12"/>
      <c r="K40" s="14">
        <f t="shared" si="3"/>
        <v>0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/>
      <c r="G42" s="11"/>
      <c r="H42" s="12"/>
      <c r="I42" s="13">
        <v>0</v>
      </c>
      <c r="J42" s="12"/>
      <c r="K42" s="14">
        <f t="shared" si="3"/>
        <v>0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0</v>
      </c>
      <c r="G48" s="25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209</v>
      </c>
      <c r="C52" s="385"/>
      <c r="D52" s="359"/>
      <c r="F52" s="11">
        <v>13196</v>
      </c>
      <c r="G52" s="11">
        <v>18515</v>
      </c>
      <c r="H52" s="12">
        <v>868076</v>
      </c>
      <c r="I52" s="13">
        <v>0</v>
      </c>
      <c r="J52" s="12"/>
      <c r="K52" s="14">
        <f t="shared" ref="K52:K61" si="5">(H52+I52)-J52</f>
        <v>868076</v>
      </c>
    </row>
    <row r="53" spans="1:11" ht="18" customHeight="1">
      <c r="A53" s="6" t="s">
        <v>63</v>
      </c>
      <c r="B53" s="27"/>
      <c r="C53" s="28"/>
      <c r="D53" s="29"/>
      <c r="F53" s="11"/>
      <c r="G53" s="11"/>
      <c r="H53" s="12"/>
      <c r="I53" s="13">
        <v>0</v>
      </c>
      <c r="J53" s="12"/>
      <c r="K53" s="14">
        <f t="shared" si="5"/>
        <v>0</v>
      </c>
    </row>
    <row r="54" spans="1:11" ht="18" customHeight="1">
      <c r="A54" s="6" t="s">
        <v>65</v>
      </c>
      <c r="B54" s="381"/>
      <c r="C54" s="358"/>
      <c r="D54" s="359"/>
      <c r="F54" s="11"/>
      <c r="G54" s="11"/>
      <c r="H54" s="12"/>
      <c r="I54" s="13">
        <v>0</v>
      </c>
      <c r="J54" s="12"/>
      <c r="K54" s="14">
        <f t="shared" si="5"/>
        <v>0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13196</v>
      </c>
      <c r="G63" s="19">
        <f t="shared" si="6"/>
        <v>18515</v>
      </c>
      <c r="H63" s="14">
        <f t="shared" si="6"/>
        <v>868076</v>
      </c>
      <c r="I63" s="14">
        <f t="shared" si="6"/>
        <v>0</v>
      </c>
      <c r="J63" s="14">
        <f t="shared" si="6"/>
        <v>0</v>
      </c>
      <c r="K63" s="14">
        <f t="shared" si="6"/>
        <v>868076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f>11000</f>
        <v>11000</v>
      </c>
      <c r="I77" s="13">
        <v>0</v>
      </c>
      <c r="J77" s="12"/>
      <c r="K77" s="14">
        <f>(H77+I77)-J77</f>
        <v>11000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/>
      <c r="G79" s="11"/>
      <c r="H79" s="12"/>
      <c r="I79" s="13">
        <v>0</v>
      </c>
      <c r="J79" s="12"/>
      <c r="K79" s="14">
        <f>(H79+I79)-J79</f>
        <v>0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0</v>
      </c>
      <c r="G82" s="44">
        <f t="shared" si="9"/>
        <v>0</v>
      </c>
      <c r="H82" s="45">
        <f t="shared" si="9"/>
        <v>11000</v>
      </c>
      <c r="I82" s="45">
        <f t="shared" si="9"/>
        <v>0</v>
      </c>
      <c r="J82" s="45">
        <f t="shared" si="9"/>
        <v>0</v>
      </c>
      <c r="K82" s="45">
        <f t="shared" si="9"/>
        <v>11000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/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/>
      <c r="G92" s="46"/>
      <c r="H92" s="47"/>
      <c r="I92" s="13">
        <f t="shared" si="10"/>
        <v>0</v>
      </c>
      <c r="J92" s="47"/>
      <c r="K92" s="14">
        <f t="shared" si="11"/>
        <v>0</v>
      </c>
    </row>
    <row r="93" spans="1:11" ht="18" customHeight="1">
      <c r="A93" s="6" t="s">
        <v>114</v>
      </c>
      <c r="B93" s="63" t="s">
        <v>115</v>
      </c>
      <c r="F93" s="11"/>
      <c r="G93" s="11"/>
      <c r="H93" s="12"/>
      <c r="I93" s="13">
        <f t="shared" si="10"/>
        <v>0</v>
      </c>
      <c r="J93" s="12"/>
      <c r="K93" s="14">
        <f t="shared" si="11"/>
        <v>0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 t="s">
        <v>210</v>
      </c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0</v>
      </c>
      <c r="G99" s="19">
        <f t="shared" si="12"/>
        <v>0</v>
      </c>
      <c r="H99" s="19">
        <f t="shared" si="12"/>
        <v>0</v>
      </c>
      <c r="I99" s="19">
        <f t="shared" si="12"/>
        <v>0</v>
      </c>
      <c r="J99" s="19">
        <f t="shared" si="12"/>
        <v>0</v>
      </c>
      <c r="K99" s="19">
        <f t="shared" si="12"/>
        <v>0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8647745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1.05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118128688</v>
      </c>
    </row>
    <row r="120" spans="1:6" ht="18" customHeight="1">
      <c r="B120" s="2" t="s">
        <v>137</v>
      </c>
      <c r="F120" s="12">
        <v>8973432</v>
      </c>
    </row>
    <row r="121" spans="1:6" ht="18" customHeight="1">
      <c r="A121" s="6"/>
      <c r="B121" s="5" t="s">
        <v>138</v>
      </c>
      <c r="F121" s="12">
        <v>127102120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f>134159150+1456837</f>
        <v>135615987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f>F121-F123</f>
        <v>-8513867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-2753332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f>F125+F127</f>
        <v>-11267199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>
        <v>4784</v>
      </c>
      <c r="G133" s="11">
        <v>707</v>
      </c>
      <c r="H133" s="12">
        <v>229019</v>
      </c>
      <c r="I133" s="13">
        <f>H133*F$116</f>
        <v>240469.95</v>
      </c>
      <c r="J133" s="12">
        <v>62659</v>
      </c>
      <c r="K133" s="14">
        <f t="shared" ref="K133:K138" si="16">(H133+I133)-J133</f>
        <v>406829.95</v>
      </c>
    </row>
    <row r="134" spans="1:11" ht="18" customHeight="1">
      <c r="A134" s="6" t="s">
        <v>151</v>
      </c>
      <c r="B134" s="2" t="s">
        <v>152</v>
      </c>
      <c r="F134" s="11">
        <v>43680</v>
      </c>
      <c r="G134" s="11">
        <v>2544</v>
      </c>
      <c r="H134" s="12">
        <v>3195073</v>
      </c>
      <c r="I134" s="13">
        <v>2160961</v>
      </c>
      <c r="J134" s="12">
        <v>1035822</v>
      </c>
      <c r="K134" s="14">
        <f t="shared" si="16"/>
        <v>4320212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48464</v>
      </c>
      <c r="G140" s="19">
        <f t="shared" si="17"/>
        <v>3251</v>
      </c>
      <c r="H140" s="14">
        <f t="shared" si="17"/>
        <v>3424092</v>
      </c>
      <c r="I140" s="14">
        <f t="shared" si="17"/>
        <v>2401430.9500000002</v>
      </c>
      <c r="J140" s="14">
        <f t="shared" si="17"/>
        <v>1098481</v>
      </c>
      <c r="K140" s="14">
        <f t="shared" si="17"/>
        <v>4727041.95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2144</v>
      </c>
      <c r="G144" s="54">
        <f t="shared" si="18"/>
        <v>11060</v>
      </c>
      <c r="H144" s="54">
        <f t="shared" si="18"/>
        <v>800642</v>
      </c>
      <c r="I144" s="54">
        <f t="shared" si="18"/>
        <v>0</v>
      </c>
      <c r="J144" s="54">
        <f t="shared" si="18"/>
        <v>0</v>
      </c>
      <c r="K144" s="54">
        <f t="shared" si="18"/>
        <v>800642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0</v>
      </c>
      <c r="G145" s="54">
        <f t="shared" si="19"/>
        <v>0</v>
      </c>
      <c r="H145" s="54">
        <f t="shared" si="19"/>
        <v>0</v>
      </c>
      <c r="I145" s="54">
        <f t="shared" si="19"/>
        <v>0</v>
      </c>
      <c r="J145" s="54">
        <f t="shared" si="19"/>
        <v>0</v>
      </c>
      <c r="K145" s="54">
        <f t="shared" si="19"/>
        <v>0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13196</v>
      </c>
      <c r="G146" s="54">
        <f t="shared" si="20"/>
        <v>18515</v>
      </c>
      <c r="H146" s="54">
        <f t="shared" si="20"/>
        <v>868076</v>
      </c>
      <c r="I146" s="54">
        <f t="shared" si="20"/>
        <v>0</v>
      </c>
      <c r="J146" s="54">
        <f t="shared" si="20"/>
        <v>0</v>
      </c>
      <c r="K146" s="54">
        <f t="shared" si="20"/>
        <v>868076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0</v>
      </c>
      <c r="G148" s="54">
        <f t="shared" si="22"/>
        <v>0</v>
      </c>
      <c r="H148" s="54">
        <f t="shared" si="22"/>
        <v>11000</v>
      </c>
      <c r="I148" s="54">
        <f t="shared" si="22"/>
        <v>0</v>
      </c>
      <c r="J148" s="54">
        <f t="shared" si="22"/>
        <v>0</v>
      </c>
      <c r="K148" s="54">
        <f t="shared" si="22"/>
        <v>11000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0</v>
      </c>
      <c r="G149" s="54">
        <f t="shared" si="23"/>
        <v>0</v>
      </c>
      <c r="H149" s="54">
        <f t="shared" si="23"/>
        <v>0</v>
      </c>
      <c r="I149" s="54">
        <f t="shared" si="23"/>
        <v>0</v>
      </c>
      <c r="J149" s="54">
        <f t="shared" si="23"/>
        <v>0</v>
      </c>
      <c r="K149" s="54">
        <f t="shared" si="23"/>
        <v>0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8647745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48464</v>
      </c>
      <c r="G152" s="19">
        <f t="shared" si="25"/>
        <v>3251</v>
      </c>
      <c r="H152" s="19">
        <f t="shared" si="25"/>
        <v>3424092</v>
      </c>
      <c r="I152" s="19">
        <f t="shared" si="25"/>
        <v>2401430.9500000002</v>
      </c>
      <c r="J152" s="19">
        <f t="shared" si="25"/>
        <v>1098481</v>
      </c>
      <c r="K152" s="19">
        <f t="shared" si="25"/>
        <v>4727041.95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63804</v>
      </c>
      <c r="G154" s="60">
        <f t="shared" si="26"/>
        <v>32826</v>
      </c>
      <c r="H154" s="60">
        <f t="shared" si="26"/>
        <v>5103810</v>
      </c>
      <c r="I154" s="60">
        <f t="shared" si="26"/>
        <v>2401430.9500000002</v>
      </c>
      <c r="J154" s="60">
        <f t="shared" si="26"/>
        <v>1098481</v>
      </c>
      <c r="K154" s="61">
        <f t="shared" si="26"/>
        <v>15054504.949999999</v>
      </c>
    </row>
    <row r="156" spans="1:11" ht="18" customHeight="1">
      <c r="B156" s="5" t="s">
        <v>178</v>
      </c>
      <c r="F156" s="233">
        <f>K154/F123</f>
        <v>0.11100833524885233</v>
      </c>
    </row>
    <row r="157" spans="1:11" ht="18" customHeight="1">
      <c r="B157" s="5" t="s">
        <v>179</v>
      </c>
      <c r="F157" s="233">
        <f>K154/F129</f>
        <v>-1.3361355337737444</v>
      </c>
      <c r="G157" s="5"/>
    </row>
    <row r="158" spans="1:11" ht="18" customHeight="1">
      <c r="G158" s="5"/>
    </row>
  </sheetData>
  <sheetProtection password="EF72" sheet="1" objects="1" scenarios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0" fitToHeight="5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  <colBreaks count="1" manualBreakCount="1">
    <brk id="23" max="180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211</v>
      </c>
      <c r="D5" s="363"/>
      <c r="E5" s="363"/>
      <c r="F5" s="363"/>
      <c r="G5" s="364"/>
    </row>
    <row r="6" spans="1:11" ht="18" customHeight="1">
      <c r="B6" s="6" t="s">
        <v>4</v>
      </c>
      <c r="C6" s="365" t="s">
        <v>212</v>
      </c>
      <c r="D6" s="366"/>
      <c r="E6" s="366"/>
      <c r="F6" s="366"/>
      <c r="G6" s="367"/>
    </row>
    <row r="7" spans="1:11" ht="18" customHeight="1">
      <c r="B7" s="6" t="s">
        <v>5</v>
      </c>
      <c r="C7" s="407" t="s">
        <v>213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214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215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216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876</v>
      </c>
      <c r="G18" s="11">
        <v>1212</v>
      </c>
      <c r="H18" s="12">
        <v>43972</v>
      </c>
      <c r="I18" s="13">
        <f>H18*F$116</f>
        <v>24334.104800000001</v>
      </c>
      <c r="J18" s="12">
        <v>3322</v>
      </c>
      <c r="K18" s="14">
        <f t="shared" ref="K18:K32" si="0">(H18+I18)-J18</f>
        <v>64984.104800000001</v>
      </c>
    </row>
    <row r="19" spans="1:11" ht="18" customHeight="1">
      <c r="A19" s="6"/>
      <c r="B19" s="2" t="s">
        <v>23</v>
      </c>
      <c r="F19" s="11">
        <v>36</v>
      </c>
      <c r="G19" s="11">
        <v>29</v>
      </c>
      <c r="H19" s="12">
        <v>1188</v>
      </c>
      <c r="I19" s="13">
        <f>H19*F$116</f>
        <v>657.43920000000003</v>
      </c>
      <c r="J19" s="12">
        <v>0</v>
      </c>
      <c r="K19" s="14">
        <f t="shared" si="0"/>
        <v>1845.4392</v>
      </c>
    </row>
    <row r="20" spans="1:11" ht="18" customHeight="1">
      <c r="A20" s="6"/>
      <c r="B20" s="2" t="s">
        <v>24</v>
      </c>
      <c r="F20" s="11">
        <v>18</v>
      </c>
      <c r="G20" s="11">
        <v>180</v>
      </c>
      <c r="H20" s="12">
        <v>828</v>
      </c>
      <c r="I20" s="13">
        <f t="shared" ref="I20:I32" si="1">H20*F$116</f>
        <v>458.21519999999998</v>
      </c>
      <c r="J20" s="12">
        <v>400</v>
      </c>
      <c r="K20" s="14">
        <f t="shared" si="0"/>
        <v>886.2152000000001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si="1"/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319</v>
      </c>
      <c r="G22" s="11">
        <v>3085</v>
      </c>
      <c r="H22" s="12">
        <v>28708</v>
      </c>
      <c r="I22" s="13">
        <f t="shared" si="1"/>
        <v>15887.0072</v>
      </c>
      <c r="J22" s="12">
        <v>12672</v>
      </c>
      <c r="K22" s="14">
        <f t="shared" si="0"/>
        <v>31923.0072</v>
      </c>
    </row>
    <row r="23" spans="1:11" ht="18" customHeight="1">
      <c r="A23" s="6"/>
      <c r="B23" s="2" t="s">
        <v>28</v>
      </c>
      <c r="F23" s="11">
        <v>36</v>
      </c>
      <c r="G23" s="11">
        <v>45</v>
      </c>
      <c r="H23" s="12">
        <v>2372</v>
      </c>
      <c r="I23" s="13">
        <f t="shared" si="1"/>
        <v>1312.6648</v>
      </c>
      <c r="J23" s="12">
        <v>180</v>
      </c>
      <c r="K23" s="14">
        <f t="shared" si="0"/>
        <v>3504.6648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1923.5</v>
      </c>
      <c r="G26" s="11">
        <v>1420</v>
      </c>
      <c r="H26" s="12">
        <v>60405</v>
      </c>
      <c r="I26" s="13">
        <f t="shared" si="1"/>
        <v>33428.127</v>
      </c>
      <c r="J26" s="12">
        <v>0</v>
      </c>
      <c r="K26" s="14">
        <f t="shared" si="0"/>
        <v>93833.127000000008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3208.5</v>
      </c>
      <c r="G34" s="19">
        <f t="shared" si="2"/>
        <v>5971</v>
      </c>
      <c r="H34" s="14">
        <f t="shared" si="2"/>
        <v>137473</v>
      </c>
      <c r="I34" s="14">
        <f t="shared" si="2"/>
        <v>76077.558199999999</v>
      </c>
      <c r="J34" s="14">
        <f t="shared" si="2"/>
        <v>16574</v>
      </c>
      <c r="K34" s="14">
        <f t="shared" si="2"/>
        <v>196976.5582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/>
      <c r="G38" s="11"/>
      <c r="H38" s="12"/>
      <c r="I38" s="13">
        <v>0</v>
      </c>
      <c r="J38" s="12"/>
      <c r="K38" s="14">
        <f t="shared" ref="K38:K46" si="3">(H38+I38)-J38</f>
        <v>0</v>
      </c>
    </row>
    <row r="39" spans="1:11" ht="18" customHeight="1">
      <c r="A39" s="6" t="s">
        <v>46</v>
      </c>
      <c r="B39" s="386" t="s">
        <v>47</v>
      </c>
      <c r="C39" s="356"/>
      <c r="F39" s="11"/>
      <c r="G39" s="11"/>
      <c r="H39" s="12"/>
      <c r="I39" s="13">
        <v>0</v>
      </c>
      <c r="J39" s="12"/>
      <c r="K39" s="14">
        <f t="shared" si="3"/>
        <v>0</v>
      </c>
    </row>
    <row r="40" spans="1:11" ht="18" customHeight="1">
      <c r="A40" s="6" t="s">
        <v>48</v>
      </c>
      <c r="B40" s="63" t="s">
        <v>49</v>
      </c>
      <c r="F40" s="11">
        <v>876</v>
      </c>
      <c r="G40" s="11">
        <v>5690</v>
      </c>
      <c r="H40" s="12">
        <v>30313</v>
      </c>
      <c r="I40" s="13">
        <f>H40*F$116</f>
        <v>16775.214199999999</v>
      </c>
      <c r="J40" s="12">
        <v>0</v>
      </c>
      <c r="K40" s="14">
        <f t="shared" si="3"/>
        <v>47088.214200000002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6714</v>
      </c>
      <c r="G42" s="11">
        <v>18638</v>
      </c>
      <c r="H42" s="12">
        <v>220214</v>
      </c>
      <c r="I42" s="13">
        <f>H42*F$116</f>
        <v>121866.4276</v>
      </c>
      <c r="J42" s="12">
        <v>12000</v>
      </c>
      <c r="K42" s="14">
        <f t="shared" si="3"/>
        <v>330080.4276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/>
      <c r="G44" s="11"/>
      <c r="H44" s="12"/>
      <c r="I44" s="13">
        <v>0</v>
      </c>
      <c r="J44" s="12"/>
      <c r="K44" s="14">
        <f t="shared" si="3"/>
        <v>0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7590</v>
      </c>
      <c r="G48" s="25">
        <f t="shared" si="4"/>
        <v>24328</v>
      </c>
      <c r="H48" s="14">
        <f t="shared" si="4"/>
        <v>250527</v>
      </c>
      <c r="I48" s="14">
        <f t="shared" si="4"/>
        <v>138641.64179999998</v>
      </c>
      <c r="J48" s="14">
        <f t="shared" si="4"/>
        <v>12000</v>
      </c>
      <c r="K48" s="14">
        <f t="shared" si="4"/>
        <v>377168.64179999998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217</v>
      </c>
      <c r="C52" s="385"/>
      <c r="D52" s="359"/>
      <c r="F52" s="11">
        <v>17433</v>
      </c>
      <c r="G52" s="11">
        <v>10372</v>
      </c>
      <c r="H52" s="12">
        <v>1087408</v>
      </c>
      <c r="I52" s="13">
        <f>H52*F$116</f>
        <v>601771.58719999995</v>
      </c>
      <c r="J52" s="12">
        <v>794031</v>
      </c>
      <c r="K52" s="14">
        <f t="shared" ref="K52:K61" si="5">(H52+I52)-J52</f>
        <v>895148.58719999995</v>
      </c>
    </row>
    <row r="53" spans="1:11" ht="18" customHeight="1">
      <c r="A53" s="6" t="s">
        <v>63</v>
      </c>
      <c r="B53" s="27" t="s">
        <v>218</v>
      </c>
      <c r="C53" s="28"/>
      <c r="D53" s="29"/>
      <c r="F53" s="11">
        <v>54</v>
      </c>
      <c r="G53" s="11">
        <v>62</v>
      </c>
      <c r="H53" s="12">
        <v>1425</v>
      </c>
      <c r="I53" s="13">
        <f>H53*F$116</f>
        <v>788.59500000000003</v>
      </c>
      <c r="J53" s="12">
        <v>0</v>
      </c>
      <c r="K53" s="14">
        <f t="shared" si="5"/>
        <v>2213.5950000000003</v>
      </c>
    </row>
    <row r="54" spans="1:11" ht="18" customHeight="1">
      <c r="A54" s="6" t="s">
        <v>65</v>
      </c>
      <c r="B54" s="381" t="s">
        <v>219</v>
      </c>
      <c r="C54" s="358"/>
      <c r="D54" s="359"/>
      <c r="F54" s="11">
        <v>21500</v>
      </c>
      <c r="G54" s="11">
        <v>11084</v>
      </c>
      <c r="H54" s="12">
        <v>691360</v>
      </c>
      <c r="I54" s="13">
        <f>H54*F$116</f>
        <v>382598.62400000001</v>
      </c>
      <c r="J54" s="12">
        <v>856225</v>
      </c>
      <c r="K54" s="14">
        <f t="shared" si="5"/>
        <v>217733.62400000007</v>
      </c>
    </row>
    <row r="55" spans="1:11" ht="18" customHeight="1">
      <c r="A55" s="6" t="s">
        <v>67</v>
      </c>
      <c r="B55" s="381"/>
      <c r="C55" s="358"/>
      <c r="D55" s="359"/>
      <c r="F55" s="11"/>
      <c r="G55" s="11"/>
      <c r="H55" s="12"/>
      <c r="I55" s="13">
        <v>0</v>
      </c>
      <c r="J55" s="12"/>
      <c r="K55" s="14">
        <f t="shared" si="5"/>
        <v>0</v>
      </c>
    </row>
    <row r="56" spans="1:11" ht="18" customHeight="1">
      <c r="A56" s="6" t="s">
        <v>69</v>
      </c>
      <c r="B56" s="381"/>
      <c r="C56" s="358"/>
      <c r="D56" s="359"/>
      <c r="F56" s="11"/>
      <c r="G56" s="11"/>
      <c r="H56" s="12"/>
      <c r="I56" s="13">
        <v>0</v>
      </c>
      <c r="J56" s="12"/>
      <c r="K56" s="14">
        <f t="shared" si="5"/>
        <v>0</v>
      </c>
    </row>
    <row r="57" spans="1:11" ht="18" customHeight="1">
      <c r="A57" s="6" t="s">
        <v>71</v>
      </c>
      <c r="B57" s="27"/>
      <c r="C57" s="28"/>
      <c r="D57" s="29"/>
      <c r="F57" s="11"/>
      <c r="G57" s="11"/>
      <c r="H57" s="12"/>
      <c r="I57" s="13">
        <v>0</v>
      </c>
      <c r="J57" s="12"/>
      <c r="K57" s="14">
        <f t="shared" si="5"/>
        <v>0</v>
      </c>
    </row>
    <row r="58" spans="1:11" ht="18" customHeight="1">
      <c r="A58" s="6" t="s">
        <v>73</v>
      </c>
      <c r="B58" s="381"/>
      <c r="C58" s="358"/>
      <c r="D58" s="359"/>
      <c r="F58" s="11"/>
      <c r="G58" s="11"/>
      <c r="H58" s="12"/>
      <c r="I58" s="13">
        <v>0</v>
      </c>
      <c r="J58" s="12"/>
      <c r="K58" s="14">
        <f t="shared" si="5"/>
        <v>0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38987</v>
      </c>
      <c r="G63" s="19">
        <f t="shared" si="6"/>
        <v>21518</v>
      </c>
      <c r="H63" s="14">
        <f t="shared" si="6"/>
        <v>1780193</v>
      </c>
      <c r="I63" s="14">
        <f t="shared" si="6"/>
        <v>985158.80619999999</v>
      </c>
      <c r="J63" s="14">
        <f t="shared" si="6"/>
        <v>1650256</v>
      </c>
      <c r="K63" s="14">
        <f t="shared" si="6"/>
        <v>1115095.8062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>
        <v>0</v>
      </c>
      <c r="G77" s="11">
        <v>0</v>
      </c>
      <c r="H77" s="12">
        <v>58105</v>
      </c>
      <c r="I77" s="13">
        <v>0</v>
      </c>
      <c r="J77" s="12">
        <v>0</v>
      </c>
      <c r="K77" s="14">
        <f>(H77+I77)-J77</f>
        <v>58105</v>
      </c>
    </row>
    <row r="78" spans="1:11" ht="18" customHeight="1">
      <c r="A78" s="6" t="s">
        <v>93</v>
      </c>
      <c r="B78" s="63" t="s">
        <v>94</v>
      </c>
      <c r="F78" s="11">
        <v>0</v>
      </c>
      <c r="G78" s="11">
        <v>0</v>
      </c>
      <c r="H78" s="12">
        <v>257228</v>
      </c>
      <c r="I78" s="13">
        <v>0</v>
      </c>
      <c r="J78" s="12">
        <v>0</v>
      </c>
      <c r="K78" s="14">
        <f>(H78+I78)-J78</f>
        <v>257228</v>
      </c>
    </row>
    <row r="79" spans="1:11" ht="18" customHeight="1">
      <c r="A79" s="6" t="s">
        <v>95</v>
      </c>
      <c r="B79" s="63" t="s">
        <v>96</v>
      </c>
      <c r="F79" s="11">
        <v>2583</v>
      </c>
      <c r="G79" s="11">
        <v>9563</v>
      </c>
      <c r="H79" s="12">
        <v>107873</v>
      </c>
      <c r="I79" s="13">
        <f>H79*0.1</f>
        <v>10787.300000000001</v>
      </c>
      <c r="J79" s="12">
        <v>34982</v>
      </c>
      <c r="K79" s="14">
        <f>(H79+I79)-J79</f>
        <v>83678.3</v>
      </c>
    </row>
    <row r="80" spans="1:11" ht="18" customHeight="1">
      <c r="A80" s="6" t="s">
        <v>93</v>
      </c>
      <c r="B80" s="63" t="s">
        <v>97</v>
      </c>
      <c r="F80" s="11"/>
      <c r="G80" s="11"/>
      <c r="H80" s="12"/>
      <c r="I80" s="13">
        <v>0</v>
      </c>
      <c r="J80" s="12"/>
      <c r="K80" s="14">
        <f>(H80+I80)-J80</f>
        <v>0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2583</v>
      </c>
      <c r="G82" s="44">
        <f t="shared" si="9"/>
        <v>9563</v>
      </c>
      <c r="H82" s="45">
        <f t="shared" si="9"/>
        <v>423206</v>
      </c>
      <c r="I82" s="45">
        <f t="shared" si="9"/>
        <v>10787.300000000001</v>
      </c>
      <c r="J82" s="45">
        <f t="shared" si="9"/>
        <v>34982</v>
      </c>
      <c r="K82" s="45">
        <f t="shared" si="9"/>
        <v>399011.3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>
        <v>0</v>
      </c>
      <c r="G87" s="11">
        <v>0</v>
      </c>
      <c r="H87" s="12">
        <v>1000</v>
      </c>
      <c r="I87" s="13">
        <f t="shared" si="10"/>
        <v>553.4</v>
      </c>
      <c r="J87" s="12">
        <v>0</v>
      </c>
      <c r="K87" s="14">
        <f t="shared" si="11"/>
        <v>1553.4</v>
      </c>
    </row>
    <row r="88" spans="1:11" ht="18" customHeight="1">
      <c r="A88" s="6" t="s">
        <v>104</v>
      </c>
      <c r="B88" s="63" t="s">
        <v>105</v>
      </c>
      <c r="F88" s="11"/>
      <c r="G88" s="11"/>
      <c r="H88" s="12"/>
      <c r="I88" s="13">
        <f t="shared" si="10"/>
        <v>0</v>
      </c>
      <c r="J88" s="12"/>
      <c r="K88" s="14">
        <f t="shared" si="11"/>
        <v>0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/>
      <c r="G91" s="11"/>
      <c r="H91" s="12"/>
      <c r="I91" s="13">
        <f t="shared" si="10"/>
        <v>0</v>
      </c>
      <c r="J91" s="12"/>
      <c r="K91" s="14">
        <f t="shared" si="11"/>
        <v>0</v>
      </c>
    </row>
    <row r="92" spans="1:11" ht="18" customHeight="1">
      <c r="A92" s="6" t="s">
        <v>112</v>
      </c>
      <c r="B92" s="63" t="s">
        <v>113</v>
      </c>
      <c r="F92" s="46">
        <v>765</v>
      </c>
      <c r="G92" s="46">
        <v>0</v>
      </c>
      <c r="H92" s="47">
        <v>25471</v>
      </c>
      <c r="I92" s="13">
        <f t="shared" si="10"/>
        <v>14095.651400000001</v>
      </c>
      <c r="J92" s="47">
        <v>0</v>
      </c>
      <c r="K92" s="14">
        <f t="shared" si="11"/>
        <v>39566.651400000002</v>
      </c>
    </row>
    <row r="93" spans="1:11" ht="18" customHeight="1">
      <c r="A93" s="6" t="s">
        <v>114</v>
      </c>
      <c r="B93" s="63" t="s">
        <v>115</v>
      </c>
      <c r="F93" s="11">
        <v>1048</v>
      </c>
      <c r="G93" s="11">
        <v>0</v>
      </c>
      <c r="H93" s="12">
        <v>99647</v>
      </c>
      <c r="I93" s="13">
        <f t="shared" si="10"/>
        <v>55144.649799999999</v>
      </c>
      <c r="J93" s="12">
        <v>0</v>
      </c>
      <c r="K93" s="14">
        <f t="shared" si="11"/>
        <v>154791.64980000001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1813</v>
      </c>
      <c r="G99" s="19">
        <f t="shared" si="12"/>
        <v>0</v>
      </c>
      <c r="H99" s="19">
        <f t="shared" si="12"/>
        <v>126118</v>
      </c>
      <c r="I99" s="19">
        <f t="shared" si="12"/>
        <v>69793.701199999996</v>
      </c>
      <c r="J99" s="19">
        <f t="shared" si="12"/>
        <v>0</v>
      </c>
      <c r="K99" s="19">
        <f t="shared" si="12"/>
        <v>195911.70120000001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/>
      <c r="G103" s="11"/>
      <c r="H103" s="12"/>
      <c r="I103" s="13">
        <f t="shared" ref="I103:I108" si="13">H103*F$116</f>
        <v>0</v>
      </c>
      <c r="J103" s="12"/>
      <c r="K103" s="14">
        <f t="shared" ref="K103:K108" si="14">(H103+I103)-J103</f>
        <v>0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/>
      <c r="I104" s="13">
        <f t="shared" si="13"/>
        <v>0</v>
      </c>
      <c r="J104" s="12"/>
      <c r="K104" s="14">
        <f t="shared" si="14"/>
        <v>0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 t="shared" si="13"/>
        <v>0</v>
      </c>
      <c r="J105" s="12"/>
      <c r="K105" s="14">
        <f t="shared" si="14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 t="shared" si="13"/>
        <v>0</v>
      </c>
      <c r="J106" s="12"/>
      <c r="K106" s="14">
        <f t="shared" si="14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 t="shared" si="13"/>
        <v>0</v>
      </c>
      <c r="J107" s="12"/>
      <c r="K107" s="14">
        <f t="shared" si="14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 t="shared" si="13"/>
        <v>0</v>
      </c>
      <c r="J108" s="12"/>
      <c r="K108" s="14">
        <f t="shared" si="14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5">SUM(F103:F108)</f>
        <v>0</v>
      </c>
      <c r="G110" s="19">
        <f t="shared" si="15"/>
        <v>0</v>
      </c>
      <c r="H110" s="14">
        <f t="shared" si="15"/>
        <v>0</v>
      </c>
      <c r="I110" s="14">
        <f t="shared" si="15"/>
        <v>0</v>
      </c>
      <c r="J110" s="14">
        <f t="shared" si="15"/>
        <v>0</v>
      </c>
      <c r="K110" s="14">
        <f t="shared" si="15"/>
        <v>0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4719883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0.5534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155247279</v>
      </c>
    </row>
    <row r="120" spans="1:6" ht="18" customHeight="1">
      <c r="B120" s="2" t="s">
        <v>137</v>
      </c>
      <c r="F120" s="12">
        <v>1308868</v>
      </c>
    </row>
    <row r="121" spans="1:6" ht="18" customHeight="1">
      <c r="A121" s="6"/>
      <c r="B121" s="5" t="s">
        <v>138</v>
      </c>
      <c r="F121" s="12">
        <v>156556147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154440387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2115760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1580146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3695906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6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6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6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6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6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6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7">SUM(F133:F138)</f>
        <v>0</v>
      </c>
      <c r="G140" s="19">
        <f t="shared" si="17"/>
        <v>0</v>
      </c>
      <c r="H140" s="14">
        <f t="shared" si="17"/>
        <v>0</v>
      </c>
      <c r="I140" s="14">
        <f t="shared" si="17"/>
        <v>0</v>
      </c>
      <c r="J140" s="14">
        <f t="shared" si="17"/>
        <v>0</v>
      </c>
      <c r="K140" s="14">
        <f t="shared" si="17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8">F34</f>
        <v>3208.5</v>
      </c>
      <c r="G144" s="54">
        <f t="shared" si="18"/>
        <v>5971</v>
      </c>
      <c r="H144" s="54">
        <f t="shared" si="18"/>
        <v>137473</v>
      </c>
      <c r="I144" s="54">
        <f t="shared" si="18"/>
        <v>76077.558199999999</v>
      </c>
      <c r="J144" s="54">
        <f t="shared" si="18"/>
        <v>16574</v>
      </c>
      <c r="K144" s="54">
        <f t="shared" si="18"/>
        <v>196976.5582</v>
      </c>
    </row>
    <row r="145" spans="1:11" ht="18" customHeight="1">
      <c r="A145" s="6" t="s">
        <v>162</v>
      </c>
      <c r="B145" s="5" t="s">
        <v>163</v>
      </c>
      <c r="F145" s="54">
        <f t="shared" ref="F145:K145" si="19">F48</f>
        <v>7590</v>
      </c>
      <c r="G145" s="54">
        <f t="shared" si="19"/>
        <v>24328</v>
      </c>
      <c r="H145" s="54">
        <f t="shared" si="19"/>
        <v>250527</v>
      </c>
      <c r="I145" s="54">
        <f t="shared" si="19"/>
        <v>138641.64179999998</v>
      </c>
      <c r="J145" s="54">
        <f t="shared" si="19"/>
        <v>12000</v>
      </c>
      <c r="K145" s="54">
        <f t="shared" si="19"/>
        <v>377168.64179999998</v>
      </c>
    </row>
    <row r="146" spans="1:11" ht="18" customHeight="1">
      <c r="A146" s="6" t="s">
        <v>164</v>
      </c>
      <c r="B146" s="5" t="s">
        <v>165</v>
      </c>
      <c r="F146" s="54">
        <f t="shared" ref="F146:K146" si="20">F63</f>
        <v>38987</v>
      </c>
      <c r="G146" s="54">
        <f t="shared" si="20"/>
        <v>21518</v>
      </c>
      <c r="H146" s="54">
        <f t="shared" si="20"/>
        <v>1780193</v>
      </c>
      <c r="I146" s="54">
        <f t="shared" si="20"/>
        <v>985158.80619999999</v>
      </c>
      <c r="J146" s="54">
        <f t="shared" si="20"/>
        <v>1650256</v>
      </c>
      <c r="K146" s="54">
        <f t="shared" si="20"/>
        <v>1115095.8062</v>
      </c>
    </row>
    <row r="147" spans="1:11" ht="18" customHeight="1">
      <c r="A147" s="6" t="s">
        <v>166</v>
      </c>
      <c r="B147" s="5" t="s">
        <v>167</v>
      </c>
      <c r="F147" s="54">
        <f t="shared" ref="F147:K147" si="21">F74</f>
        <v>0</v>
      </c>
      <c r="G147" s="54">
        <f t="shared" si="21"/>
        <v>0</v>
      </c>
      <c r="H147" s="54">
        <f t="shared" si="21"/>
        <v>0</v>
      </c>
      <c r="I147" s="54">
        <f t="shared" si="21"/>
        <v>0</v>
      </c>
      <c r="J147" s="54">
        <f t="shared" si="21"/>
        <v>0</v>
      </c>
      <c r="K147" s="54">
        <f t="shared" si="21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2">F82</f>
        <v>2583</v>
      </c>
      <c r="G148" s="54">
        <f t="shared" si="22"/>
        <v>9563</v>
      </c>
      <c r="H148" s="54">
        <f t="shared" si="22"/>
        <v>423206</v>
      </c>
      <c r="I148" s="54">
        <f t="shared" si="22"/>
        <v>10787.300000000001</v>
      </c>
      <c r="J148" s="54">
        <f t="shared" si="22"/>
        <v>34982</v>
      </c>
      <c r="K148" s="54">
        <f t="shared" si="22"/>
        <v>399011.3</v>
      </c>
    </row>
    <row r="149" spans="1:11" ht="18" customHeight="1">
      <c r="A149" s="6" t="s">
        <v>170</v>
      </c>
      <c r="B149" s="5" t="s">
        <v>171</v>
      </c>
      <c r="F149" s="54">
        <f t="shared" ref="F149:K149" si="23">F99</f>
        <v>1813</v>
      </c>
      <c r="G149" s="54">
        <f t="shared" si="23"/>
        <v>0</v>
      </c>
      <c r="H149" s="54">
        <f t="shared" si="23"/>
        <v>126118</v>
      </c>
      <c r="I149" s="54">
        <f t="shared" si="23"/>
        <v>69793.701199999996</v>
      </c>
      <c r="J149" s="54">
        <f t="shared" si="23"/>
        <v>0</v>
      </c>
      <c r="K149" s="54">
        <f t="shared" si="23"/>
        <v>195911.70120000001</v>
      </c>
    </row>
    <row r="150" spans="1:11" ht="18" customHeight="1">
      <c r="A150" s="6" t="s">
        <v>172</v>
      </c>
      <c r="B150" s="5" t="s">
        <v>173</v>
      </c>
      <c r="F150" s="19">
        <f t="shared" ref="F150:K150" si="24">F110</f>
        <v>0</v>
      </c>
      <c r="G150" s="19">
        <f t="shared" si="24"/>
        <v>0</v>
      </c>
      <c r="H150" s="19">
        <f t="shared" si="24"/>
        <v>0</v>
      </c>
      <c r="I150" s="19">
        <f t="shared" si="24"/>
        <v>0</v>
      </c>
      <c r="J150" s="19">
        <f t="shared" si="24"/>
        <v>0</v>
      </c>
      <c r="K150" s="19">
        <f t="shared" si="24"/>
        <v>0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4719883</v>
      </c>
    </row>
    <row r="152" spans="1:11" ht="18" customHeight="1">
      <c r="A152" s="6" t="s">
        <v>147</v>
      </c>
      <c r="B152" s="5" t="s">
        <v>177</v>
      </c>
      <c r="F152" s="19">
        <f t="shared" ref="F152:K152" si="25">F140</f>
        <v>0</v>
      </c>
      <c r="G152" s="19">
        <f t="shared" si="25"/>
        <v>0</v>
      </c>
      <c r="H152" s="19">
        <f t="shared" si="25"/>
        <v>0</v>
      </c>
      <c r="I152" s="19">
        <f t="shared" si="25"/>
        <v>0</v>
      </c>
      <c r="J152" s="19">
        <f t="shared" si="25"/>
        <v>0</v>
      </c>
      <c r="K152" s="19">
        <f t="shared" si="25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6">SUM(F144:F152)</f>
        <v>54181.5</v>
      </c>
      <c r="G154" s="60">
        <f t="shared" si="26"/>
        <v>61380</v>
      </c>
      <c r="H154" s="60">
        <f t="shared" si="26"/>
        <v>2717517</v>
      </c>
      <c r="I154" s="60">
        <f t="shared" si="26"/>
        <v>1280459.0074</v>
      </c>
      <c r="J154" s="60">
        <f t="shared" si="26"/>
        <v>1713812</v>
      </c>
      <c r="K154" s="61">
        <f t="shared" si="26"/>
        <v>7004047.0074000005</v>
      </c>
    </row>
    <row r="156" spans="1:11" ht="18" customHeight="1">
      <c r="B156" s="5" t="s">
        <v>178</v>
      </c>
      <c r="F156" s="62">
        <f>K154/F123</f>
        <v>4.5351136082040513E-2</v>
      </c>
    </row>
    <row r="157" spans="1:11" ht="18" customHeight="1">
      <c r="B157" s="5" t="s">
        <v>179</v>
      </c>
      <c r="F157" s="62">
        <f>K154/F129</f>
        <v>1.8950825609201101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58"/>
  <sheetViews>
    <sheetView showGridLines="0" view="pageBreakPreview" zoomScale="60" zoomScaleNormal="50" workbookViewId="0">
      <selection activeCell="K144" sqref="K144"/>
    </sheetView>
  </sheetViews>
  <sheetFormatPr defaultRowHeight="18" customHeight="1"/>
  <cols>
    <col min="1" max="1" width="4.5703125" style="1" customWidth="1"/>
    <col min="2" max="2" width="55.42578125" style="2" bestFit="1" customWidth="1"/>
    <col min="3" max="3" width="9.5703125" style="2" customWidth="1"/>
    <col min="4" max="4" width="9.140625" style="2"/>
    <col min="5" max="5" width="12.42578125" style="2" customWidth="1"/>
    <col min="6" max="6" width="18.5703125" style="2" customWidth="1"/>
    <col min="7" max="7" width="23.5703125" style="2" customWidth="1"/>
    <col min="8" max="8" width="17.140625" style="2" customWidth="1"/>
    <col min="9" max="9" width="21.140625" style="2" customWidth="1"/>
    <col min="10" max="10" width="19.85546875" style="2" customWidth="1"/>
    <col min="11" max="11" width="17.5703125" style="2" customWidth="1"/>
    <col min="12" max="16384" width="9.140625" style="2"/>
  </cols>
  <sheetData>
    <row r="1" spans="1:11" ht="18" customHeight="1">
      <c r="C1" s="3"/>
      <c r="D1" s="4"/>
      <c r="E1" s="3"/>
      <c r="F1" s="3"/>
      <c r="G1" s="3"/>
      <c r="H1" s="3"/>
      <c r="I1" s="3"/>
      <c r="J1" s="3"/>
      <c r="K1" s="3"/>
    </row>
    <row r="2" spans="1:11" ht="18" customHeight="1">
      <c r="D2" s="360" t="s">
        <v>0</v>
      </c>
      <c r="E2" s="361"/>
      <c r="F2" s="361"/>
      <c r="G2" s="361"/>
      <c r="H2" s="361"/>
    </row>
    <row r="3" spans="1:11" ht="18" customHeight="1">
      <c r="B3" s="5" t="s">
        <v>1</v>
      </c>
    </row>
    <row r="5" spans="1:11" ht="18" customHeight="1">
      <c r="B5" s="6" t="s">
        <v>2</v>
      </c>
      <c r="C5" s="387" t="s">
        <v>220</v>
      </c>
      <c r="D5" s="363"/>
      <c r="E5" s="363"/>
      <c r="F5" s="363"/>
      <c r="G5" s="364"/>
    </row>
    <row r="6" spans="1:11" ht="18" customHeight="1">
      <c r="B6" s="6" t="s">
        <v>4</v>
      </c>
      <c r="C6" s="365">
        <v>39</v>
      </c>
      <c r="D6" s="366"/>
      <c r="E6" s="366"/>
      <c r="F6" s="366"/>
      <c r="G6" s="367"/>
    </row>
    <row r="7" spans="1:11" ht="18" customHeight="1">
      <c r="B7" s="6" t="s">
        <v>5</v>
      </c>
      <c r="C7" s="368">
        <v>1074</v>
      </c>
      <c r="D7" s="369"/>
      <c r="E7" s="369"/>
      <c r="F7" s="369"/>
      <c r="G7" s="370"/>
    </row>
    <row r="9" spans="1:11" ht="18" customHeight="1">
      <c r="B9" s="6" t="s">
        <v>6</v>
      </c>
      <c r="C9" s="387" t="s">
        <v>221</v>
      </c>
      <c r="D9" s="363"/>
      <c r="E9" s="363"/>
      <c r="F9" s="363"/>
      <c r="G9" s="364"/>
    </row>
    <row r="10" spans="1:11" ht="18" customHeight="1">
      <c r="B10" s="6" t="s">
        <v>8</v>
      </c>
      <c r="C10" s="388" t="s">
        <v>222</v>
      </c>
      <c r="D10" s="372"/>
      <c r="E10" s="372"/>
      <c r="F10" s="372"/>
      <c r="G10" s="373"/>
    </row>
    <row r="11" spans="1:11" ht="18" customHeight="1">
      <c r="B11" s="6" t="s">
        <v>10</v>
      </c>
      <c r="C11" s="387" t="s">
        <v>223</v>
      </c>
      <c r="D11" s="374"/>
      <c r="E11" s="374"/>
      <c r="F11" s="374"/>
      <c r="G11" s="374"/>
    </row>
    <row r="12" spans="1:11" ht="18" customHeight="1">
      <c r="B12" s="6"/>
      <c r="C12" s="6"/>
      <c r="D12" s="6"/>
      <c r="E12" s="6"/>
      <c r="F12" s="6"/>
      <c r="G12" s="6"/>
    </row>
    <row r="13" spans="1:11" ht="24.6" customHeight="1">
      <c r="B13" s="375"/>
      <c r="C13" s="376"/>
      <c r="D13" s="376"/>
      <c r="E13" s="376"/>
      <c r="F13" s="376"/>
      <c r="G13" s="376"/>
      <c r="H13" s="377"/>
      <c r="I13" s="3"/>
    </row>
    <row r="14" spans="1:11" ht="18" customHeight="1">
      <c r="B14" s="7"/>
    </row>
    <row r="15" spans="1:11" ht="18" customHeight="1">
      <c r="B15" s="7"/>
    </row>
    <row r="16" spans="1:11" ht="45" customHeight="1">
      <c r="A16" s="4" t="s">
        <v>12</v>
      </c>
      <c r="B16" s="3"/>
      <c r="C16" s="3"/>
      <c r="D16" s="3"/>
      <c r="E16" s="3"/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</row>
    <row r="17" spans="1:11" ht="18" customHeight="1">
      <c r="A17" s="9" t="s">
        <v>19</v>
      </c>
      <c r="B17" s="5" t="s">
        <v>20</v>
      </c>
    </row>
    <row r="18" spans="1:11" ht="18" customHeight="1">
      <c r="A18" s="6" t="s">
        <v>21</v>
      </c>
      <c r="B18" s="63" t="s">
        <v>22</v>
      </c>
      <c r="F18" s="11">
        <v>1921</v>
      </c>
      <c r="G18" s="11">
        <v>9519</v>
      </c>
      <c r="H18" s="12">
        <v>124651</v>
      </c>
      <c r="I18" s="13">
        <v>90714.880000000005</v>
      </c>
      <c r="J18" s="12">
        <v>12017</v>
      </c>
      <c r="K18" s="14">
        <f t="shared" ref="K18:K32" si="0">(H18+I18)-J18</f>
        <v>203348.88</v>
      </c>
    </row>
    <row r="19" spans="1:11" ht="18" customHeight="1">
      <c r="A19" s="6"/>
      <c r="B19" s="2" t="s">
        <v>23</v>
      </c>
      <c r="F19" s="11">
        <v>920</v>
      </c>
      <c r="G19" s="11">
        <v>4771</v>
      </c>
      <c r="H19" s="12">
        <v>38584</v>
      </c>
      <c r="I19" s="13">
        <v>28079.54</v>
      </c>
      <c r="J19" s="12">
        <v>4000</v>
      </c>
      <c r="K19" s="14">
        <f t="shared" si="0"/>
        <v>62663.540000000008</v>
      </c>
    </row>
    <row r="20" spans="1:11" ht="18" customHeight="1">
      <c r="A20" s="6"/>
      <c r="B20" s="2" t="s">
        <v>24</v>
      </c>
      <c r="F20" s="11">
        <v>480</v>
      </c>
      <c r="G20" s="11">
        <v>960</v>
      </c>
      <c r="H20" s="12">
        <v>43156</v>
      </c>
      <c r="I20" s="13">
        <v>31406.82</v>
      </c>
      <c r="J20" s="12">
        <v>0</v>
      </c>
      <c r="K20" s="14">
        <f t="shared" si="0"/>
        <v>74562.820000000007</v>
      </c>
    </row>
    <row r="21" spans="1:11" ht="18" customHeight="1">
      <c r="A21" s="6" t="s">
        <v>25</v>
      </c>
      <c r="B21" s="2" t="s">
        <v>26</v>
      </c>
      <c r="F21" s="11"/>
      <c r="G21" s="11"/>
      <c r="H21" s="12"/>
      <c r="I21" s="13">
        <f t="shared" ref="I21:I32" si="1">H21*F$116</f>
        <v>0</v>
      </c>
      <c r="J21" s="12"/>
      <c r="K21" s="14">
        <f t="shared" si="0"/>
        <v>0</v>
      </c>
    </row>
    <row r="22" spans="1:11" ht="18" customHeight="1">
      <c r="A22" s="6"/>
      <c r="B22" s="2" t="s">
        <v>27</v>
      </c>
      <c r="F22" s="11">
        <v>662</v>
      </c>
      <c r="G22" s="11">
        <v>1624</v>
      </c>
      <c r="H22" s="12">
        <v>21233</v>
      </c>
      <c r="I22" s="13">
        <v>15452.34</v>
      </c>
      <c r="J22" s="12">
        <v>6000</v>
      </c>
      <c r="K22" s="14">
        <f t="shared" si="0"/>
        <v>30685.339999999997</v>
      </c>
    </row>
    <row r="23" spans="1:11" ht="18" customHeight="1">
      <c r="A23" s="6"/>
      <c r="B23" s="2" t="s">
        <v>28</v>
      </c>
      <c r="F23" s="11"/>
      <c r="G23" s="11"/>
      <c r="H23" s="12">
        <v>426</v>
      </c>
      <c r="I23" s="13">
        <v>310.02</v>
      </c>
      <c r="J23" s="12"/>
      <c r="K23" s="14">
        <f t="shared" si="0"/>
        <v>736.02</v>
      </c>
    </row>
    <row r="24" spans="1:11" ht="18" customHeight="1">
      <c r="A24" s="6"/>
      <c r="B24" s="2" t="s">
        <v>29</v>
      </c>
      <c r="F24" s="11"/>
      <c r="G24" s="11"/>
      <c r="H24" s="12"/>
      <c r="I24" s="13">
        <f t="shared" si="1"/>
        <v>0</v>
      </c>
      <c r="J24" s="12"/>
      <c r="K24" s="14">
        <f t="shared" si="0"/>
        <v>0</v>
      </c>
    </row>
    <row r="25" spans="1:11" ht="18" customHeight="1">
      <c r="A25" s="6"/>
      <c r="B25" s="2" t="s">
        <v>30</v>
      </c>
      <c r="F25" s="11"/>
      <c r="G25" s="11"/>
      <c r="H25" s="12"/>
      <c r="I25" s="13">
        <f t="shared" si="1"/>
        <v>0</v>
      </c>
      <c r="J25" s="12"/>
      <c r="K25" s="14">
        <f t="shared" si="0"/>
        <v>0</v>
      </c>
    </row>
    <row r="26" spans="1:11" ht="18" customHeight="1">
      <c r="A26" s="6" t="s">
        <v>31</v>
      </c>
      <c r="B26" s="2" t="s">
        <v>32</v>
      </c>
      <c r="F26" s="11">
        <v>377</v>
      </c>
      <c r="G26" s="11">
        <v>5859</v>
      </c>
      <c r="H26" s="12">
        <v>304861</v>
      </c>
      <c r="I26" s="13">
        <v>221862.87</v>
      </c>
      <c r="J26" s="12">
        <v>7500</v>
      </c>
      <c r="K26" s="14">
        <f t="shared" si="0"/>
        <v>519223.87</v>
      </c>
    </row>
    <row r="27" spans="1:11" ht="18" customHeight="1">
      <c r="A27" s="6" t="s">
        <v>33</v>
      </c>
      <c r="B27" s="63" t="s">
        <v>34</v>
      </c>
      <c r="F27" s="11"/>
      <c r="G27" s="11"/>
      <c r="H27" s="12"/>
      <c r="I27" s="13">
        <f t="shared" si="1"/>
        <v>0</v>
      </c>
      <c r="J27" s="12"/>
      <c r="K27" s="14">
        <f t="shared" si="0"/>
        <v>0</v>
      </c>
    </row>
    <row r="28" spans="1:11" ht="18" customHeight="1">
      <c r="A28" s="6" t="s">
        <v>35</v>
      </c>
      <c r="B28" s="378"/>
      <c r="C28" s="379"/>
      <c r="D28" s="380"/>
      <c r="F28" s="11"/>
      <c r="G28" s="11"/>
      <c r="H28" s="12"/>
      <c r="I28" s="13">
        <f t="shared" si="1"/>
        <v>0</v>
      </c>
      <c r="J28" s="12"/>
      <c r="K28" s="14">
        <f t="shared" si="0"/>
        <v>0</v>
      </c>
    </row>
    <row r="29" spans="1:11" ht="18" customHeight="1">
      <c r="A29" s="6" t="s">
        <v>37</v>
      </c>
      <c r="B29" s="378"/>
      <c r="C29" s="379"/>
      <c r="D29" s="380"/>
      <c r="F29" s="11"/>
      <c r="G29" s="11"/>
      <c r="H29" s="12"/>
      <c r="I29" s="13">
        <f t="shared" si="1"/>
        <v>0</v>
      </c>
      <c r="J29" s="12"/>
      <c r="K29" s="14">
        <f t="shared" si="0"/>
        <v>0</v>
      </c>
    </row>
    <row r="30" spans="1:11" ht="18" customHeight="1">
      <c r="A30" s="6" t="s">
        <v>38</v>
      </c>
      <c r="B30" s="15"/>
      <c r="C30" s="16"/>
      <c r="D30" s="17"/>
      <c r="F30" s="11"/>
      <c r="G30" s="11"/>
      <c r="H30" s="12"/>
      <c r="I30" s="13">
        <f t="shared" si="1"/>
        <v>0</v>
      </c>
      <c r="J30" s="12"/>
      <c r="K30" s="14">
        <f t="shared" si="0"/>
        <v>0</v>
      </c>
    </row>
    <row r="31" spans="1:11" ht="18" customHeight="1">
      <c r="A31" s="6" t="s">
        <v>39</v>
      </c>
      <c r="B31" s="15"/>
      <c r="C31" s="16"/>
      <c r="D31" s="17"/>
      <c r="F31" s="11"/>
      <c r="G31" s="11"/>
      <c r="H31" s="12"/>
      <c r="I31" s="13">
        <f t="shared" si="1"/>
        <v>0</v>
      </c>
      <c r="J31" s="12"/>
      <c r="K31" s="14">
        <f t="shared" si="0"/>
        <v>0</v>
      </c>
    </row>
    <row r="32" spans="1:11" ht="18" customHeight="1">
      <c r="A32" s="6" t="s">
        <v>40</v>
      </c>
      <c r="B32" s="378"/>
      <c r="C32" s="379"/>
      <c r="D32" s="380"/>
      <c r="F32" s="11"/>
      <c r="G32" s="11"/>
      <c r="H32" s="12"/>
      <c r="I32" s="13">
        <f t="shared" si="1"/>
        <v>0</v>
      </c>
      <c r="J32" s="12"/>
      <c r="K32" s="14">
        <f t="shared" si="0"/>
        <v>0</v>
      </c>
    </row>
    <row r="33" spans="1:11" ht="18" customHeight="1">
      <c r="K33" s="18"/>
    </row>
    <row r="34" spans="1:11" ht="18" customHeight="1">
      <c r="E34" s="5" t="s">
        <v>41</v>
      </c>
      <c r="F34" s="19">
        <f t="shared" ref="F34:K34" si="2">SUM(F18:F32)</f>
        <v>4360</v>
      </c>
      <c r="G34" s="19">
        <f t="shared" si="2"/>
        <v>22733</v>
      </c>
      <c r="H34" s="14">
        <f t="shared" si="2"/>
        <v>532911</v>
      </c>
      <c r="I34" s="14">
        <f t="shared" si="2"/>
        <v>387826.47</v>
      </c>
      <c r="J34" s="14">
        <f t="shared" si="2"/>
        <v>29517</v>
      </c>
      <c r="K34" s="14">
        <f t="shared" si="2"/>
        <v>891220.47000000009</v>
      </c>
    </row>
    <row r="35" spans="1:11" ht="18" customHeight="1" thickBot="1">
      <c r="B35" s="5"/>
      <c r="F35" s="20"/>
      <c r="G35" s="20"/>
      <c r="H35" s="21"/>
      <c r="I35" s="21"/>
      <c r="J35" s="21"/>
      <c r="K35" s="22"/>
    </row>
    <row r="36" spans="1:11" ht="42.75" customHeight="1">
      <c r="F36" s="8" t="s">
        <v>13</v>
      </c>
      <c r="G36" s="8" t="s">
        <v>14</v>
      </c>
      <c r="H36" s="8" t="s">
        <v>15</v>
      </c>
      <c r="I36" s="8" t="s">
        <v>16</v>
      </c>
      <c r="J36" s="8" t="s">
        <v>17</v>
      </c>
      <c r="K36" s="8" t="s">
        <v>18</v>
      </c>
    </row>
    <row r="37" spans="1:11" ht="18.75" customHeight="1">
      <c r="A37" s="9" t="s">
        <v>42</v>
      </c>
      <c r="B37" s="5" t="s">
        <v>43</v>
      </c>
    </row>
    <row r="38" spans="1:11" ht="18" customHeight="1">
      <c r="A38" s="6" t="s">
        <v>44</v>
      </c>
      <c r="B38" s="2" t="s">
        <v>45</v>
      </c>
      <c r="F38" s="11">
        <v>1248</v>
      </c>
      <c r="G38" s="11">
        <v>1144</v>
      </c>
      <c r="H38" s="12">
        <v>76348</v>
      </c>
      <c r="I38" s="13">
        <v>33555</v>
      </c>
      <c r="J38" s="12"/>
      <c r="K38" s="14">
        <f t="shared" ref="K38:K46" si="3">(H38+I38)-J38</f>
        <v>109903</v>
      </c>
    </row>
    <row r="39" spans="1:11" ht="18" customHeight="1">
      <c r="A39" s="6" t="s">
        <v>46</v>
      </c>
      <c r="B39" s="386" t="s">
        <v>47</v>
      </c>
      <c r="C39" s="356"/>
      <c r="F39" s="11">
        <v>10</v>
      </c>
      <c r="G39" s="11">
        <v>18</v>
      </c>
      <c r="H39" s="12">
        <v>17236</v>
      </c>
      <c r="I39" s="13">
        <v>4485</v>
      </c>
      <c r="J39" s="12"/>
      <c r="K39" s="14">
        <f t="shared" si="3"/>
        <v>21721</v>
      </c>
    </row>
    <row r="40" spans="1:11" ht="18" customHeight="1">
      <c r="A40" s="6" t="s">
        <v>48</v>
      </c>
      <c r="B40" s="63" t="s">
        <v>49</v>
      </c>
      <c r="F40" s="11">
        <v>28</v>
      </c>
      <c r="G40" s="11">
        <v>28</v>
      </c>
      <c r="H40" s="12">
        <v>982</v>
      </c>
      <c r="I40" s="13">
        <v>586</v>
      </c>
      <c r="J40" s="12"/>
      <c r="K40" s="14">
        <f t="shared" si="3"/>
        <v>1568</v>
      </c>
    </row>
    <row r="41" spans="1:11" ht="18" customHeight="1">
      <c r="A41" s="6" t="s">
        <v>50</v>
      </c>
      <c r="B41" s="64" t="s">
        <v>51</v>
      </c>
      <c r="C41" s="24"/>
      <c r="D41" s="24"/>
      <c r="F41" s="11"/>
      <c r="G41" s="11"/>
      <c r="H41" s="12"/>
      <c r="I41" s="13">
        <v>0</v>
      </c>
      <c r="J41" s="12"/>
      <c r="K41" s="14">
        <f t="shared" si="3"/>
        <v>0</v>
      </c>
    </row>
    <row r="42" spans="1:11" ht="18" customHeight="1">
      <c r="A42" s="6" t="s">
        <v>52</v>
      </c>
      <c r="B42" s="63" t="s">
        <v>53</v>
      </c>
      <c r="F42" s="11">
        <v>15566</v>
      </c>
      <c r="G42" s="11">
        <v>402</v>
      </c>
      <c r="H42" s="12">
        <v>575975</v>
      </c>
      <c r="I42" s="13">
        <v>212473</v>
      </c>
      <c r="J42" s="12"/>
      <c r="K42" s="14">
        <f t="shared" si="3"/>
        <v>788448</v>
      </c>
    </row>
    <row r="43" spans="1:11" ht="18" customHeight="1">
      <c r="A43" s="6" t="s">
        <v>54</v>
      </c>
      <c r="B43" s="63" t="s">
        <v>34</v>
      </c>
      <c r="F43" s="11"/>
      <c r="G43" s="11"/>
      <c r="H43" s="12"/>
      <c r="I43" s="13">
        <v>0</v>
      </c>
      <c r="J43" s="12"/>
      <c r="K43" s="14">
        <f t="shared" si="3"/>
        <v>0</v>
      </c>
    </row>
    <row r="44" spans="1:11" ht="18" customHeight="1">
      <c r="A44" s="6" t="s">
        <v>55</v>
      </c>
      <c r="B44" s="378"/>
      <c r="C44" s="379"/>
      <c r="D44" s="380"/>
      <c r="F44" s="11">
        <v>780</v>
      </c>
      <c r="G44" s="11">
        <v>130</v>
      </c>
      <c r="H44" s="12">
        <v>32724</v>
      </c>
      <c r="I44" s="13">
        <v>9435</v>
      </c>
      <c r="J44" s="12"/>
      <c r="K44" s="14">
        <f t="shared" si="3"/>
        <v>42159</v>
      </c>
    </row>
    <row r="45" spans="1:11" ht="18" customHeight="1">
      <c r="A45" s="6" t="s">
        <v>57</v>
      </c>
      <c r="B45" s="378"/>
      <c r="C45" s="379"/>
      <c r="D45" s="380"/>
      <c r="F45" s="11"/>
      <c r="G45" s="11"/>
      <c r="H45" s="12"/>
      <c r="I45" s="13">
        <v>0</v>
      </c>
      <c r="J45" s="12"/>
      <c r="K45" s="14">
        <f t="shared" si="3"/>
        <v>0</v>
      </c>
    </row>
    <row r="46" spans="1:11" ht="18" customHeight="1">
      <c r="A46" s="6" t="s">
        <v>58</v>
      </c>
      <c r="B46" s="378"/>
      <c r="C46" s="379"/>
      <c r="D46" s="380"/>
      <c r="F46" s="11"/>
      <c r="G46" s="11"/>
      <c r="H46" s="12"/>
      <c r="I46" s="13">
        <v>0</v>
      </c>
      <c r="J46" s="12"/>
      <c r="K46" s="14">
        <f t="shared" si="3"/>
        <v>0</v>
      </c>
    </row>
    <row r="48" spans="1:11" ht="18" customHeight="1">
      <c r="E48" s="5" t="s">
        <v>41</v>
      </c>
      <c r="F48" s="25">
        <f t="shared" ref="F48:K48" si="4">SUM(F38:F46)</f>
        <v>17632</v>
      </c>
      <c r="G48" s="25">
        <f t="shared" si="4"/>
        <v>1722</v>
      </c>
      <c r="H48" s="14">
        <f t="shared" si="4"/>
        <v>703265</v>
      </c>
      <c r="I48" s="14">
        <f t="shared" si="4"/>
        <v>260534</v>
      </c>
      <c r="J48" s="14">
        <f t="shared" si="4"/>
        <v>0</v>
      </c>
      <c r="K48" s="14">
        <f t="shared" si="4"/>
        <v>963799</v>
      </c>
    </row>
    <row r="49" spans="1:11" ht="18" customHeight="1" thickBot="1">
      <c r="G49" s="26"/>
      <c r="H49" s="26"/>
      <c r="I49" s="26"/>
      <c r="J49" s="26"/>
      <c r="K49" s="26"/>
    </row>
    <row r="50" spans="1:11" ht="42.75" customHeight="1">
      <c r="F50" s="8" t="s">
        <v>13</v>
      </c>
      <c r="G50" s="8" t="s">
        <v>14</v>
      </c>
      <c r="H50" s="8" t="s">
        <v>15</v>
      </c>
      <c r="I50" s="8" t="s">
        <v>16</v>
      </c>
      <c r="J50" s="8" t="s">
        <v>17</v>
      </c>
      <c r="K50" s="8" t="s">
        <v>18</v>
      </c>
    </row>
    <row r="51" spans="1:11" ht="18" customHeight="1">
      <c r="A51" s="9" t="s">
        <v>59</v>
      </c>
      <c r="B51" s="382" t="s">
        <v>60</v>
      </c>
      <c r="C51" s="383"/>
    </row>
    <row r="52" spans="1:11" ht="18" customHeight="1">
      <c r="A52" s="6" t="s">
        <v>61</v>
      </c>
      <c r="B52" s="389" t="s">
        <v>224</v>
      </c>
      <c r="C52" s="385"/>
      <c r="D52" s="359"/>
      <c r="F52" s="11">
        <v>16708</v>
      </c>
      <c r="G52" s="11">
        <v>17037</v>
      </c>
      <c r="H52" s="12">
        <v>1680473</v>
      </c>
      <c r="I52" s="13">
        <v>608143</v>
      </c>
      <c r="J52" s="12">
        <v>1325505</v>
      </c>
      <c r="K52" s="14">
        <f t="shared" ref="K52:K61" si="5">(H52+I52)-J52</f>
        <v>963111</v>
      </c>
    </row>
    <row r="53" spans="1:11" ht="18" customHeight="1">
      <c r="A53" s="6" t="s">
        <v>63</v>
      </c>
      <c r="B53" s="27" t="s">
        <v>225</v>
      </c>
      <c r="C53" s="28"/>
      <c r="D53" s="29"/>
      <c r="F53" s="11">
        <v>15446</v>
      </c>
      <c r="G53" s="11">
        <v>4353</v>
      </c>
      <c r="H53" s="12">
        <v>1115517</v>
      </c>
      <c r="I53" s="13">
        <v>408728</v>
      </c>
      <c r="J53" s="12">
        <v>291304</v>
      </c>
      <c r="K53" s="14">
        <f t="shared" si="5"/>
        <v>1232941</v>
      </c>
    </row>
    <row r="54" spans="1:11" ht="18" customHeight="1">
      <c r="A54" s="6" t="s">
        <v>65</v>
      </c>
      <c r="B54" s="381" t="s">
        <v>226</v>
      </c>
      <c r="C54" s="358"/>
      <c r="D54" s="359"/>
      <c r="F54" s="11">
        <v>44227</v>
      </c>
      <c r="G54" s="11">
        <v>380</v>
      </c>
      <c r="H54" s="12">
        <v>2384219</v>
      </c>
      <c r="I54" s="13">
        <v>1395392</v>
      </c>
      <c r="J54" s="12">
        <v>1883233</v>
      </c>
      <c r="K54" s="14">
        <f t="shared" si="5"/>
        <v>1896378</v>
      </c>
    </row>
    <row r="55" spans="1:11" ht="18" customHeight="1">
      <c r="A55" s="6" t="s">
        <v>67</v>
      </c>
      <c r="B55" s="381" t="s">
        <v>227</v>
      </c>
      <c r="C55" s="358"/>
      <c r="D55" s="359"/>
      <c r="F55" s="11">
        <v>2413</v>
      </c>
      <c r="G55" s="11"/>
      <c r="H55" s="12">
        <v>413320</v>
      </c>
      <c r="I55" s="13">
        <v>187667</v>
      </c>
      <c r="J55" s="12"/>
      <c r="K55" s="14">
        <f t="shared" si="5"/>
        <v>600987</v>
      </c>
    </row>
    <row r="56" spans="1:11" ht="18" customHeight="1">
      <c r="A56" s="6" t="s">
        <v>69</v>
      </c>
      <c r="B56" s="381" t="s">
        <v>228</v>
      </c>
      <c r="C56" s="358"/>
      <c r="D56" s="359"/>
      <c r="F56" s="11"/>
      <c r="G56" s="11"/>
      <c r="H56" s="12">
        <v>712488</v>
      </c>
      <c r="I56" s="13">
        <v>185104</v>
      </c>
      <c r="J56" s="12"/>
      <c r="K56" s="14">
        <f t="shared" si="5"/>
        <v>897592</v>
      </c>
    </row>
    <row r="57" spans="1:11" ht="18" customHeight="1">
      <c r="A57" s="6" t="s">
        <v>71</v>
      </c>
      <c r="B57" s="27" t="s">
        <v>229</v>
      </c>
      <c r="C57" s="28"/>
      <c r="D57" s="29"/>
      <c r="F57" s="11"/>
      <c r="G57" s="11"/>
      <c r="H57" s="12">
        <v>15200</v>
      </c>
      <c r="I57" s="13">
        <v>3949</v>
      </c>
      <c r="J57" s="12"/>
      <c r="K57" s="14">
        <f t="shared" si="5"/>
        <v>19149</v>
      </c>
    </row>
    <row r="58" spans="1:11" ht="18" customHeight="1">
      <c r="A58" s="6" t="s">
        <v>73</v>
      </c>
      <c r="B58" s="381" t="s">
        <v>230</v>
      </c>
      <c r="C58" s="358"/>
      <c r="D58" s="359"/>
      <c r="F58" s="11"/>
      <c r="G58" s="11"/>
      <c r="H58" s="12">
        <v>278785</v>
      </c>
      <c r="I58" s="13">
        <v>72428</v>
      </c>
      <c r="J58" s="12"/>
      <c r="K58" s="14">
        <f t="shared" si="5"/>
        <v>351213</v>
      </c>
    </row>
    <row r="59" spans="1:11" ht="18" customHeight="1">
      <c r="A59" s="6" t="s">
        <v>75</v>
      </c>
      <c r="B59" s="27"/>
      <c r="C59" s="28"/>
      <c r="D59" s="29"/>
      <c r="F59" s="11"/>
      <c r="G59" s="11"/>
      <c r="H59" s="12"/>
      <c r="I59" s="13">
        <v>0</v>
      </c>
      <c r="J59" s="12"/>
      <c r="K59" s="14">
        <f t="shared" si="5"/>
        <v>0</v>
      </c>
    </row>
    <row r="60" spans="1:11" ht="18" customHeight="1">
      <c r="A60" s="6" t="s">
        <v>76</v>
      </c>
      <c r="B60" s="27"/>
      <c r="C60" s="28"/>
      <c r="D60" s="29"/>
      <c r="F60" s="11"/>
      <c r="G60" s="11"/>
      <c r="H60" s="12"/>
      <c r="I60" s="13">
        <v>0</v>
      </c>
      <c r="J60" s="12"/>
      <c r="K60" s="14">
        <f t="shared" si="5"/>
        <v>0</v>
      </c>
    </row>
    <row r="61" spans="1:11" ht="18" customHeight="1">
      <c r="A61" s="6" t="s">
        <v>77</v>
      </c>
      <c r="B61" s="381"/>
      <c r="C61" s="358"/>
      <c r="D61" s="359"/>
      <c r="F61" s="11"/>
      <c r="G61" s="11"/>
      <c r="H61" s="12"/>
      <c r="I61" s="13">
        <v>0</v>
      </c>
      <c r="J61" s="12"/>
      <c r="K61" s="14">
        <f t="shared" si="5"/>
        <v>0</v>
      </c>
    </row>
    <row r="62" spans="1:11" ht="18" customHeight="1">
      <c r="A62" s="6"/>
      <c r="I62" s="31"/>
    </row>
    <row r="63" spans="1:11" ht="18" customHeight="1">
      <c r="A63" s="6"/>
      <c r="E63" s="5" t="s">
        <v>41</v>
      </c>
      <c r="F63" s="19">
        <f t="shared" ref="F63:K63" si="6">SUM(F52:F61)</f>
        <v>78794</v>
      </c>
      <c r="G63" s="19">
        <f t="shared" si="6"/>
        <v>21770</v>
      </c>
      <c r="H63" s="14">
        <f t="shared" si="6"/>
        <v>6600002</v>
      </c>
      <c r="I63" s="14">
        <f t="shared" si="6"/>
        <v>2861411</v>
      </c>
      <c r="J63" s="14">
        <f t="shared" si="6"/>
        <v>3500042</v>
      </c>
      <c r="K63" s="14">
        <f t="shared" si="6"/>
        <v>5961371</v>
      </c>
    </row>
    <row r="64" spans="1:11" ht="18" customHeight="1" thickBot="1">
      <c r="F64" s="26"/>
      <c r="G64" s="26"/>
      <c r="H64" s="26"/>
      <c r="I64" s="26"/>
      <c r="J64" s="26"/>
      <c r="K64" s="26"/>
    </row>
    <row r="65" spans="1:11" ht="42.75" customHeight="1">
      <c r="F65" s="8" t="s">
        <v>13</v>
      </c>
      <c r="G65" s="8" t="s">
        <v>14</v>
      </c>
      <c r="H65" s="8" t="s">
        <v>15</v>
      </c>
      <c r="I65" s="8" t="s">
        <v>16</v>
      </c>
      <c r="J65" s="8" t="s">
        <v>17</v>
      </c>
      <c r="K65" s="8" t="s">
        <v>18</v>
      </c>
    </row>
    <row r="66" spans="1:11" ht="18" customHeight="1">
      <c r="A66" s="9" t="s">
        <v>78</v>
      </c>
      <c r="B66" s="5" t="s">
        <v>79</v>
      </c>
      <c r="F66" s="32"/>
      <c r="G66" s="32"/>
      <c r="H66" s="32"/>
      <c r="I66" s="31"/>
      <c r="J66" s="32"/>
      <c r="K66" s="33"/>
    </row>
    <row r="67" spans="1:11" ht="18" customHeight="1">
      <c r="A67" s="6" t="s">
        <v>80</v>
      </c>
      <c r="B67" s="2" t="s">
        <v>81</v>
      </c>
      <c r="F67" s="34"/>
      <c r="G67" s="34"/>
      <c r="H67" s="34"/>
      <c r="I67" s="13">
        <v>0</v>
      </c>
      <c r="J67" s="34"/>
      <c r="K67" s="14">
        <f t="shared" ref="K67:K72" si="7">(H67+I67)-J67</f>
        <v>0</v>
      </c>
    </row>
    <row r="68" spans="1:11" ht="18" customHeight="1">
      <c r="A68" s="6" t="s">
        <v>82</v>
      </c>
      <c r="B68" s="63" t="s">
        <v>83</v>
      </c>
      <c r="F68" s="34"/>
      <c r="G68" s="34"/>
      <c r="H68" s="34"/>
      <c r="I68" s="13">
        <v>0</v>
      </c>
      <c r="J68" s="34"/>
      <c r="K68" s="14">
        <f t="shared" si="7"/>
        <v>0</v>
      </c>
    </row>
    <row r="69" spans="1:11" ht="18" customHeight="1">
      <c r="A69" s="6" t="s">
        <v>84</v>
      </c>
      <c r="B69" s="63" t="s">
        <v>85</v>
      </c>
      <c r="F69" s="11"/>
      <c r="G69" s="11"/>
      <c r="H69" s="12"/>
      <c r="I69" s="13">
        <v>0</v>
      </c>
      <c r="J69" s="12"/>
      <c r="K69" s="14">
        <f t="shared" si="7"/>
        <v>0</v>
      </c>
    </row>
    <row r="70" spans="1:11" ht="18" customHeight="1">
      <c r="A70" s="6" t="s">
        <v>86</v>
      </c>
      <c r="B70" s="27"/>
      <c r="C70" s="28"/>
      <c r="D70" s="29"/>
      <c r="E70" s="5"/>
      <c r="F70" s="35"/>
      <c r="G70" s="35"/>
      <c r="H70" s="36"/>
      <c r="I70" s="13">
        <v>0</v>
      </c>
      <c r="J70" s="36"/>
      <c r="K70" s="14">
        <f t="shared" si="7"/>
        <v>0</v>
      </c>
    </row>
    <row r="71" spans="1:11" ht="18" customHeight="1">
      <c r="A71" s="6" t="s">
        <v>87</v>
      </c>
      <c r="B71" s="27"/>
      <c r="C71" s="28"/>
      <c r="D71" s="29"/>
      <c r="E71" s="5"/>
      <c r="F71" s="35"/>
      <c r="G71" s="35"/>
      <c r="H71" s="36"/>
      <c r="I71" s="13">
        <v>0</v>
      </c>
      <c r="J71" s="36"/>
      <c r="K71" s="14">
        <f t="shared" si="7"/>
        <v>0</v>
      </c>
    </row>
    <row r="72" spans="1:11" ht="18" customHeight="1">
      <c r="A72" s="6" t="s">
        <v>88</v>
      </c>
      <c r="B72" s="37"/>
      <c r="C72" s="38"/>
      <c r="D72" s="39"/>
      <c r="E72" s="5"/>
      <c r="F72" s="11"/>
      <c r="G72" s="11"/>
      <c r="H72" s="12"/>
      <c r="I72" s="13">
        <v>0</v>
      </c>
      <c r="J72" s="12"/>
      <c r="K72" s="14">
        <f t="shared" si="7"/>
        <v>0</v>
      </c>
    </row>
    <row r="73" spans="1:11" ht="18" customHeight="1">
      <c r="A73" s="6"/>
      <c r="B73" s="63"/>
      <c r="E73" s="5"/>
      <c r="F73" s="40"/>
      <c r="G73" s="40"/>
      <c r="H73" s="41"/>
      <c r="I73" s="42"/>
      <c r="J73" s="41"/>
      <c r="K73" s="33"/>
    </row>
    <row r="74" spans="1:11" ht="18" customHeight="1">
      <c r="B74" s="63"/>
      <c r="E74" s="5" t="s">
        <v>41</v>
      </c>
      <c r="F74" s="43">
        <f t="shared" ref="F74:K74" si="8">SUM(F67:F72)</f>
        <v>0</v>
      </c>
      <c r="G74" s="43">
        <f t="shared" si="8"/>
        <v>0</v>
      </c>
      <c r="H74" s="43">
        <f t="shared" si="8"/>
        <v>0</v>
      </c>
      <c r="I74" s="43">
        <f t="shared" si="8"/>
        <v>0</v>
      </c>
      <c r="J74" s="43">
        <f t="shared" si="8"/>
        <v>0</v>
      </c>
      <c r="K74" s="43">
        <f t="shared" si="8"/>
        <v>0</v>
      </c>
    </row>
    <row r="75" spans="1:11" ht="42.75" customHeight="1">
      <c r="F75" s="8" t="s">
        <v>13</v>
      </c>
      <c r="G75" s="8" t="s">
        <v>14</v>
      </c>
      <c r="H75" s="8" t="s">
        <v>15</v>
      </c>
      <c r="I75" s="8" t="s">
        <v>16</v>
      </c>
      <c r="J75" s="8" t="s">
        <v>17</v>
      </c>
      <c r="K75" s="8" t="s">
        <v>18</v>
      </c>
    </row>
    <row r="76" spans="1:11" ht="18" customHeight="1">
      <c r="A76" s="9" t="s">
        <v>89</v>
      </c>
      <c r="B76" s="5" t="s">
        <v>90</v>
      </c>
    </row>
    <row r="77" spans="1:11" ht="18" customHeight="1">
      <c r="A77" s="6" t="s">
        <v>91</v>
      </c>
      <c r="B77" s="63" t="s">
        <v>92</v>
      </c>
      <c r="F77" s="11"/>
      <c r="G77" s="11"/>
      <c r="H77" s="12">
        <v>7560</v>
      </c>
      <c r="I77" s="13">
        <v>1964</v>
      </c>
      <c r="J77" s="12"/>
      <c r="K77" s="14">
        <f>(H77+I77)-J77</f>
        <v>9524</v>
      </c>
    </row>
    <row r="78" spans="1:11" ht="18" customHeight="1">
      <c r="A78" s="6" t="s">
        <v>93</v>
      </c>
      <c r="B78" s="63" t="s">
        <v>94</v>
      </c>
      <c r="F78" s="11"/>
      <c r="G78" s="11"/>
      <c r="H78" s="12"/>
      <c r="I78" s="13">
        <v>0</v>
      </c>
      <c r="J78" s="12"/>
      <c r="K78" s="14">
        <f>(H78+I78)-J78</f>
        <v>0</v>
      </c>
    </row>
    <row r="79" spans="1:11" ht="18" customHeight="1">
      <c r="A79" s="6" t="s">
        <v>95</v>
      </c>
      <c r="B79" s="63" t="s">
        <v>96</v>
      </c>
      <c r="F79" s="11">
        <v>5</v>
      </c>
      <c r="G79" s="11">
        <v>1</v>
      </c>
      <c r="H79" s="12">
        <v>417</v>
      </c>
      <c r="I79" s="13">
        <v>112</v>
      </c>
      <c r="J79" s="12"/>
      <c r="K79" s="14">
        <f>(H79+I79)-J79</f>
        <v>529</v>
      </c>
    </row>
    <row r="80" spans="1:11" ht="18" customHeight="1">
      <c r="A80" s="6" t="s">
        <v>93</v>
      </c>
      <c r="B80" s="63" t="s">
        <v>97</v>
      </c>
      <c r="F80" s="11">
        <v>80</v>
      </c>
      <c r="G80" s="11">
        <v>2400</v>
      </c>
      <c r="H80" s="12">
        <v>2784</v>
      </c>
      <c r="I80" s="13">
        <v>803</v>
      </c>
      <c r="J80" s="12"/>
      <c r="K80" s="14">
        <f>(H80+I80)-J80</f>
        <v>3587</v>
      </c>
    </row>
    <row r="81" spans="1:11" ht="18" customHeight="1">
      <c r="A81" s="6"/>
      <c r="K81" s="33"/>
    </row>
    <row r="82" spans="1:11" ht="18" customHeight="1">
      <c r="A82" s="6"/>
      <c r="E82" s="5" t="s">
        <v>41</v>
      </c>
      <c r="F82" s="44">
        <f t="shared" ref="F82:K82" si="9">SUM(F77:F80)</f>
        <v>85</v>
      </c>
      <c r="G82" s="44">
        <f t="shared" si="9"/>
        <v>2401</v>
      </c>
      <c r="H82" s="45">
        <f t="shared" si="9"/>
        <v>10761</v>
      </c>
      <c r="I82" s="45">
        <f t="shared" si="9"/>
        <v>2879</v>
      </c>
      <c r="J82" s="45">
        <f t="shared" si="9"/>
        <v>0</v>
      </c>
      <c r="K82" s="45">
        <f t="shared" si="9"/>
        <v>13640</v>
      </c>
    </row>
    <row r="83" spans="1:11" ht="18" customHeight="1" thickBot="1">
      <c r="A83" s="6"/>
      <c r="F83" s="26"/>
      <c r="G83" s="26"/>
      <c r="H83" s="26"/>
      <c r="I83" s="26"/>
      <c r="J83" s="26"/>
      <c r="K83" s="26"/>
    </row>
    <row r="84" spans="1:11" ht="42.75" customHeight="1">
      <c r="F84" s="8" t="s">
        <v>13</v>
      </c>
      <c r="G84" s="8" t="s">
        <v>14</v>
      </c>
      <c r="H84" s="8" t="s">
        <v>15</v>
      </c>
      <c r="I84" s="8" t="s">
        <v>16</v>
      </c>
      <c r="J84" s="8" t="s">
        <v>17</v>
      </c>
      <c r="K84" s="8" t="s">
        <v>18</v>
      </c>
    </row>
    <row r="85" spans="1:11" ht="18" customHeight="1">
      <c r="A85" s="9" t="s">
        <v>98</v>
      </c>
      <c r="B85" s="5" t="s">
        <v>99</v>
      </c>
    </row>
    <row r="86" spans="1:11" ht="18" customHeight="1">
      <c r="A86" s="6" t="s">
        <v>100</v>
      </c>
      <c r="B86" s="2" t="s">
        <v>101</v>
      </c>
      <c r="F86" s="11"/>
      <c r="G86" s="11"/>
      <c r="H86" s="12"/>
      <c r="I86" s="13">
        <f t="shared" ref="I86:I97" si="10">H86*F$116</f>
        <v>0</v>
      </c>
      <c r="J86" s="12"/>
      <c r="K86" s="14">
        <f t="shared" ref="K86:K97" si="11">(H86+I86)-J86</f>
        <v>0</v>
      </c>
    </row>
    <row r="87" spans="1:11" ht="18" customHeight="1">
      <c r="A87" s="6" t="s">
        <v>102</v>
      </c>
      <c r="B87" s="63" t="s">
        <v>103</v>
      </c>
      <c r="F87" s="11"/>
      <c r="G87" s="11"/>
      <c r="H87" s="12"/>
      <c r="I87" s="13">
        <f t="shared" si="10"/>
        <v>0</v>
      </c>
      <c r="J87" s="12"/>
      <c r="K87" s="14">
        <f t="shared" si="11"/>
        <v>0</v>
      </c>
    </row>
    <row r="88" spans="1:11" ht="18" customHeight="1">
      <c r="A88" s="6" t="s">
        <v>104</v>
      </c>
      <c r="B88" s="63" t="s">
        <v>105</v>
      </c>
      <c r="F88" s="11"/>
      <c r="G88" s="11"/>
      <c r="H88" s="12">
        <v>11723</v>
      </c>
      <c r="I88" s="13">
        <v>8531.42</v>
      </c>
      <c r="J88" s="12"/>
      <c r="K88" s="14">
        <f t="shared" si="11"/>
        <v>20254.419999999998</v>
      </c>
    </row>
    <row r="89" spans="1:11" ht="18" customHeight="1">
      <c r="A89" s="6" t="s">
        <v>106</v>
      </c>
      <c r="B89" s="63" t="s">
        <v>107</v>
      </c>
      <c r="F89" s="11"/>
      <c r="G89" s="11"/>
      <c r="H89" s="12"/>
      <c r="I89" s="13">
        <f t="shared" si="10"/>
        <v>0</v>
      </c>
      <c r="J89" s="12"/>
      <c r="K89" s="14">
        <f t="shared" si="11"/>
        <v>0</v>
      </c>
    </row>
    <row r="90" spans="1:11" ht="18" customHeight="1">
      <c r="A90" s="6" t="s">
        <v>108</v>
      </c>
      <c r="B90" s="386" t="s">
        <v>109</v>
      </c>
      <c r="C90" s="356"/>
      <c r="F90" s="11"/>
      <c r="G90" s="11"/>
      <c r="H90" s="12"/>
      <c r="I90" s="13">
        <f t="shared" si="10"/>
        <v>0</v>
      </c>
      <c r="J90" s="12"/>
      <c r="K90" s="14">
        <f t="shared" si="11"/>
        <v>0</v>
      </c>
    </row>
    <row r="91" spans="1:11" ht="18" customHeight="1">
      <c r="A91" s="6" t="s">
        <v>110</v>
      </c>
      <c r="B91" s="63" t="s">
        <v>111</v>
      </c>
      <c r="F91" s="11">
        <v>825</v>
      </c>
      <c r="G91" s="11">
        <v>4175</v>
      </c>
      <c r="H91" s="12">
        <v>37072</v>
      </c>
      <c r="I91" s="13">
        <v>26979.18</v>
      </c>
      <c r="J91" s="12"/>
      <c r="K91" s="14">
        <f t="shared" si="11"/>
        <v>64051.18</v>
      </c>
    </row>
    <row r="92" spans="1:11" ht="18" customHeight="1">
      <c r="A92" s="6" t="s">
        <v>112</v>
      </c>
      <c r="B92" s="63" t="s">
        <v>113</v>
      </c>
      <c r="F92" s="46">
        <v>246</v>
      </c>
      <c r="G92" s="46">
        <v>305</v>
      </c>
      <c r="H92" s="47">
        <v>10145</v>
      </c>
      <c r="I92" s="13">
        <v>7383.03</v>
      </c>
      <c r="J92" s="47"/>
      <c r="K92" s="14">
        <f t="shared" si="11"/>
        <v>17528.03</v>
      </c>
    </row>
    <row r="93" spans="1:11" ht="18" customHeight="1">
      <c r="A93" s="6" t="s">
        <v>114</v>
      </c>
      <c r="B93" s="63" t="s">
        <v>115</v>
      </c>
      <c r="F93" s="11">
        <v>6</v>
      </c>
      <c r="G93" s="11"/>
      <c r="H93" s="12">
        <v>402</v>
      </c>
      <c r="I93" s="13">
        <v>292.56</v>
      </c>
      <c r="J93" s="12"/>
      <c r="K93" s="14">
        <f t="shared" si="11"/>
        <v>694.56</v>
      </c>
    </row>
    <row r="94" spans="1:11" ht="18" customHeight="1">
      <c r="A94" s="6" t="s">
        <v>116</v>
      </c>
      <c r="B94" s="63" t="s">
        <v>85</v>
      </c>
      <c r="F94" s="11"/>
      <c r="G94" s="11"/>
      <c r="H94" s="12"/>
      <c r="I94" s="13">
        <f t="shared" si="10"/>
        <v>0</v>
      </c>
      <c r="J94" s="12"/>
      <c r="K94" s="14">
        <f t="shared" si="11"/>
        <v>0</v>
      </c>
    </row>
    <row r="95" spans="1:11" ht="18" customHeight="1">
      <c r="A95" s="6"/>
      <c r="B95" s="381"/>
      <c r="C95" s="358"/>
      <c r="D95" s="359"/>
      <c r="F95" s="11"/>
      <c r="G95" s="11"/>
      <c r="H95" s="12"/>
      <c r="I95" s="13">
        <f t="shared" si="10"/>
        <v>0</v>
      </c>
      <c r="J95" s="12"/>
      <c r="K95" s="14">
        <f t="shared" si="11"/>
        <v>0</v>
      </c>
    </row>
    <row r="96" spans="1:11" ht="18" customHeight="1">
      <c r="A96" s="6"/>
      <c r="B96" s="381"/>
      <c r="C96" s="358"/>
      <c r="D96" s="359"/>
      <c r="F96" s="11"/>
      <c r="G96" s="11"/>
      <c r="H96" s="12"/>
      <c r="I96" s="13">
        <f t="shared" si="10"/>
        <v>0</v>
      </c>
      <c r="J96" s="12"/>
      <c r="K96" s="14">
        <f t="shared" si="11"/>
        <v>0</v>
      </c>
    </row>
    <row r="97" spans="1:11" ht="18" customHeight="1">
      <c r="A97" s="6"/>
      <c r="B97" s="381"/>
      <c r="C97" s="358"/>
      <c r="D97" s="359"/>
      <c r="F97" s="11"/>
      <c r="G97" s="11"/>
      <c r="H97" s="12"/>
      <c r="I97" s="13">
        <f t="shared" si="10"/>
        <v>0</v>
      </c>
      <c r="J97" s="12"/>
      <c r="K97" s="14">
        <f t="shared" si="11"/>
        <v>0</v>
      </c>
    </row>
    <row r="98" spans="1:11" ht="18" customHeight="1">
      <c r="A98" s="6"/>
      <c r="B98" s="63"/>
    </row>
    <row r="99" spans="1:11" ht="18" customHeight="1">
      <c r="E99" s="5" t="s">
        <v>41</v>
      </c>
      <c r="F99" s="19">
        <f t="shared" ref="F99:K99" si="12">SUM(F86:F97)</f>
        <v>1077</v>
      </c>
      <c r="G99" s="19">
        <f t="shared" si="12"/>
        <v>4480</v>
      </c>
      <c r="H99" s="19">
        <f t="shared" si="12"/>
        <v>59342</v>
      </c>
      <c r="I99" s="19">
        <f t="shared" si="12"/>
        <v>43186.189999999995</v>
      </c>
      <c r="J99" s="19">
        <f t="shared" si="12"/>
        <v>0</v>
      </c>
      <c r="K99" s="19">
        <f t="shared" si="12"/>
        <v>102528.19</v>
      </c>
    </row>
    <row r="100" spans="1:11" ht="18" customHeight="1" thickBot="1">
      <c r="B100" s="5"/>
      <c r="F100" s="26"/>
      <c r="G100" s="26"/>
      <c r="H100" s="26"/>
      <c r="I100" s="26"/>
      <c r="J100" s="26"/>
      <c r="K100" s="26"/>
    </row>
    <row r="101" spans="1:11" ht="42.75" customHeight="1">
      <c r="F101" s="8" t="s">
        <v>13</v>
      </c>
      <c r="G101" s="8" t="s">
        <v>14</v>
      </c>
      <c r="H101" s="8" t="s">
        <v>15</v>
      </c>
      <c r="I101" s="8" t="s">
        <v>16</v>
      </c>
      <c r="J101" s="8" t="s">
        <v>17</v>
      </c>
      <c r="K101" s="8" t="s">
        <v>18</v>
      </c>
    </row>
    <row r="102" spans="1:11" ht="18" customHeight="1">
      <c r="A102" s="9" t="s">
        <v>117</v>
      </c>
      <c r="B102" s="5" t="s">
        <v>118</v>
      </c>
    </row>
    <row r="103" spans="1:11" ht="18" customHeight="1">
      <c r="A103" s="6" t="s">
        <v>119</v>
      </c>
      <c r="B103" s="2" t="s">
        <v>120</v>
      </c>
      <c r="F103" s="11">
        <v>205</v>
      </c>
      <c r="G103" s="11"/>
      <c r="H103" s="12">
        <v>8996</v>
      </c>
      <c r="I103" s="13">
        <v>6546.85</v>
      </c>
      <c r="J103" s="12"/>
      <c r="K103" s="14">
        <f t="shared" ref="K103:K108" si="13">(H103+I103)-J103</f>
        <v>15542.85</v>
      </c>
    </row>
    <row r="104" spans="1:11" ht="18" customHeight="1">
      <c r="A104" s="6" t="s">
        <v>121</v>
      </c>
      <c r="B104" s="386" t="s">
        <v>122</v>
      </c>
      <c r="C104" s="386"/>
      <c r="F104" s="11"/>
      <c r="G104" s="11"/>
      <c r="H104" s="12">
        <v>1240</v>
      </c>
      <c r="I104" s="13">
        <v>902.41</v>
      </c>
      <c r="J104" s="12"/>
      <c r="K104" s="14">
        <f t="shared" si="13"/>
        <v>2142.41</v>
      </c>
    </row>
    <row r="105" spans="1:11" ht="18" customHeight="1">
      <c r="A105" s="6" t="s">
        <v>123</v>
      </c>
      <c r="B105" s="2" t="s">
        <v>124</v>
      </c>
      <c r="F105" s="11"/>
      <c r="G105" s="11"/>
      <c r="H105" s="12"/>
      <c r="I105" s="13">
        <f>H105*F$116</f>
        <v>0</v>
      </c>
      <c r="J105" s="12"/>
      <c r="K105" s="14">
        <f t="shared" si="13"/>
        <v>0</v>
      </c>
    </row>
    <row r="106" spans="1:11" ht="18" customHeight="1">
      <c r="A106" s="6" t="s">
        <v>125</v>
      </c>
      <c r="B106" s="381"/>
      <c r="C106" s="358"/>
      <c r="D106" s="359"/>
      <c r="F106" s="11"/>
      <c r="G106" s="11"/>
      <c r="H106" s="12"/>
      <c r="I106" s="13">
        <f>H106*F$116</f>
        <v>0</v>
      </c>
      <c r="J106" s="12"/>
      <c r="K106" s="14">
        <f t="shared" si="13"/>
        <v>0</v>
      </c>
    </row>
    <row r="107" spans="1:11" ht="18" customHeight="1">
      <c r="A107" s="6" t="s">
        <v>126</v>
      </c>
      <c r="B107" s="381"/>
      <c r="C107" s="358"/>
      <c r="D107" s="359"/>
      <c r="F107" s="11"/>
      <c r="G107" s="11"/>
      <c r="H107" s="12"/>
      <c r="I107" s="13">
        <f>H107*F$116</f>
        <v>0</v>
      </c>
      <c r="J107" s="12"/>
      <c r="K107" s="14">
        <f t="shared" si="13"/>
        <v>0</v>
      </c>
    </row>
    <row r="108" spans="1:11" ht="18" customHeight="1">
      <c r="A108" s="6" t="s">
        <v>127</v>
      </c>
      <c r="B108" s="381"/>
      <c r="C108" s="358"/>
      <c r="D108" s="359"/>
      <c r="F108" s="11"/>
      <c r="G108" s="11"/>
      <c r="H108" s="12"/>
      <c r="I108" s="13">
        <f>H108*F$116</f>
        <v>0</v>
      </c>
      <c r="J108" s="12"/>
      <c r="K108" s="14">
        <f t="shared" si="13"/>
        <v>0</v>
      </c>
    </row>
    <row r="109" spans="1:11" ht="18" customHeight="1">
      <c r="B109" s="5"/>
    </row>
    <row r="110" spans="1:11" s="24" customFormat="1" ht="18" customHeight="1">
      <c r="A110" s="1"/>
      <c r="C110" s="2"/>
      <c r="D110" s="2"/>
      <c r="E110" s="5" t="s">
        <v>41</v>
      </c>
      <c r="F110" s="19">
        <f t="shared" ref="F110:K110" si="14">SUM(F103:F108)</f>
        <v>205</v>
      </c>
      <c r="G110" s="19">
        <f t="shared" si="14"/>
        <v>0</v>
      </c>
      <c r="H110" s="14">
        <f t="shared" si="14"/>
        <v>10236</v>
      </c>
      <c r="I110" s="14">
        <f t="shared" si="14"/>
        <v>7449.26</v>
      </c>
      <c r="J110" s="14">
        <f t="shared" si="14"/>
        <v>0</v>
      </c>
      <c r="K110" s="14">
        <f t="shared" si="14"/>
        <v>17685.260000000002</v>
      </c>
    </row>
    <row r="111" spans="1:11" s="24" customFormat="1" ht="18" customHeight="1" thickBot="1">
      <c r="A111" s="49"/>
      <c r="B111" s="50"/>
      <c r="C111" s="51"/>
      <c r="D111" s="51"/>
      <c r="E111" s="51"/>
      <c r="F111" s="26"/>
      <c r="G111" s="26"/>
      <c r="H111" s="26"/>
      <c r="I111" s="26"/>
      <c r="J111" s="26"/>
      <c r="K111" s="26"/>
    </row>
    <row r="112" spans="1:11" s="24" customFormat="1" ht="18" customHeight="1">
      <c r="A112" s="9" t="s">
        <v>128</v>
      </c>
      <c r="B112" s="5" t="s">
        <v>129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1:6" ht="18" customHeight="1">
      <c r="B113" s="5"/>
      <c r="E113" s="5" t="s">
        <v>41</v>
      </c>
      <c r="F113" s="12">
        <v>1500565</v>
      </c>
    </row>
    <row r="114" spans="1:6" ht="18" customHeight="1">
      <c r="B114" s="5"/>
      <c r="E114" s="5"/>
      <c r="F114" s="52"/>
    </row>
    <row r="115" spans="1:6" ht="18" customHeight="1">
      <c r="A115" s="9" t="s">
        <v>130</v>
      </c>
      <c r="B115" s="5" t="s">
        <v>131</v>
      </c>
    </row>
    <row r="116" spans="1:6" ht="18" customHeight="1">
      <c r="A116" s="6" t="s">
        <v>132</v>
      </c>
      <c r="B116" s="63" t="s">
        <v>133</v>
      </c>
      <c r="F116" s="53">
        <v>0.7278</v>
      </c>
    </row>
    <row r="117" spans="1:6" ht="18" customHeight="1">
      <c r="A117" s="6"/>
      <c r="B117" s="5"/>
    </row>
    <row r="118" spans="1:6" ht="18" customHeight="1">
      <c r="A118" s="6" t="s">
        <v>134</v>
      </c>
      <c r="B118" s="5" t="s">
        <v>135</v>
      </c>
    </row>
    <row r="119" spans="1:6" ht="18" customHeight="1">
      <c r="A119" s="6"/>
      <c r="B119" s="63" t="s">
        <v>136</v>
      </c>
      <c r="F119" s="12">
        <v>114834777</v>
      </c>
    </row>
    <row r="120" spans="1:6" ht="18" customHeight="1">
      <c r="B120" s="2" t="s">
        <v>137</v>
      </c>
      <c r="F120" s="12">
        <v>3416528</v>
      </c>
    </row>
    <row r="121" spans="1:6" ht="18" customHeight="1">
      <c r="A121" s="6"/>
      <c r="B121" s="5" t="s">
        <v>138</v>
      </c>
      <c r="F121" s="12">
        <v>118251305</v>
      </c>
    </row>
    <row r="122" spans="1:6" ht="18" customHeight="1">
      <c r="A122" s="6"/>
      <c r="B122" s="5"/>
    </row>
    <row r="123" spans="1:6" ht="18" customHeight="1">
      <c r="A123" s="6" t="s">
        <v>139</v>
      </c>
      <c r="B123" s="5" t="s">
        <v>140</v>
      </c>
      <c r="F123" s="12">
        <v>116764179</v>
      </c>
    </row>
    <row r="124" spans="1:6" ht="18" customHeight="1">
      <c r="A124" s="6"/>
    </row>
    <row r="125" spans="1:6" ht="18" customHeight="1">
      <c r="A125" s="6" t="s">
        <v>141</v>
      </c>
      <c r="B125" s="5" t="s">
        <v>142</v>
      </c>
      <c r="F125" s="12">
        <v>1487126</v>
      </c>
    </row>
    <row r="126" spans="1:6" ht="18" customHeight="1">
      <c r="A126" s="6"/>
    </row>
    <row r="127" spans="1:6" ht="18" customHeight="1">
      <c r="A127" s="6" t="s">
        <v>143</v>
      </c>
      <c r="B127" s="5" t="s">
        <v>144</v>
      </c>
      <c r="F127" s="12">
        <v>706857</v>
      </c>
    </row>
    <row r="128" spans="1:6" ht="18" customHeight="1">
      <c r="A128" s="6"/>
    </row>
    <row r="129" spans="1:11" ht="18" customHeight="1">
      <c r="A129" s="6" t="s">
        <v>145</v>
      </c>
      <c r="B129" s="5" t="s">
        <v>146</v>
      </c>
      <c r="F129" s="12">
        <v>2193983</v>
      </c>
    </row>
    <row r="130" spans="1:11" ht="18" customHeight="1">
      <c r="A130" s="6"/>
    </row>
    <row r="131" spans="1:11" ht="42.75" customHeight="1">
      <c r="F131" s="8" t="s">
        <v>13</v>
      </c>
      <c r="G131" s="8" t="s">
        <v>14</v>
      </c>
      <c r="H131" s="8" t="s">
        <v>15</v>
      </c>
      <c r="I131" s="8" t="s">
        <v>16</v>
      </c>
      <c r="J131" s="8" t="s">
        <v>17</v>
      </c>
      <c r="K131" s="8" t="s">
        <v>18</v>
      </c>
    </row>
    <row r="132" spans="1:11" ht="18" customHeight="1">
      <c r="A132" s="9" t="s">
        <v>147</v>
      </c>
      <c r="B132" s="5" t="s">
        <v>148</v>
      </c>
    </row>
    <row r="133" spans="1:11" ht="18" customHeight="1">
      <c r="A133" s="6" t="s">
        <v>149</v>
      </c>
      <c r="B133" s="2" t="s">
        <v>150</v>
      </c>
      <c r="F133" s="11"/>
      <c r="G133" s="11"/>
      <c r="H133" s="12"/>
      <c r="I133" s="13">
        <v>0</v>
      </c>
      <c r="J133" s="12"/>
      <c r="K133" s="14">
        <f t="shared" ref="K133:K138" si="15">(H133+I133)-J133</f>
        <v>0</v>
      </c>
    </row>
    <row r="134" spans="1:11" ht="18" customHeight="1">
      <c r="A134" s="6" t="s">
        <v>151</v>
      </c>
      <c r="B134" s="2" t="s">
        <v>152</v>
      </c>
      <c r="F134" s="11"/>
      <c r="G134" s="11"/>
      <c r="H134" s="12"/>
      <c r="I134" s="13">
        <v>0</v>
      </c>
      <c r="J134" s="12"/>
      <c r="K134" s="14">
        <f t="shared" si="15"/>
        <v>0</v>
      </c>
    </row>
    <row r="135" spans="1:11" ht="18" customHeight="1">
      <c r="A135" s="6" t="s">
        <v>153</v>
      </c>
      <c r="B135" s="63" t="s">
        <v>34</v>
      </c>
      <c r="F135" s="11"/>
      <c r="G135" s="11"/>
      <c r="H135" s="12"/>
      <c r="I135" s="13">
        <v>0</v>
      </c>
      <c r="J135" s="12"/>
      <c r="K135" s="14">
        <f t="shared" si="15"/>
        <v>0</v>
      </c>
    </row>
    <row r="136" spans="1:11" ht="18" customHeight="1">
      <c r="A136" s="6" t="s">
        <v>154</v>
      </c>
      <c r="B136" s="378"/>
      <c r="C136" s="379"/>
      <c r="D136" s="380"/>
      <c r="F136" s="11"/>
      <c r="G136" s="11"/>
      <c r="H136" s="12"/>
      <c r="I136" s="13">
        <v>0</v>
      </c>
      <c r="J136" s="12"/>
      <c r="K136" s="14">
        <f t="shared" si="15"/>
        <v>0</v>
      </c>
    </row>
    <row r="137" spans="1:11" ht="18" customHeight="1">
      <c r="A137" s="6" t="s">
        <v>155</v>
      </c>
      <c r="B137" s="378"/>
      <c r="C137" s="379"/>
      <c r="D137" s="380"/>
      <c r="F137" s="11"/>
      <c r="G137" s="11"/>
      <c r="H137" s="12"/>
      <c r="I137" s="13">
        <v>0</v>
      </c>
      <c r="J137" s="12"/>
      <c r="K137" s="14">
        <f t="shared" si="15"/>
        <v>0</v>
      </c>
    </row>
    <row r="138" spans="1:11" ht="18" customHeight="1">
      <c r="A138" s="6" t="s">
        <v>156</v>
      </c>
      <c r="B138" s="378"/>
      <c r="C138" s="379"/>
      <c r="D138" s="380"/>
      <c r="F138" s="11"/>
      <c r="G138" s="11"/>
      <c r="H138" s="12"/>
      <c r="I138" s="13">
        <v>0</v>
      </c>
      <c r="J138" s="12"/>
      <c r="K138" s="14">
        <f t="shared" si="15"/>
        <v>0</v>
      </c>
    </row>
    <row r="139" spans="1:11" ht="18" customHeight="1">
      <c r="A139" s="9"/>
    </row>
    <row r="140" spans="1:11" ht="18" customHeight="1">
      <c r="B140" s="5" t="s">
        <v>157</v>
      </c>
      <c r="F140" s="19">
        <f t="shared" ref="F140:K140" si="16">SUM(F133:F138)</f>
        <v>0</v>
      </c>
      <c r="G140" s="19">
        <f t="shared" si="16"/>
        <v>0</v>
      </c>
      <c r="H140" s="14">
        <f t="shared" si="16"/>
        <v>0</v>
      </c>
      <c r="I140" s="14">
        <f t="shared" si="16"/>
        <v>0</v>
      </c>
      <c r="J140" s="14">
        <f t="shared" si="16"/>
        <v>0</v>
      </c>
      <c r="K140" s="14">
        <f t="shared" si="16"/>
        <v>0</v>
      </c>
    </row>
    <row r="141" spans="1:11" ht="18" customHeight="1">
      <c r="A141" s="2"/>
    </row>
    <row r="142" spans="1:11" ht="42.75" customHeight="1">
      <c r="F142" s="8" t="s">
        <v>13</v>
      </c>
      <c r="G142" s="8" t="s">
        <v>14</v>
      </c>
      <c r="H142" s="8" t="s">
        <v>15</v>
      </c>
      <c r="I142" s="8" t="s">
        <v>16</v>
      </c>
      <c r="J142" s="8" t="s">
        <v>17</v>
      </c>
      <c r="K142" s="8" t="s">
        <v>18</v>
      </c>
    </row>
    <row r="143" spans="1:11" ht="18" customHeight="1">
      <c r="A143" s="9" t="s">
        <v>158</v>
      </c>
      <c r="B143" s="2" t="s">
        <v>159</v>
      </c>
    </row>
    <row r="144" spans="1:11" ht="18" customHeight="1">
      <c r="A144" s="6" t="s">
        <v>160</v>
      </c>
      <c r="B144" s="5" t="s">
        <v>161</v>
      </c>
      <c r="F144" s="54">
        <f t="shared" ref="F144:K144" si="17">F34</f>
        <v>4360</v>
      </c>
      <c r="G144" s="54">
        <f t="shared" si="17"/>
        <v>22733</v>
      </c>
      <c r="H144" s="54">
        <f t="shared" si="17"/>
        <v>532911</v>
      </c>
      <c r="I144" s="54">
        <f t="shared" si="17"/>
        <v>387826.47</v>
      </c>
      <c r="J144" s="54">
        <f t="shared" si="17"/>
        <v>29517</v>
      </c>
      <c r="K144" s="54">
        <f t="shared" si="17"/>
        <v>891220.47000000009</v>
      </c>
    </row>
    <row r="145" spans="1:11" ht="18" customHeight="1">
      <c r="A145" s="6" t="s">
        <v>162</v>
      </c>
      <c r="B145" s="5" t="s">
        <v>163</v>
      </c>
      <c r="F145" s="54">
        <f t="shared" ref="F145:K145" si="18">F48</f>
        <v>17632</v>
      </c>
      <c r="G145" s="54">
        <f t="shared" si="18"/>
        <v>1722</v>
      </c>
      <c r="H145" s="54">
        <f t="shared" si="18"/>
        <v>703265</v>
      </c>
      <c r="I145" s="54">
        <f t="shared" si="18"/>
        <v>260534</v>
      </c>
      <c r="J145" s="54">
        <f t="shared" si="18"/>
        <v>0</v>
      </c>
      <c r="K145" s="54">
        <f t="shared" si="18"/>
        <v>963799</v>
      </c>
    </row>
    <row r="146" spans="1:11" ht="18" customHeight="1">
      <c r="A146" s="6" t="s">
        <v>164</v>
      </c>
      <c r="B146" s="5" t="s">
        <v>165</v>
      </c>
      <c r="F146" s="54">
        <f t="shared" ref="F146:K146" si="19">F63</f>
        <v>78794</v>
      </c>
      <c r="G146" s="54">
        <f t="shared" si="19"/>
        <v>21770</v>
      </c>
      <c r="H146" s="54">
        <f t="shared" si="19"/>
        <v>6600002</v>
      </c>
      <c r="I146" s="54">
        <f t="shared" si="19"/>
        <v>2861411</v>
      </c>
      <c r="J146" s="54">
        <f t="shared" si="19"/>
        <v>3500042</v>
      </c>
      <c r="K146" s="54">
        <f t="shared" si="19"/>
        <v>5961371</v>
      </c>
    </row>
    <row r="147" spans="1:11" ht="18" customHeight="1">
      <c r="A147" s="6" t="s">
        <v>166</v>
      </c>
      <c r="B147" s="5" t="s">
        <v>167</v>
      </c>
      <c r="F147" s="54">
        <f t="shared" ref="F147:K147" si="20">F74</f>
        <v>0</v>
      </c>
      <c r="G147" s="54">
        <f t="shared" si="20"/>
        <v>0</v>
      </c>
      <c r="H147" s="54">
        <f t="shared" si="20"/>
        <v>0</v>
      </c>
      <c r="I147" s="54">
        <f t="shared" si="20"/>
        <v>0</v>
      </c>
      <c r="J147" s="54">
        <f t="shared" si="20"/>
        <v>0</v>
      </c>
      <c r="K147" s="54">
        <f t="shared" si="20"/>
        <v>0</v>
      </c>
    </row>
    <row r="148" spans="1:11" ht="18" customHeight="1">
      <c r="A148" s="6" t="s">
        <v>168</v>
      </c>
      <c r="B148" s="5" t="s">
        <v>169</v>
      </c>
      <c r="F148" s="54">
        <f t="shared" ref="F148:K148" si="21">F82</f>
        <v>85</v>
      </c>
      <c r="G148" s="54">
        <f t="shared" si="21"/>
        <v>2401</v>
      </c>
      <c r="H148" s="54">
        <f t="shared" si="21"/>
        <v>10761</v>
      </c>
      <c r="I148" s="54">
        <f t="shared" si="21"/>
        <v>2879</v>
      </c>
      <c r="J148" s="54">
        <f t="shared" si="21"/>
        <v>0</v>
      </c>
      <c r="K148" s="54">
        <f t="shared" si="21"/>
        <v>13640</v>
      </c>
    </row>
    <row r="149" spans="1:11" ht="18" customHeight="1">
      <c r="A149" s="6" t="s">
        <v>170</v>
      </c>
      <c r="B149" s="5" t="s">
        <v>171</v>
      </c>
      <c r="F149" s="54">
        <f t="shared" ref="F149:K149" si="22">F99</f>
        <v>1077</v>
      </c>
      <c r="G149" s="54">
        <f t="shared" si="22"/>
        <v>4480</v>
      </c>
      <c r="H149" s="54">
        <f t="shared" si="22"/>
        <v>59342</v>
      </c>
      <c r="I149" s="54">
        <f t="shared" si="22"/>
        <v>43186.189999999995</v>
      </c>
      <c r="J149" s="54">
        <f t="shared" si="22"/>
        <v>0</v>
      </c>
      <c r="K149" s="54">
        <f t="shared" si="22"/>
        <v>102528.19</v>
      </c>
    </row>
    <row r="150" spans="1:11" ht="18" customHeight="1">
      <c r="A150" s="6" t="s">
        <v>172</v>
      </c>
      <c r="B150" s="5" t="s">
        <v>173</v>
      </c>
      <c r="F150" s="19">
        <f t="shared" ref="F150:K150" si="23">F110</f>
        <v>205</v>
      </c>
      <c r="G150" s="19">
        <f t="shared" si="23"/>
        <v>0</v>
      </c>
      <c r="H150" s="19">
        <f t="shared" si="23"/>
        <v>10236</v>
      </c>
      <c r="I150" s="19">
        <f t="shared" si="23"/>
        <v>7449.26</v>
      </c>
      <c r="J150" s="19">
        <f t="shared" si="23"/>
        <v>0</v>
      </c>
      <c r="K150" s="19">
        <f t="shared" si="23"/>
        <v>17685.260000000002</v>
      </c>
    </row>
    <row r="151" spans="1:11" ht="18" customHeight="1">
      <c r="A151" s="6" t="s">
        <v>174</v>
      </c>
      <c r="B151" s="5" t="s">
        <v>175</v>
      </c>
      <c r="F151" s="55" t="s">
        <v>176</v>
      </c>
      <c r="G151" s="55" t="s">
        <v>176</v>
      </c>
      <c r="H151" s="56" t="s">
        <v>176</v>
      </c>
      <c r="I151" s="56" t="s">
        <v>176</v>
      </c>
      <c r="J151" s="56" t="s">
        <v>176</v>
      </c>
      <c r="K151" s="57">
        <f>F113</f>
        <v>1500565</v>
      </c>
    </row>
    <row r="152" spans="1:11" ht="18" customHeight="1">
      <c r="A152" s="6" t="s">
        <v>147</v>
      </c>
      <c r="B152" s="5" t="s">
        <v>177</v>
      </c>
      <c r="F152" s="19">
        <f t="shared" ref="F152:K152" si="24">F140</f>
        <v>0</v>
      </c>
      <c r="G152" s="19">
        <f t="shared" si="24"/>
        <v>0</v>
      </c>
      <c r="H152" s="19">
        <f t="shared" si="24"/>
        <v>0</v>
      </c>
      <c r="I152" s="19">
        <f t="shared" si="24"/>
        <v>0</v>
      </c>
      <c r="J152" s="19">
        <f t="shared" si="24"/>
        <v>0</v>
      </c>
      <c r="K152" s="19">
        <f t="shared" si="24"/>
        <v>0</v>
      </c>
    </row>
    <row r="153" spans="1:11" ht="18" customHeight="1">
      <c r="B153" s="5"/>
      <c r="F153" s="58"/>
      <c r="G153" s="58"/>
      <c r="H153" s="58"/>
      <c r="I153" s="58"/>
      <c r="J153" s="58"/>
      <c r="K153" s="58"/>
    </row>
    <row r="154" spans="1:11" ht="18" customHeight="1">
      <c r="A154" s="9"/>
      <c r="B154" s="5" t="s">
        <v>159</v>
      </c>
      <c r="F154" s="59">
        <f t="shared" ref="F154:K154" si="25">SUM(F144:F152)</f>
        <v>102153</v>
      </c>
      <c r="G154" s="60">
        <f t="shared" si="25"/>
        <v>53106</v>
      </c>
      <c r="H154" s="60">
        <f t="shared" si="25"/>
        <v>7916517</v>
      </c>
      <c r="I154" s="60">
        <f t="shared" si="25"/>
        <v>3563285.9199999995</v>
      </c>
      <c r="J154" s="60">
        <f t="shared" si="25"/>
        <v>3529559</v>
      </c>
      <c r="K154" s="61">
        <f t="shared" si="25"/>
        <v>9450808.9200000018</v>
      </c>
    </row>
    <row r="156" spans="1:11" ht="18" customHeight="1">
      <c r="B156" s="5" t="s">
        <v>178</v>
      </c>
      <c r="F156" s="62">
        <f>K154/F123</f>
        <v>8.0939282928542675E-2</v>
      </c>
    </row>
    <row r="157" spans="1:11" ht="18" customHeight="1">
      <c r="B157" s="5" t="s">
        <v>179</v>
      </c>
      <c r="F157" s="62">
        <f>K154/F129</f>
        <v>4.3076035320237223</v>
      </c>
      <c r="G157" s="5"/>
    </row>
    <row r="158" spans="1:11" ht="18" customHeight="1">
      <c r="G158" s="5"/>
    </row>
  </sheetData>
  <sheetProtection password="EF72" sheet="1"/>
  <mergeCells count="33">
    <mergeCell ref="B136:D136"/>
    <mergeCell ref="B137:D137"/>
    <mergeCell ref="B138:D138"/>
    <mergeCell ref="B96:D96"/>
    <mergeCell ref="B97:D97"/>
    <mergeCell ref="B104:C104"/>
    <mergeCell ref="B106:D106"/>
    <mergeCell ref="B107:D107"/>
    <mergeCell ref="B108:D108"/>
    <mergeCell ref="B95:D95"/>
    <mergeCell ref="B44:D44"/>
    <mergeCell ref="B45:D45"/>
    <mergeCell ref="B46:D46"/>
    <mergeCell ref="B51:C51"/>
    <mergeCell ref="B52:D52"/>
    <mergeCell ref="B54:D54"/>
    <mergeCell ref="B55:D55"/>
    <mergeCell ref="B56:D56"/>
    <mergeCell ref="B90:C90"/>
    <mergeCell ref="B61:D61"/>
    <mergeCell ref="B39:C39"/>
    <mergeCell ref="B58:D58"/>
    <mergeCell ref="D2:H2"/>
    <mergeCell ref="C5:G5"/>
    <mergeCell ref="C6:G6"/>
    <mergeCell ref="C7:G7"/>
    <mergeCell ref="C9:G9"/>
    <mergeCell ref="C10:G10"/>
    <mergeCell ref="C11:G11"/>
    <mergeCell ref="B13:H13"/>
    <mergeCell ref="B28:D28"/>
    <mergeCell ref="B29:D29"/>
    <mergeCell ref="B32:D32"/>
  </mergeCells>
  <printOptions headings="1" gridLines="1"/>
  <pageMargins left="0.17" right="0.16" top="0.35" bottom="0.32" header="0.17" footer="0.17"/>
  <pageSetup scale="62" fitToHeight="3" orientation="landscape" r:id="rId1"/>
  <headerFooter alignWithMargins="0">
    <oddFooter>&amp;L&amp;Z&amp;F.xls&amp;C&amp;P of &amp;N&amp;R&amp;D</oddFooter>
  </headerFooter>
  <rowBreaks count="4" manualBreakCount="4">
    <brk id="35" max="16383" man="1"/>
    <brk id="74" max="16383" man="1"/>
    <brk id="111" max="16383" man="1"/>
    <brk id="1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C82D22-9FBC-40CB-A954-009C38B6DDC3}"/>
</file>

<file path=customXml/itemProps2.xml><?xml version="1.0" encoding="utf-8"?>
<ds:datastoreItem xmlns:ds="http://schemas.openxmlformats.org/officeDocument/2006/customXml" ds:itemID="{0118C07C-1BF1-4862-B15C-0556E6826AC0}"/>
</file>

<file path=customXml/itemProps3.xml><?xml version="1.0" encoding="utf-8"?>
<ds:datastoreItem xmlns:ds="http://schemas.openxmlformats.org/officeDocument/2006/customXml" ds:itemID="{5FE78497-2382-48D2-A9A8-9D0B34E8C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93</vt:i4>
      </vt:variant>
    </vt:vector>
  </HeadingPairs>
  <TitlesOfParts>
    <vt:vector size="143" baseType="lpstr">
      <vt:lpstr>FY2009Totals</vt:lpstr>
      <vt:lpstr>2009vs2008</vt:lpstr>
      <vt:lpstr>FY2008Totals</vt:lpstr>
      <vt:lpstr>AnneArundel</vt:lpstr>
      <vt:lpstr>AtlanticGeneral</vt:lpstr>
      <vt:lpstr>BaltimoreWash</vt:lpstr>
      <vt:lpstr>BonSecours</vt:lpstr>
      <vt:lpstr>Braddock</vt:lpstr>
      <vt:lpstr>Calvert</vt:lpstr>
      <vt:lpstr>CarrollHospital</vt:lpstr>
      <vt:lpstr>Chester River</vt:lpstr>
      <vt:lpstr>Civista</vt:lpstr>
      <vt:lpstr>CumberlandMemorial</vt:lpstr>
      <vt:lpstr>Doctors</vt:lpstr>
      <vt:lpstr>Shore Health - Dorchester</vt:lpstr>
      <vt:lpstr>Shore Health - Easton</vt:lpstr>
      <vt:lpstr>Franklin Square</vt:lpstr>
      <vt:lpstr>FrederickMem</vt:lpstr>
      <vt:lpstr>Ft.Washington</vt:lpstr>
      <vt:lpstr>Garrett</vt:lpstr>
      <vt:lpstr>GBMC</vt:lpstr>
      <vt:lpstr>Good Samaritan</vt:lpstr>
      <vt:lpstr>Harbor</vt:lpstr>
      <vt:lpstr>HarfordMemorial</vt:lpstr>
      <vt:lpstr>HolyCross</vt:lpstr>
      <vt:lpstr>HowardCounty</vt:lpstr>
      <vt:lpstr>JHBayview</vt:lpstr>
      <vt:lpstr>JohnsHopkins</vt:lpstr>
      <vt:lpstr>Kernan</vt:lpstr>
      <vt:lpstr>Laurel</vt:lpstr>
      <vt:lpstr>MarylandGeneral</vt:lpstr>
      <vt:lpstr>McCready</vt:lpstr>
      <vt:lpstr>Mercy</vt:lpstr>
      <vt:lpstr>Montgomery General</vt:lpstr>
      <vt:lpstr>Northwest</vt:lpstr>
      <vt:lpstr>Peninsula</vt:lpstr>
      <vt:lpstr>PrinceGeorges</vt:lpstr>
      <vt:lpstr>SGAH</vt:lpstr>
      <vt:lpstr>Sinai</vt:lpstr>
      <vt:lpstr>SouthernMD</vt:lpstr>
      <vt:lpstr>St.Agnes</vt:lpstr>
      <vt:lpstr>StJoseph</vt:lpstr>
      <vt:lpstr>StMarys</vt:lpstr>
      <vt:lpstr>Suburban</vt:lpstr>
      <vt:lpstr>UMMC</vt:lpstr>
      <vt:lpstr>UnionHospital</vt:lpstr>
      <vt:lpstr>Union Memorial</vt:lpstr>
      <vt:lpstr>UpperChesapeake</vt:lpstr>
      <vt:lpstr>WAH</vt:lpstr>
      <vt:lpstr>WashingtonCounty</vt:lpstr>
      <vt:lpstr>'2009vs2008'!Print_Area</vt:lpstr>
      <vt:lpstr>AnneArundel!Print_Area</vt:lpstr>
      <vt:lpstr>AtlanticGeneral!Print_Area</vt:lpstr>
      <vt:lpstr>BonSecours!Print_Area</vt:lpstr>
      <vt:lpstr>Braddock!Print_Area</vt:lpstr>
      <vt:lpstr>Calvert!Print_Area</vt:lpstr>
      <vt:lpstr>CarrollHospital!Print_Area</vt:lpstr>
      <vt:lpstr>'Chester River'!Print_Area</vt:lpstr>
      <vt:lpstr>Civista!Print_Area</vt:lpstr>
      <vt:lpstr>CumberlandMemorial!Print_Area</vt:lpstr>
      <vt:lpstr>Doctors!Print_Area</vt:lpstr>
      <vt:lpstr>'Franklin Square'!Print_Area</vt:lpstr>
      <vt:lpstr>FrederickMem!Print_Area</vt:lpstr>
      <vt:lpstr>Ft.Washington!Print_Area</vt:lpstr>
      <vt:lpstr>Garrett!Print_Area</vt:lpstr>
      <vt:lpstr>GBMC!Print_Area</vt:lpstr>
      <vt:lpstr>'Good Samaritan'!Print_Area</vt:lpstr>
      <vt:lpstr>Harbor!Print_Area</vt:lpstr>
      <vt:lpstr>HarfordMemorial!Print_Area</vt:lpstr>
      <vt:lpstr>HolyCross!Print_Area</vt:lpstr>
      <vt:lpstr>HowardCounty!Print_Area</vt:lpstr>
      <vt:lpstr>JohnsHopkins!Print_Area</vt:lpstr>
      <vt:lpstr>Kernan!Print_Area</vt:lpstr>
      <vt:lpstr>Laurel!Print_Area</vt:lpstr>
      <vt:lpstr>MarylandGeneral!Print_Area</vt:lpstr>
      <vt:lpstr>McCready!Print_Area</vt:lpstr>
      <vt:lpstr>Mercy!Print_Area</vt:lpstr>
      <vt:lpstr>'Montgomery General'!Print_Area</vt:lpstr>
      <vt:lpstr>Northwest!Print_Area</vt:lpstr>
      <vt:lpstr>Peninsula!Print_Area</vt:lpstr>
      <vt:lpstr>PrinceGeorges!Print_Area</vt:lpstr>
      <vt:lpstr>SGAH!Print_Area</vt:lpstr>
      <vt:lpstr>'Shore Health - Dorchester'!Print_Area</vt:lpstr>
      <vt:lpstr>'Shore Health - Easton'!Print_Area</vt:lpstr>
      <vt:lpstr>Sinai!Print_Area</vt:lpstr>
      <vt:lpstr>St.Agnes!Print_Area</vt:lpstr>
      <vt:lpstr>StJoseph!Print_Area</vt:lpstr>
      <vt:lpstr>StMarys!Print_Area</vt:lpstr>
      <vt:lpstr>Suburban!Print_Area</vt:lpstr>
      <vt:lpstr>UMMC!Print_Area</vt:lpstr>
      <vt:lpstr>'Union Memorial'!Print_Area</vt:lpstr>
      <vt:lpstr>UnionHospital!Print_Area</vt:lpstr>
      <vt:lpstr>UpperChesapeake!Print_Area</vt:lpstr>
      <vt:lpstr>WAH!Print_Area</vt:lpstr>
      <vt:lpstr>WashingtonCounty!Print_Area</vt:lpstr>
      <vt:lpstr>'2009vs2008'!Print_Titles</vt:lpstr>
      <vt:lpstr>AnneArundel!Print_Titles</vt:lpstr>
      <vt:lpstr>AtlanticGeneral!Print_Titles</vt:lpstr>
      <vt:lpstr>BaltimoreWash!Print_Titles</vt:lpstr>
      <vt:lpstr>BonSecours!Print_Titles</vt:lpstr>
      <vt:lpstr>Braddock!Print_Titles</vt:lpstr>
      <vt:lpstr>Calvert!Print_Titles</vt:lpstr>
      <vt:lpstr>CarrollHospital!Print_Titles</vt:lpstr>
      <vt:lpstr>'Chester River'!Print_Titles</vt:lpstr>
      <vt:lpstr>Civista!Print_Titles</vt:lpstr>
      <vt:lpstr>CumberlandMemorial!Print_Titles</vt:lpstr>
      <vt:lpstr>Doctors!Print_Titles</vt:lpstr>
      <vt:lpstr>'Franklin Square'!Print_Titles</vt:lpstr>
      <vt:lpstr>FrederickMem!Print_Titles</vt:lpstr>
      <vt:lpstr>Ft.Washington!Print_Titles</vt:lpstr>
      <vt:lpstr>Garrett!Print_Titles</vt:lpstr>
      <vt:lpstr>GBMC!Print_Titles</vt:lpstr>
      <vt:lpstr>'Good Samaritan'!Print_Titles</vt:lpstr>
      <vt:lpstr>Harbor!Print_Titles</vt:lpstr>
      <vt:lpstr>HarfordMemorial!Print_Titles</vt:lpstr>
      <vt:lpstr>HolyCross!Print_Titles</vt:lpstr>
      <vt:lpstr>HowardCounty!Print_Titles</vt:lpstr>
      <vt:lpstr>JHBayview!Print_Titles</vt:lpstr>
      <vt:lpstr>JohnsHopkins!Print_Titles</vt:lpstr>
      <vt:lpstr>Kernan!Print_Titles</vt:lpstr>
      <vt:lpstr>Laurel!Print_Titles</vt:lpstr>
      <vt:lpstr>MarylandGeneral!Print_Titles</vt:lpstr>
      <vt:lpstr>McCready!Print_Titles</vt:lpstr>
      <vt:lpstr>Mercy!Print_Titles</vt:lpstr>
      <vt:lpstr>'Montgomery General'!Print_Titles</vt:lpstr>
      <vt:lpstr>Northwest!Print_Titles</vt:lpstr>
      <vt:lpstr>Peninsula!Print_Titles</vt:lpstr>
      <vt:lpstr>PrinceGeorges!Print_Titles</vt:lpstr>
      <vt:lpstr>SGAH!Print_Titles</vt:lpstr>
      <vt:lpstr>'Shore Health - Dorchester'!Print_Titles</vt:lpstr>
      <vt:lpstr>'Shore Health - Easton'!Print_Titles</vt:lpstr>
      <vt:lpstr>Sinai!Print_Titles</vt:lpstr>
      <vt:lpstr>SouthernMD!Print_Titles</vt:lpstr>
      <vt:lpstr>St.Agnes!Print_Titles</vt:lpstr>
      <vt:lpstr>StJoseph!Print_Titles</vt:lpstr>
      <vt:lpstr>StMarys!Print_Titles</vt:lpstr>
      <vt:lpstr>Suburban!Print_Titles</vt:lpstr>
      <vt:lpstr>UMMC!Print_Titles</vt:lpstr>
      <vt:lpstr>'Union Memorial'!Print_Titles</vt:lpstr>
      <vt:lpstr>UnionHospital!Print_Titles</vt:lpstr>
      <vt:lpstr>UpperChesapeake!Print_Titles</vt:lpstr>
      <vt:lpstr>WAH!Print_Titles</vt:lpstr>
      <vt:lpstr>WashingtonCounty!Print_Titles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Greene</dc:creator>
  <cp:lastModifiedBy>greeves</cp:lastModifiedBy>
  <cp:lastPrinted>2010-06-02T21:12:34Z</cp:lastPrinted>
  <dcterms:created xsi:type="dcterms:W3CDTF">2010-03-12T16:54:56Z</dcterms:created>
  <dcterms:modified xsi:type="dcterms:W3CDTF">2010-06-10T15:22:09Z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