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whisnand\Desktop\"/>
    </mc:Choice>
  </mc:AlternateContent>
  <xr:revisionPtr revIDLastSave="0" documentId="8_{9BD04F75-1966-413C-AEB2-3A31D77DDB5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avings" sheetId="2" r:id="rId1"/>
    <sheet name="Hospital PAU Savings" sheetId="7" r:id="rId2"/>
    <sheet name="PAU Performance" sheetId="10" r:id="rId3"/>
    <sheet name="Statewide PAU Revenue" sheetId="8" r:id="rId4"/>
    <sheet name="Sheet1" sheetId="6" state="hidden" r:id="rId5"/>
    <sheet name="change log" sheetId="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'Hospital PAU Savings'!$A$3:$WUK$51</definedName>
    <definedName name="_xlnm._FilterDatabase" localSheetId="4" hidden="1">Sheet1!$A$1:$D$1</definedName>
    <definedName name="_xlnm._FilterDatabase" localSheetId="3" hidden="1">'Statewide PAU Revenue'!$A$2:$WE$2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1">'Hospital PAU Savings'!$A$1:$K$58</definedName>
    <definedName name="_xlnm.Print_Titles" localSheetId="1">'Hospital PAU Savings'!$2:$3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7" l="1"/>
  <c r="J38" i="7" s="1"/>
  <c r="I39" i="7"/>
  <c r="J39" i="7" s="1"/>
  <c r="I40" i="7"/>
  <c r="J40" i="7" s="1"/>
  <c r="J41" i="7"/>
  <c r="J42" i="7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40" i="10"/>
  <c r="F41" i="10"/>
  <c r="F42" i="10"/>
  <c r="F44" i="10"/>
  <c r="F45" i="10"/>
  <c r="F47" i="10"/>
  <c r="F48" i="10"/>
  <c r="F49" i="10"/>
  <c r="F50" i="10"/>
  <c r="F52" i="10"/>
  <c r="F53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40" i="10"/>
  <c r="E41" i="10"/>
  <c r="E42" i="10"/>
  <c r="E44" i="10"/>
  <c r="E45" i="10"/>
  <c r="E46" i="10"/>
  <c r="E47" i="10"/>
  <c r="E48" i="10"/>
  <c r="E49" i="10"/>
  <c r="E50" i="10"/>
  <c r="E51" i="10"/>
  <c r="E52" i="10"/>
  <c r="E53" i="10"/>
  <c r="C32" i="10"/>
  <c r="C33" i="10"/>
  <c r="C34" i="10"/>
  <c r="C35" i="10"/>
  <c r="C36" i="10"/>
  <c r="C37" i="10"/>
  <c r="C38" i="10"/>
  <c r="C40" i="10"/>
  <c r="C41" i="10"/>
  <c r="C42" i="10"/>
  <c r="C44" i="10"/>
  <c r="C45" i="10"/>
  <c r="C46" i="10"/>
  <c r="C47" i="10"/>
  <c r="C48" i="10"/>
  <c r="C49" i="10"/>
  <c r="C50" i="10"/>
  <c r="C51" i="10"/>
  <c r="C52" i="10"/>
  <c r="C53" i="10"/>
  <c r="C5" i="7" l="1"/>
  <c r="C4" i="2" l="1"/>
  <c r="C53" i="7"/>
  <c r="C43" i="7"/>
  <c r="C44" i="7"/>
  <c r="C45" i="7"/>
  <c r="C46" i="7"/>
  <c r="C47" i="7"/>
  <c r="C48" i="7"/>
  <c r="C49" i="7"/>
  <c r="C50" i="7"/>
  <c r="C51" i="7"/>
  <c r="C52" i="7"/>
  <c r="C42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15" i="7"/>
  <c r="J15" i="7" s="1"/>
  <c r="C13" i="7"/>
  <c r="C14" i="7"/>
  <c r="C12" i="7"/>
  <c r="C6" i="7"/>
  <c r="C7" i="7"/>
  <c r="C8" i="7"/>
  <c r="C9" i="7"/>
  <c r="C10" i="7"/>
  <c r="C11" i="7"/>
  <c r="C4" i="7" l="1"/>
  <c r="E6" i="10" l="1"/>
  <c r="E7" i="10"/>
  <c r="E8" i="10"/>
  <c r="E9" i="10"/>
  <c r="E10" i="10"/>
  <c r="E11" i="10"/>
  <c r="E12" i="10"/>
  <c r="E14" i="10"/>
  <c r="E15" i="10"/>
  <c r="E17" i="10"/>
  <c r="E18" i="10"/>
  <c r="E19" i="10"/>
  <c r="E20" i="10"/>
  <c r="E21" i="10"/>
  <c r="E22" i="10"/>
  <c r="E23" i="10"/>
  <c r="E24" i="10"/>
  <c r="E5" i="10"/>
  <c r="D6" i="10"/>
  <c r="D7" i="10"/>
  <c r="D8" i="10"/>
  <c r="D9" i="10"/>
  <c r="D10" i="10"/>
  <c r="D11" i="10"/>
  <c r="D12" i="10"/>
  <c r="D14" i="10"/>
  <c r="D15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40" i="10"/>
  <c r="D41" i="10"/>
  <c r="D42" i="10"/>
  <c r="D44" i="10"/>
  <c r="D45" i="10"/>
  <c r="D46" i="10"/>
  <c r="D47" i="10"/>
  <c r="D48" i="10"/>
  <c r="D49" i="10"/>
  <c r="D50" i="10"/>
  <c r="D51" i="10"/>
  <c r="D52" i="10"/>
  <c r="D53" i="10"/>
  <c r="D5" i="10"/>
  <c r="C6" i="10"/>
  <c r="C7" i="10"/>
  <c r="C8" i="10"/>
  <c r="C9" i="10"/>
  <c r="C10" i="10"/>
  <c r="C11" i="10"/>
  <c r="C12" i="10"/>
  <c r="C14" i="10"/>
  <c r="C15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5" i="10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F49" i="8" s="1"/>
  <c r="E50" i="8"/>
  <c r="E3" i="8"/>
  <c r="D48" i="8"/>
  <c r="D4" i="8"/>
  <c r="D6" i="8"/>
  <c r="D7" i="8"/>
  <c r="D10" i="8"/>
  <c r="D11" i="8"/>
  <c r="D12" i="8"/>
  <c r="D13" i="8"/>
  <c r="D14" i="8"/>
  <c r="D15" i="8"/>
  <c r="D17" i="8"/>
  <c r="D18" i="8"/>
  <c r="D19" i="8"/>
  <c r="D20" i="8"/>
  <c r="D21" i="8"/>
  <c r="D25" i="8"/>
  <c r="D28" i="8"/>
  <c r="D31" i="8"/>
  <c r="D33" i="8"/>
  <c r="D35" i="8"/>
  <c r="D36" i="8"/>
  <c r="D37" i="8"/>
  <c r="D38" i="8"/>
  <c r="D39" i="8"/>
  <c r="D41" i="8"/>
  <c r="D42" i="8"/>
  <c r="D43" i="8"/>
  <c r="D46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50" i="8"/>
  <c r="C3" i="8"/>
  <c r="C3" i="2"/>
  <c r="F27" i="8" l="1"/>
  <c r="F19" i="8"/>
  <c r="F17" i="8"/>
  <c r="F50" i="8"/>
  <c r="F47" i="8"/>
  <c r="F15" i="8"/>
  <c r="F32" i="8"/>
  <c r="F31" i="8"/>
  <c r="F45" i="8"/>
  <c r="F29" i="8"/>
  <c r="F43" i="8"/>
  <c r="F16" i="8"/>
  <c r="F13" i="8"/>
  <c r="F42" i="8"/>
  <c r="F26" i="8"/>
  <c r="F41" i="8"/>
  <c r="F25" i="8"/>
  <c r="F9" i="8"/>
  <c r="H52" i="8"/>
  <c r="F8" i="8"/>
  <c r="F38" i="8"/>
  <c r="F6" i="8"/>
  <c r="F21" i="8"/>
  <c r="F36" i="8"/>
  <c r="F20" i="8"/>
  <c r="F4" i="8"/>
  <c r="F40" i="8"/>
  <c r="F23" i="8"/>
  <c r="E52" i="8"/>
  <c r="F35" i="8"/>
  <c r="D52" i="8"/>
  <c r="D53" i="8" s="1"/>
  <c r="C53" i="8" s="1"/>
  <c r="F12" i="8"/>
  <c r="F24" i="8"/>
  <c r="F39" i="8"/>
  <c r="F22" i="8"/>
  <c r="F37" i="8"/>
  <c r="F5" i="8"/>
  <c r="C52" i="8"/>
  <c r="F34" i="8"/>
  <c r="F18" i="8"/>
  <c r="F28" i="8"/>
  <c r="F11" i="8"/>
  <c r="F46" i="8"/>
  <c r="F30" i="8"/>
  <c r="F14" i="8"/>
  <c r="F44" i="8"/>
  <c r="F7" i="8"/>
  <c r="F33" i="8"/>
  <c r="F48" i="8"/>
  <c r="F10" i="8"/>
  <c r="F3" i="8"/>
  <c r="K52" i="8" l="1"/>
  <c r="J52" i="8"/>
  <c r="F12" i="10"/>
  <c r="F21" i="10"/>
  <c r="F20" i="10"/>
  <c r="F14" i="10"/>
  <c r="F10" i="10"/>
  <c r="F15" i="10"/>
  <c r="F5" i="10"/>
  <c r="F11" i="10"/>
  <c r="F8" i="10"/>
  <c r="F7" i="10"/>
  <c r="F9" i="10"/>
  <c r="F17" i="10"/>
  <c r="F18" i="10"/>
  <c r="F19" i="10"/>
  <c r="F6" i="10"/>
  <c r="F52" i="8"/>
  <c r="I52" i="8" s="1"/>
  <c r="G42" i="8"/>
  <c r="G44" i="8"/>
  <c r="G45" i="8"/>
  <c r="G46" i="8"/>
  <c r="G47" i="8"/>
  <c r="G49" i="8"/>
  <c r="G50" i="8"/>
  <c r="G40" i="8"/>
  <c r="G39" i="8"/>
  <c r="G41" i="8"/>
  <c r="G43" i="8"/>
  <c r="G5" i="8"/>
  <c r="G8" i="8"/>
  <c r="G9" i="8"/>
  <c r="G14" i="8"/>
  <c r="G16" i="8"/>
  <c r="G20" i="8"/>
  <c r="G23" i="8"/>
  <c r="G26" i="8"/>
  <c r="G32" i="8"/>
  <c r="G3" i="8"/>
  <c r="L52" i="8" l="1"/>
  <c r="M52" i="8"/>
  <c r="G33" i="8"/>
  <c r="G15" i="8"/>
  <c r="G10" i="8"/>
  <c r="G19" i="8"/>
  <c r="G6" i="8"/>
  <c r="G22" i="8"/>
  <c r="G11" i="8"/>
  <c r="G25" i="8"/>
  <c r="G21" i="8"/>
  <c r="G18" i="8"/>
  <c r="G17" i="8"/>
  <c r="G27" i="8"/>
  <c r="G12" i="8"/>
  <c r="G13" i="8"/>
  <c r="G7" i="8"/>
  <c r="G38" i="8"/>
  <c r="G36" i="8"/>
  <c r="G37" i="8"/>
  <c r="G48" i="8"/>
  <c r="G4" i="8"/>
  <c r="G35" i="8"/>
  <c r="G34" i="8"/>
  <c r="G31" i="8"/>
  <c r="G30" i="8"/>
  <c r="G29" i="8"/>
  <c r="G28" i="8"/>
  <c r="G24" i="8"/>
  <c r="H15" i="7"/>
  <c r="G52" i="8" l="1"/>
  <c r="C10" i="2" l="1"/>
  <c r="B17" i="2"/>
  <c r="B16" i="2"/>
  <c r="C5" i="2" l="1"/>
  <c r="C6" i="2" s="1"/>
  <c r="B18" i="2"/>
  <c r="C17" i="2" s="1"/>
  <c r="D4" i="7"/>
  <c r="C16" i="2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8" i="2" l="1"/>
  <c r="C11" i="2" l="1"/>
  <c r="C7" i="2"/>
  <c r="C8" i="2" s="1"/>
  <c r="C9" i="2" l="1"/>
  <c r="D17" i="2"/>
  <c r="D16" i="2"/>
  <c r="D18" i="2" s="1"/>
  <c r="C12" i="2" l="1"/>
  <c r="E17" i="2"/>
  <c r="E16" i="2"/>
  <c r="D42" i="7"/>
  <c r="E18" i="2" l="1"/>
  <c r="D39" i="7"/>
  <c r="D10" i="7"/>
  <c r="D45" i="7"/>
  <c r="D50" i="7"/>
  <c r="D37" i="7"/>
  <c r="D27" i="7"/>
  <c r="D34" i="7"/>
  <c r="D22" i="7"/>
  <c r="D53" i="7"/>
  <c r="E4" i="7" s="1"/>
  <c r="F4" i="7" s="1"/>
  <c r="D8" i="7"/>
  <c r="D51" i="7"/>
  <c r="D47" i="7"/>
  <c r="D31" i="7"/>
  <c r="D40" i="7"/>
  <c r="D36" i="7"/>
  <c r="D49" i="7"/>
  <c r="D15" i="7"/>
  <c r="D30" i="7"/>
  <c r="D5" i="7"/>
  <c r="D29" i="7"/>
  <c r="D44" i="7"/>
  <c r="D23" i="7"/>
  <c r="D16" i="7"/>
  <c r="D46" i="7"/>
  <c r="D18" i="7"/>
  <c r="D9" i="7"/>
  <c r="D13" i="7"/>
  <c r="D35" i="7"/>
  <c r="D6" i="7"/>
  <c r="D25" i="7"/>
  <c r="D11" i="7"/>
  <c r="D17" i="7"/>
  <c r="D14" i="7"/>
  <c r="D43" i="7"/>
  <c r="D33" i="7"/>
  <c r="D21" i="7"/>
  <c r="D24" i="7"/>
  <c r="D7" i="7"/>
  <c r="D38" i="7"/>
  <c r="D28" i="7"/>
  <c r="D41" i="7"/>
  <c r="D48" i="7"/>
  <c r="D19" i="7"/>
  <c r="D26" i="7"/>
  <c r="D20" i="7"/>
  <c r="E53" i="7" l="1"/>
  <c r="E42" i="7"/>
  <c r="E41" i="7"/>
  <c r="F41" i="7" s="1"/>
  <c r="E24" i="7"/>
  <c r="F24" i="7" s="1"/>
  <c r="E14" i="7"/>
  <c r="F14" i="7" s="1"/>
  <c r="E6" i="7"/>
  <c r="F6" i="7" s="1"/>
  <c r="E18" i="7"/>
  <c r="F18" i="7" s="1"/>
  <c r="E44" i="7"/>
  <c r="F44" i="7" s="1"/>
  <c r="E15" i="7"/>
  <c r="F15" i="7" s="1"/>
  <c r="E31" i="7"/>
  <c r="F31" i="7" s="1"/>
  <c r="E34" i="7"/>
  <c r="F34" i="7" s="1"/>
  <c r="E45" i="7"/>
  <c r="F45" i="7" s="1"/>
  <c r="E26" i="7"/>
  <c r="F26" i="7" s="1"/>
  <c r="E28" i="7"/>
  <c r="F28" i="7" s="1"/>
  <c r="E21" i="7"/>
  <c r="F21" i="7" s="1"/>
  <c r="E17" i="7"/>
  <c r="F17" i="7" s="1"/>
  <c r="E35" i="7"/>
  <c r="F35" i="7" s="1"/>
  <c r="E46" i="7"/>
  <c r="F46" i="7" s="1"/>
  <c r="E29" i="7"/>
  <c r="F29" i="7" s="1"/>
  <c r="E49" i="7"/>
  <c r="F49" i="7" s="1"/>
  <c r="E47" i="7"/>
  <c r="F47" i="7" s="1"/>
  <c r="D32" i="7"/>
  <c r="E32" i="7" s="1"/>
  <c r="F32" i="7" s="1"/>
  <c r="D12" i="7"/>
  <c r="E27" i="7"/>
  <c r="F27" i="7" s="1"/>
  <c r="E10" i="7"/>
  <c r="F10" i="7" s="1"/>
  <c r="E19" i="7"/>
  <c r="F19" i="7" s="1"/>
  <c r="E38" i="7"/>
  <c r="F38" i="7" s="1"/>
  <c r="E33" i="7"/>
  <c r="F33" i="7" s="1"/>
  <c r="E11" i="7"/>
  <c r="F11" i="7" s="1"/>
  <c r="E13" i="7"/>
  <c r="F13" i="7" s="1"/>
  <c r="E16" i="7"/>
  <c r="F16" i="7" s="1"/>
  <c r="E5" i="7"/>
  <c r="F5" i="7" s="1"/>
  <c r="E36" i="7"/>
  <c r="F36" i="7" s="1"/>
  <c r="E51" i="7"/>
  <c r="F51" i="7" s="1"/>
  <c r="E22" i="7"/>
  <c r="F22" i="7" s="1"/>
  <c r="E37" i="7"/>
  <c r="F37" i="7" s="1"/>
  <c r="E39" i="7"/>
  <c r="F39" i="7" s="1"/>
  <c r="E20" i="7"/>
  <c r="F20" i="7" s="1"/>
  <c r="E48" i="7"/>
  <c r="F48" i="7" s="1"/>
  <c r="E7" i="7"/>
  <c r="F7" i="7" s="1"/>
  <c r="E43" i="7"/>
  <c r="F43" i="7" s="1"/>
  <c r="E25" i="7"/>
  <c r="F25" i="7" s="1"/>
  <c r="E9" i="7"/>
  <c r="F9" i="7" s="1"/>
  <c r="E23" i="7"/>
  <c r="F23" i="7" s="1"/>
  <c r="E30" i="7"/>
  <c r="F30" i="7" s="1"/>
  <c r="E40" i="7"/>
  <c r="F40" i="7" s="1"/>
  <c r="E8" i="7"/>
  <c r="F8" i="7" s="1"/>
  <c r="E50" i="7"/>
  <c r="F50" i="7" s="1"/>
  <c r="E12" i="7" l="1"/>
  <c r="F12" i="7" s="1"/>
  <c r="F53" i="7" s="1"/>
  <c r="G4" i="7" s="1"/>
  <c r="G42" i="7" l="1"/>
  <c r="G45" i="7"/>
  <c r="G50" i="7"/>
  <c r="G49" i="7"/>
  <c r="G46" i="7"/>
  <c r="G47" i="7"/>
  <c r="G51" i="7"/>
  <c r="G44" i="7"/>
  <c r="G43" i="7"/>
  <c r="G48" i="7"/>
  <c r="G7" i="7"/>
  <c r="G10" i="7"/>
  <c r="G34" i="7"/>
  <c r="G13" i="7"/>
  <c r="G17" i="7"/>
  <c r="G16" i="7"/>
  <c r="G39" i="7"/>
  <c r="G6" i="7"/>
  <c r="G29" i="7"/>
  <c r="G27" i="7"/>
  <c r="G14" i="7"/>
  <c r="G30" i="7"/>
  <c r="G31" i="7"/>
  <c r="G38" i="7"/>
  <c r="G37" i="7"/>
  <c r="G35" i="7"/>
  <c r="G41" i="7"/>
  <c r="G19" i="7"/>
  <c r="G33" i="7"/>
  <c r="G23" i="7"/>
  <c r="G15" i="7"/>
  <c r="G11" i="7"/>
  <c r="G20" i="7"/>
  <c r="G12" i="7"/>
  <c r="G28" i="7"/>
  <c r="G25" i="7"/>
  <c r="G22" i="7"/>
  <c r="G24" i="7"/>
  <c r="G5" i="7"/>
  <c r="G21" i="7"/>
  <c r="G26" i="7"/>
  <c r="G36" i="7"/>
  <c r="G40" i="7"/>
  <c r="G8" i="7"/>
  <c r="G32" i="7"/>
  <c r="G18" i="7"/>
  <c r="G9" i="7"/>
  <c r="G53" i="7" l="1"/>
  <c r="H45" i="7" l="1"/>
  <c r="H38" i="7"/>
  <c r="H50" i="7" l="1"/>
  <c r="H32" i="7"/>
  <c r="H48" i="7"/>
  <c r="H14" i="7"/>
  <c r="H27" i="7"/>
  <c r="H33" i="7"/>
  <c r="H11" i="7"/>
  <c r="H43" i="7"/>
  <c r="H41" i="7"/>
  <c r="H25" i="7"/>
  <c r="H9" i="7"/>
  <c r="H40" i="7"/>
  <c r="H24" i="7"/>
  <c r="H8" i="7"/>
  <c r="H39" i="7"/>
  <c r="H7" i="7"/>
  <c r="H6" i="7"/>
  <c r="H36" i="7"/>
  <c r="H49" i="7"/>
  <c r="H31" i="7"/>
  <c r="H30" i="7"/>
  <c r="H46" i="7"/>
  <c r="H13" i="7"/>
  <c r="H28" i="7"/>
  <c r="H44" i="7"/>
  <c r="H26" i="7"/>
  <c r="H23" i="7"/>
  <c r="H19" i="7"/>
  <c r="H17" i="7"/>
  <c r="H16" i="7"/>
  <c r="H47" i="7"/>
  <c r="H29" i="7"/>
  <c r="H12" i="7"/>
  <c r="H10" i="7"/>
  <c r="H22" i="7"/>
  <c r="H37" i="7"/>
  <c r="H21" i="7"/>
  <c r="H5" i="7"/>
  <c r="H20" i="7"/>
  <c r="H4" i="7"/>
  <c r="H35" i="7"/>
  <c r="H51" i="7"/>
  <c r="H34" i="7"/>
  <c r="H18" i="7"/>
  <c r="H53" i="7" l="1"/>
  <c r="I53" i="7" l="1"/>
  <c r="I45" i="7"/>
  <c r="J45" i="7" s="1"/>
  <c r="I5" i="7"/>
  <c r="J5" i="7" s="1"/>
  <c r="I21" i="7"/>
  <c r="J21" i="7" s="1"/>
  <c r="I34" i="7"/>
  <c r="J34" i="7" s="1"/>
  <c r="I48" i="7"/>
  <c r="J48" i="7" s="1"/>
  <c r="I9" i="7"/>
  <c r="J9" i="7" s="1"/>
  <c r="I7" i="7"/>
  <c r="J7" i="7" s="1"/>
  <c r="I36" i="7"/>
  <c r="J36" i="7" s="1"/>
  <c r="I30" i="7"/>
  <c r="J30" i="7" s="1"/>
  <c r="I16" i="7"/>
  <c r="J16" i="7" s="1"/>
  <c r="I13" i="7"/>
  <c r="J13" i="7" s="1"/>
  <c r="I28" i="7"/>
  <c r="J28" i="7" s="1"/>
  <c r="I50" i="7"/>
  <c r="J50" i="7" s="1"/>
  <c r="I41" i="7"/>
  <c r="I18" i="7"/>
  <c r="J18" i="7" s="1"/>
  <c r="I22" i="7"/>
  <c r="J22" i="7" s="1"/>
  <c r="I44" i="7"/>
  <c r="J44" i="7" s="1"/>
  <c r="I26" i="7"/>
  <c r="J26" i="7" s="1"/>
  <c r="I19" i="7"/>
  <c r="J19" i="7" s="1"/>
  <c r="I17" i="7"/>
  <c r="J17" i="7" s="1"/>
  <c r="I14" i="7"/>
  <c r="J14" i="7" s="1"/>
  <c r="I32" i="7"/>
  <c r="J32" i="7" s="1"/>
  <c r="I25" i="7"/>
  <c r="J25" i="7" s="1"/>
  <c r="I10" i="7"/>
  <c r="J10" i="7" s="1"/>
  <c r="I6" i="7"/>
  <c r="J6" i="7" s="1"/>
  <c r="I33" i="7"/>
  <c r="J33" i="7" s="1"/>
  <c r="I35" i="7"/>
  <c r="J35" i="7" s="1"/>
  <c r="I24" i="7"/>
  <c r="J24" i="7" s="1"/>
  <c r="I27" i="7"/>
  <c r="J27" i="7" s="1"/>
  <c r="I49" i="7"/>
  <c r="J49" i="7" s="1"/>
  <c r="I31" i="7"/>
  <c r="J31" i="7" s="1"/>
  <c r="I11" i="7"/>
  <c r="J11" i="7" s="1"/>
  <c r="I29" i="7"/>
  <c r="J29" i="7" s="1"/>
  <c r="I46" i="7"/>
  <c r="J46" i="7" s="1"/>
  <c r="I37" i="7"/>
  <c r="J37" i="7" s="1"/>
  <c r="I8" i="7"/>
  <c r="J8" i="7" s="1"/>
  <c r="I20" i="7"/>
  <c r="J20" i="7" s="1"/>
  <c r="I23" i="7"/>
  <c r="J23" i="7" s="1"/>
  <c r="J12" i="7"/>
  <c r="I4" i="7"/>
  <c r="J4" i="7" s="1"/>
  <c r="I51" i="7"/>
  <c r="J51" i="7" s="1"/>
  <c r="I47" i="7"/>
  <c r="J47" i="7" s="1"/>
  <c r="I43" i="7"/>
  <c r="J43" i="7" s="1"/>
  <c r="J53" i="7" l="1"/>
  <c r="K38" i="7" l="1"/>
  <c r="L38" i="7" s="1"/>
  <c r="K42" i="7"/>
  <c r="L42" i="7" s="1"/>
  <c r="M42" i="7" s="1"/>
  <c r="K41" i="7"/>
  <c r="L41" i="7" s="1"/>
  <c r="K39" i="7"/>
  <c r="L39" i="7" s="1"/>
  <c r="M39" i="7" s="1"/>
  <c r="K40" i="7"/>
  <c r="L40" i="7" s="1"/>
  <c r="K17" i="7"/>
  <c r="L17" i="7" s="1"/>
  <c r="K33" i="7"/>
  <c r="L33" i="7" s="1"/>
  <c r="K49" i="7"/>
  <c r="K21" i="7"/>
  <c r="L21" i="7" s="1"/>
  <c r="K37" i="7"/>
  <c r="L37" i="7" s="1"/>
  <c r="K16" i="7"/>
  <c r="L16" i="7" s="1"/>
  <c r="K5" i="7"/>
  <c r="L5" i="7" s="1"/>
  <c r="K48" i="7"/>
  <c r="K6" i="7"/>
  <c r="K7" i="7"/>
  <c r="L7" i="7" s="1"/>
  <c r="K23" i="7"/>
  <c r="L23" i="7" s="1"/>
  <c r="K8" i="7"/>
  <c r="L8" i="7" s="1"/>
  <c r="M8" i="7" s="1"/>
  <c r="K9" i="7"/>
  <c r="L9" i="7" s="1"/>
  <c r="K25" i="7"/>
  <c r="L25" i="7" s="1"/>
  <c r="M41" i="7"/>
  <c r="K13" i="7"/>
  <c r="L13" i="7" s="1"/>
  <c r="K10" i="7"/>
  <c r="L10" i="7" s="1"/>
  <c r="K26" i="7"/>
  <c r="L26" i="7" s="1"/>
  <c r="K11" i="7"/>
  <c r="L11" i="7" s="1"/>
  <c r="K43" i="7"/>
  <c r="K12" i="7"/>
  <c r="L12" i="7" s="1"/>
  <c r="K32" i="7"/>
  <c r="L32" i="7" s="1"/>
  <c r="K27" i="7"/>
  <c r="L27" i="7" s="1"/>
  <c r="M27" i="7" s="1"/>
  <c r="K28" i="7"/>
  <c r="L28" i="7" s="1"/>
  <c r="M40" i="7"/>
  <c r="K45" i="7"/>
  <c r="K19" i="7"/>
  <c r="L19" i="7" s="1"/>
  <c r="K50" i="7"/>
  <c r="K34" i="7"/>
  <c r="L34" i="7" s="1"/>
  <c r="M34" i="7" s="1"/>
  <c r="K29" i="7"/>
  <c r="L29" i="7" s="1"/>
  <c r="K22" i="7"/>
  <c r="K36" i="7"/>
  <c r="L36" i="7" s="1"/>
  <c r="M36" i="7" s="1"/>
  <c r="K51" i="7"/>
  <c r="K35" i="7"/>
  <c r="L35" i="7" s="1"/>
  <c r="M35" i="7" s="1"/>
  <c r="K18" i="7"/>
  <c r="L18" i="7" s="1"/>
  <c r="M18" i="7" s="1"/>
  <c r="K44" i="7"/>
  <c r="K31" i="7"/>
  <c r="L31" i="7" s="1"/>
  <c r="M31" i="7" s="1"/>
  <c r="K24" i="7"/>
  <c r="L24" i="7" s="1"/>
  <c r="K47" i="7"/>
  <c r="K15" i="7"/>
  <c r="L15" i="7" s="1"/>
  <c r="K46" i="7"/>
  <c r="K20" i="7"/>
  <c r="L20" i="7" s="1"/>
  <c r="K14" i="7"/>
  <c r="L14" i="7" s="1"/>
  <c r="K30" i="7"/>
  <c r="L30" i="7" s="1"/>
  <c r="K4" i="7"/>
  <c r="L4" i="7" s="1"/>
  <c r="M4" i="7" s="1"/>
  <c r="L22" i="7"/>
  <c r="L50" i="7" l="1"/>
  <c r="M50" i="7" s="1"/>
  <c r="L48" i="7"/>
  <c r="M48" i="7" s="1"/>
  <c r="L45" i="7"/>
  <c r="M45" i="7" s="1"/>
  <c r="L47" i="7"/>
  <c r="M47" i="7" s="1"/>
  <c r="L49" i="7"/>
  <c r="M49" i="7" s="1"/>
  <c r="L51" i="7"/>
  <c r="M51" i="7" s="1"/>
  <c r="L46" i="7"/>
  <c r="M46" i="7" s="1"/>
  <c r="L43" i="7"/>
  <c r="M43" i="7" s="1"/>
  <c r="L44" i="7"/>
  <c r="M44" i="7" s="1"/>
  <c r="L6" i="7"/>
  <c r="M6" i="7" s="1"/>
  <c r="M32" i="7"/>
  <c r="M16" i="7"/>
  <c r="M29" i="7"/>
  <c r="M24" i="7"/>
  <c r="M22" i="7"/>
  <c r="M37" i="7"/>
  <c r="M10" i="7"/>
  <c r="M26" i="7"/>
  <c r="M17" i="7"/>
  <c r="M7" i="7"/>
  <c r="M23" i="7"/>
  <c r="M19" i="7"/>
  <c r="M25" i="7"/>
  <c r="M21" i="7"/>
  <c r="M33" i="7"/>
  <c r="M9" i="7"/>
  <c r="M13" i="7"/>
  <c r="M30" i="7"/>
  <c r="M28" i="7"/>
  <c r="M5" i="7"/>
  <c r="M14" i="7"/>
  <c r="M11" i="7"/>
  <c r="M20" i="7"/>
  <c r="K53" i="7"/>
  <c r="L53" i="7" l="1"/>
  <c r="M53" i="7" s="1"/>
</calcChain>
</file>

<file path=xl/sharedStrings.xml><?xml version="1.0" encoding="utf-8"?>
<sst xmlns="http://schemas.openxmlformats.org/spreadsheetml/2006/main" count="305" uniqueCount="212">
  <si>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</si>
  <si>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</si>
  <si>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</si>
  <si>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</si>
  <si>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</si>
  <si>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</si>
  <si>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</si>
  <si>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</si>
  <si>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</si>
  <si>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</si>
  <si>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</si>
  <si>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</si>
  <si>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</si>
  <si>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</si>
  <si>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</si>
  <si>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</si>
  <si>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</si>
  <si>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</si>
  <si>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</si>
  <si>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</si>
  <si>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</si>
  <si>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</si>
  <si>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</si>
  <si>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</si>
  <si>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</si>
  <si>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</si>
  <si>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</si>
  <si>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</si>
  <si>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</si>
  <si>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</si>
  <si>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</si>
  <si>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</si>
  <si>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</si>
  <si>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</si>
  <si>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</si>
  <si>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</si>
  <si>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</si>
  <si>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</si>
  <si>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</si>
  <si>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</si>
  <si>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</si>
  <si>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</si>
  <si>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</si>
  <si>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</si>
  <si>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</si>
  <si>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</si>
  <si>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</si>
  <si>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</si>
  <si>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</si>
  <si>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</si>
  <si>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</si>
  <si>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</si>
  <si>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</si>
  <si>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</si>
  <si>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</si>
  <si>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</si>
  <si>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</si>
  <si>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</si>
  <si>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</si>
  <si>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</si>
  <si>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</si>
  <si>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</si>
  <si>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</si>
  <si>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</si>
  <si>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</si>
  <si>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</si>
  <si>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>Total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</si>
  <si>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</si>
  <si>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</si>
  <si>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</si>
  <si>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</si>
  <si>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</si>
  <si>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</si>
  <si>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</si>
  <si>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</si>
  <si>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</si>
  <si>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</si>
  <si>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</si>
  <si>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</si>
  <si>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</si>
  <si>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</si>
  <si>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</si>
  <si>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</si>
  <si>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</si>
  <si>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</si>
  <si>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</si>
  <si>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</si>
  <si>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</si>
  <si>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</si>
  <si>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</si>
  <si>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</si>
  <si>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</si>
  <si>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</si>
  <si>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</si>
  <si>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</si>
  <si>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</si>
  <si>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</si>
  <si>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</si>
  <si>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</si>
  <si>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</si>
  <si>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</si>
  <si>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</si>
  <si>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</si>
  <si>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</si>
  <si>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</si>
  <si>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</si>
  <si>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</si>
  <si>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</si>
  <si>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</si>
  <si>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</si>
  <si>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</si>
  <si>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</si>
  <si>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</si>
  <si>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</si>
  <si>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</si>
  <si>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</si>
  <si>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</si>
  <si>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</si>
  <si>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</si>
  <si>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</si>
  <si>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</si>
  <si>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</si>
  <si>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</si>
  <si>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</si>
  <si>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</si>
  <si>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</si>
  <si>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</si>
  <si>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</si>
  <si>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</si>
  <si>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</si>
  <si>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</si>
  <si>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</si>
  <si>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</si>
  <si>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</si>
  <si>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</si>
  <si>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</si>
  <si>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</si>
  <si>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</si>
  <si>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</si>
  <si>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</si>
  <si>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</si>
  <si>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</si>
  <si>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</si>
  <si>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</si>
  <si>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</si>
  <si>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</si>
  <si>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</si>
  <si>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</si>
  <si>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</si>
  <si>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</si>
  <si>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</si>
  <si>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</si>
  <si>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</si>
  <si>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PQIs Charges</t>
  </si>
  <si>
    <t>non PQI or PDI Readmission Charges</t>
  </si>
  <si>
    <t>pdi charges</t>
  </si>
  <si>
    <t>PAU Readmissions Adjustment %</t>
  </si>
  <si>
    <t>PQI and PDI charges</t>
  </si>
  <si>
    <t>PAU reduction %</t>
  </si>
  <si>
    <t>PAU reduction $</t>
  </si>
  <si>
    <t>Avoidable Admissions Reduction</t>
  </si>
  <si>
    <t>Avoidable Admission Adjustment $</t>
  </si>
  <si>
    <t>Avoidable Admissions Adjustment $(Normalized)</t>
  </si>
  <si>
    <t>G = F*A</t>
  </si>
  <si>
    <t>H</t>
  </si>
  <si>
    <t>I=A*H</t>
  </si>
  <si>
    <t>J = G/I</t>
  </si>
  <si>
    <t>F = round(E,4)</t>
  </si>
  <si>
    <t>Laurel</t>
  </si>
  <si>
    <t>% PQIPDI</t>
  </si>
  <si>
    <t>% Readmit</t>
  </si>
  <si>
    <t>UM-PG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</si>
  <si>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</si>
  <si>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</si>
  <si>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</si>
  <si>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</si>
  <si>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</si>
  <si>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</si>
  <si>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</si>
  <si>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</si>
  <si>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</si>
  <si>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</si>
  <si>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</si>
  <si>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</si>
  <si>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</si>
  <si>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</si>
  <si>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</si>
  <si>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</si>
  <si>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</si>
  <si>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</si>
  <si>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</si>
  <si>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</si>
  <si>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</si>
  <si>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</si>
  <si>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</si>
  <si>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</si>
  <si>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>Adjusted proposed required revenue reduction % (Rounded)</t>
  </si>
  <si>
    <t>Required Percent Reduction PAU</t>
  </si>
  <si>
    <t>McCready*</t>
  </si>
  <si>
    <t>Footnotes:</t>
  </si>
  <si>
    <t>PAU Revenue*</t>
  </si>
  <si>
    <t xml:space="preserve">* McCready revenue reductions have been incorporated under 210019 - Peninsula Regional </t>
  </si>
  <si>
    <t>Updated 4/18/23</t>
  </si>
  <si>
    <t>RY2024; CY2022 PAU Performance</t>
  </si>
  <si>
    <t>Estimated non PQI RYTD2024 Readmission Performance %</t>
  </si>
  <si>
    <t xml:space="preserve"> RY23 Permanent Total Revenue</t>
  </si>
  <si>
    <t>CY22 Avoidable Admissions Performance</t>
  </si>
  <si>
    <t xml:space="preserve">CY22 Readmissions % </t>
  </si>
  <si>
    <r>
      <rPr>
        <b/>
        <sz val="12"/>
        <color theme="1"/>
        <rFont val="Calibri"/>
        <family val="2"/>
        <scheme val="minor"/>
      </rPr>
      <t>RY23</t>
    </r>
    <r>
      <rPr>
        <sz val="12"/>
        <color theme="1"/>
        <rFont val="Calibri"/>
        <family val="2"/>
        <scheme val="minor"/>
      </rPr>
      <t xml:space="preserve"> Total Approved Permanent Revenue</t>
    </r>
  </si>
  <si>
    <r>
      <t xml:space="preserve">Total experienced PAU </t>
    </r>
    <r>
      <rPr>
        <b/>
        <sz val="12"/>
        <color theme="1"/>
        <rFont val="Calibri"/>
        <family val="2"/>
        <scheme val="minor"/>
      </rPr>
      <t>$ CY 2022</t>
    </r>
  </si>
  <si>
    <t>RY2024 PAU Savings Reductions</t>
  </si>
  <si>
    <t>RY24 Inflation Factor + Demographic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</si>
</sst>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0%"/>
    <numFmt numFmtId="167" formatCode="0.000%"/>
    <numFmt numFmtId="168" formatCode="0.0000%"/>
    <numFmt numFmtId="169" formatCode="&quot;$&quot;#,##0.00"/>
    <numFmt numFmtId="170" formatCode="_(* #,##0_);_(* \(#,##0\);_(* &quot;-&quot;??_);_(@_)"/>
    <numFmt numFmtId="171" formatCode="0.0%"/>
    <numFmt numFmtId="172" formatCode="0.0"/>
    <numFmt numFmtId="173" formatCode="0.0000000%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0" fontId="0" fillId="0" borderId="0" xfId="2" applyNumberFormat="1" applyFont="1"/>
    <xf numFmtId="167" fontId="0" fillId="0" borderId="0" xfId="2" applyNumberFormat="1" applyFont="1"/>
    <xf numFmtId="0" fontId="8" fillId="0" borderId="0" xfId="0" applyFont="1"/>
    <xf numFmtId="0" fontId="11" fillId="0" borderId="0" xfId="0" applyFont="1"/>
    <xf numFmtId="8" fontId="0" fillId="0" borderId="0" xfId="0" applyNumberFormat="1"/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5" fillId="0" borderId="0" xfId="0" applyNumberFormat="1" applyFont="1"/>
    <xf numFmtId="168" fontId="15" fillId="0" borderId="0" xfId="2" applyNumberFormat="1" applyFont="1" applyAlignment="1">
      <alignment horizontal="right"/>
    </xf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64" fontId="9" fillId="0" borderId="4" xfId="0" applyNumberFormat="1" applyFont="1" applyBorder="1" applyAlignment="1">
      <alignment horizontal="right"/>
    </xf>
    <xf numFmtId="10" fontId="8" fillId="0" borderId="4" xfId="3" applyNumberFormat="1" applyFont="1" applyFill="1" applyBorder="1" applyAlignment="1">
      <alignment horizontal="right"/>
    </xf>
    <xf numFmtId="10" fontId="9" fillId="4" borderId="4" xfId="2" applyNumberFormat="1" applyFont="1" applyFill="1" applyBorder="1" applyAlignment="1">
      <alignment horizontal="right"/>
    </xf>
    <xf numFmtId="0" fontId="17" fillId="0" borderId="2" xfId="0" applyFont="1" applyBorder="1"/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20" fillId="5" borderId="2" xfId="0" applyFont="1" applyFill="1" applyBorder="1"/>
    <xf numFmtId="0" fontId="8" fillId="0" borderId="2" xfId="0" applyFont="1" applyBorder="1" applyAlignment="1">
      <alignment wrapText="1"/>
    </xf>
    <xf numFmtId="0" fontId="6" fillId="3" borderId="2" xfId="0" applyFont="1" applyFill="1" applyBorder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6" fontId="7" fillId="0" borderId="2" xfId="2" applyNumberFormat="1" applyFont="1" applyBorder="1" applyAlignment="1">
      <alignment vertical="center"/>
    </xf>
    <xf numFmtId="164" fontId="7" fillId="0" borderId="2" xfId="1" applyNumberFormat="1" applyFont="1" applyBorder="1"/>
    <xf numFmtId="3" fontId="23" fillId="0" borderId="2" xfId="0" applyNumberFormat="1" applyFont="1" applyBorder="1"/>
    <xf numFmtId="0" fontId="7" fillId="0" borderId="0" xfId="0" applyFont="1"/>
    <xf numFmtId="0" fontId="6" fillId="3" borderId="2" xfId="0" applyFont="1" applyFill="1" applyBorder="1" applyAlignment="1">
      <alignment horizontal="right"/>
    </xf>
    <xf numFmtId="0" fontId="6" fillId="0" borderId="2" xfId="0" applyFont="1" applyBorder="1"/>
    <xf numFmtId="169" fontId="0" fillId="0" borderId="0" xfId="4" applyNumberFormat="1" applyFont="1"/>
    <xf numFmtId="170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4" fontId="0" fillId="0" borderId="0" xfId="1" applyFont="1"/>
    <xf numFmtId="0" fontId="0" fillId="6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5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5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169" fontId="15" fillId="0" borderId="0" xfId="0" applyNumberFormat="1" applyFont="1" applyAlignment="1">
      <alignment horizontal="right"/>
    </xf>
    <xf numFmtId="43" fontId="0" fillId="0" borderId="0" xfId="4" applyFont="1"/>
    <xf numFmtId="167" fontId="24" fillId="0" borderId="0" xfId="2" applyNumberFormat="1" applyFont="1"/>
    <xf numFmtId="0" fontId="24" fillId="0" borderId="0" xfId="0" applyFont="1"/>
    <xf numFmtId="170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Alignment="1">
      <alignment wrapText="1"/>
    </xf>
    <xf numFmtId="10" fontId="15" fillId="0" borderId="2" xfId="2" applyNumberFormat="1" applyFont="1" applyBorder="1"/>
    <xf numFmtId="172" fontId="9" fillId="0" borderId="4" xfId="0" applyNumberFormat="1" applyFont="1" applyBorder="1" applyAlignment="1">
      <alignment horizontal="right"/>
    </xf>
    <xf numFmtId="173" fontId="6" fillId="0" borderId="2" xfId="0" applyNumberFormat="1" applyFont="1" applyBorder="1"/>
    <xf numFmtId="10" fontId="7" fillId="0" borderId="2" xfId="0" applyNumberFormat="1" applyFont="1" applyBorder="1"/>
    <xf numFmtId="10" fontId="6" fillId="0" borderId="2" xfId="0" applyNumberFormat="1" applyFont="1" applyBorder="1"/>
    <xf numFmtId="165" fontId="0" fillId="0" borderId="2" xfId="1" applyNumberFormat="1" applyFont="1" applyBorder="1"/>
    <xf numFmtId="10" fontId="15" fillId="0" borderId="2" xfId="0" applyNumberFormat="1" applyFont="1" applyBorder="1"/>
    <xf numFmtId="0" fontId="18" fillId="8" borderId="2" xfId="0" applyFont="1" applyFill="1" applyBorder="1" applyAlignment="1">
      <alignment wrapText="1"/>
    </xf>
    <xf numFmtId="164" fontId="19" fillId="8" borderId="2" xfId="0" applyNumberFormat="1" applyFont="1" applyFill="1" applyBorder="1" applyAlignment="1">
      <alignment horizontal="right" wrapText="1"/>
    </xf>
    <xf numFmtId="164" fontId="19" fillId="8" borderId="2" xfId="4" applyNumberFormat="1" applyFont="1" applyFill="1" applyBorder="1" applyAlignment="1">
      <alignment horizontal="right" wrapText="1"/>
    </xf>
    <xf numFmtId="10" fontId="14" fillId="8" borderId="2" xfId="2" applyNumberFormat="1" applyFont="1" applyFill="1" applyBorder="1"/>
    <xf numFmtId="164" fontId="15" fillId="0" borderId="0" xfId="4" applyNumberFormat="1" applyFont="1" applyBorder="1" applyAlignment="1">
      <alignment wrapText="1"/>
    </xf>
    <xf numFmtId="172" fontId="5" fillId="9" borderId="4" xfId="0" applyNumberFormat="1" applyFont="1" applyFill="1" applyBorder="1" applyAlignment="1">
      <alignment horizontal="right"/>
    </xf>
    <xf numFmtId="10" fontId="20" fillId="9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9" borderId="2" xfId="0" applyNumberFormat="1" applyFont="1" applyFill="1" applyBorder="1" applyAlignment="1">
      <alignment horizontal="right" wrapText="1"/>
    </xf>
    <xf numFmtId="10" fontId="20" fillId="9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0" fillId="9" borderId="2" xfId="0" applyFill="1" applyBorder="1"/>
    <xf numFmtId="165" fontId="0" fillId="9" borderId="2" xfId="1" applyNumberFormat="1" applyFont="1" applyFill="1" applyBorder="1"/>
    <xf numFmtId="2" fontId="0" fillId="0" borderId="2" xfId="0" applyNumberFormat="1" applyBorder="1"/>
    <xf numFmtId="171" fontId="15" fillId="0" borderId="0" xfId="2" applyNumberFormat="1" applyFont="1" applyAlignment="1">
      <alignment horizontal="right"/>
    </xf>
    <xf numFmtId="165" fontId="0" fillId="0" borderId="2" xfId="0" applyNumberFormat="1" applyBorder="1"/>
    <xf numFmtId="2" fontId="0" fillId="0" borderId="2" xfId="2" applyNumberFormat="1" applyFont="1" applyBorder="1"/>
    <xf numFmtId="167" fontId="8" fillId="0" borderId="0" xfId="2" applyNumberFormat="1" applyFont="1" applyFill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0" fillId="0" borderId="4" xfId="0" applyBorder="1"/>
    <xf numFmtId="0" fontId="24" fillId="0" borderId="6" xfId="0" applyFont="1" applyBorder="1" applyAlignment="1">
      <alignment wrapText="1"/>
    </xf>
    <xf numFmtId="171" fontId="24" fillId="7" borderId="3" xfId="2" applyNumberFormat="1" applyFont="1" applyFill="1" applyBorder="1"/>
    <xf numFmtId="10" fontId="24" fillId="7" borderId="3" xfId="2" applyNumberFormat="1" applyFont="1" applyFill="1" applyBorder="1"/>
    <xf numFmtId="10" fontId="0" fillId="6" borderId="3" xfId="2" applyNumberFormat="1" applyFont="1" applyFill="1" applyBorder="1"/>
    <xf numFmtId="171" fontId="0" fillId="5" borderId="0" xfId="2" applyNumberFormat="1" applyFont="1" applyFill="1" applyBorder="1"/>
    <xf numFmtId="0" fontId="0" fillId="5" borderId="0" xfId="0" applyFill="1"/>
    <xf numFmtId="171" fontId="0" fillId="0" borderId="2" xfId="2" applyNumberFormat="1" applyFont="1" applyFill="1" applyBorder="1"/>
    <xf numFmtId="168" fontId="15" fillId="0" borderId="0" xfId="0" applyNumberFormat="1" applyFont="1"/>
    <xf numFmtId="10" fontId="24" fillId="0" borderId="2" xfId="2" applyNumberFormat="1" applyFont="1" applyBorder="1"/>
    <xf numFmtId="2" fontId="24" fillId="0" borderId="2" xfId="2" applyNumberFormat="1" applyFont="1" applyBorder="1"/>
    <xf numFmtId="2" fontId="24" fillId="0" borderId="2" xfId="0" applyNumberFormat="1" applyFont="1" applyBorder="1"/>
    <xf numFmtId="0" fontId="2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10" fontId="23" fillId="0" borderId="2" xfId="2" applyNumberFormat="1" applyFont="1" applyFill="1" applyBorder="1"/>
    <xf numFmtId="2" fontId="0" fillId="0" borderId="0" xfId="0" applyNumberFormat="1"/>
    <xf numFmtId="164" fontId="5" fillId="9" borderId="4" xfId="0" applyNumberFormat="1" applyFont="1" applyFill="1" applyBorder="1" applyAlignment="1">
      <alignment horizontal="right"/>
    </xf>
    <xf numFmtId="44" fontId="0" fillId="0" borderId="0" xfId="1" applyFont="1" applyFill="1"/>
    <xf numFmtId="0" fontId="17" fillId="0" borderId="0" xfId="0" applyFont="1"/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 xr:uid="{00000000-0005-0000-0000-000004000000}"/>
  </cellStyles>
  <dxfs count="0"/>
  <tableStyles count="1" defaultTableStyle="TableStyleMedium2" defaultPivotStyle="PivotStyleLight16">
    <tableStyle name="Invisible" pivot="0" table="0" count="0" xr9:uid="{EA0B83DD-6BBD-42CB-A1EE-1ACBC08827B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hscrc-sas/methodology/CPBM/Quality/SCALING/RY%202018/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PAU\FY23%20Revenue%20as%20of%204.18.xlsx" TargetMode="External"/><Relationship Id="rId1" Type="http://schemas.openxmlformats.org/officeDocument/2006/relationships/externalLinkPath" Target="file:///X:\ScratchDr\PRUE\PAU\FY23%20Revenue%20as%20of%204.1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kindo\Downloads\CY22_Dec_Final_WITH_COVID_PAU_Savings_Performance_RY24.xlsx" TargetMode="External"/><Relationship Id="rId1" Type="http://schemas.openxmlformats.org/officeDocument/2006/relationships/externalLinkPath" Target="/Users/pakindo/Downloads/CY22_Dec_Final_WITH_COVID_PAU_Savings_Performance_RY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djustment%20Methodologies\GBR\PAU\PAU_Summary_RY24_V38_CY22-01_to_CY22-12_created_2023_03_30.xlsx" TargetMode="External"/><Relationship Id="rId1" Type="http://schemas.openxmlformats.org/officeDocument/2006/relationships/externalLinkPath" Target="file:///Z:\Adjustment%20Methodologies\GBR\PAU\PAU_Summary_RY24_V38_CY22-01_to_CY22-12_created_2023_03_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PAU%20Modeling\Population%20and%20PQI%20by%20Hospital%20Age%20and%20G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QBR Modeling Resul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B5">
            <v>210001</v>
          </cell>
          <cell r="C5" t="str">
            <v>Meritus</v>
          </cell>
          <cell r="D5">
            <v>421661744.18061715</v>
          </cell>
          <cell r="E5">
            <v>16693192.144067846</v>
          </cell>
          <cell r="F5">
            <v>438354936.32468492</v>
          </cell>
          <cell r="H5">
            <v>420865801.99274206</v>
          </cell>
          <cell r="I5">
            <v>16664454.762290198</v>
          </cell>
          <cell r="J5">
            <v>437530256.75503224</v>
          </cell>
          <cell r="L5"/>
          <cell r="M5"/>
          <cell r="N5"/>
          <cell r="P5">
            <v>424049570.74424231</v>
          </cell>
          <cell r="Q5">
            <v>16779404.289400782</v>
          </cell>
          <cell r="R5">
            <v>440828975.03364307</v>
          </cell>
        </row>
        <row r="6">
          <cell r="B6">
            <v>210002</v>
          </cell>
          <cell r="C6" t="str">
            <v>UMMC</v>
          </cell>
          <cell r="D6">
            <v>1779677291.4616661</v>
          </cell>
          <cell r="E6">
            <v>69703484.51815483</v>
          </cell>
          <cell r="F6">
            <v>1849380775.979821</v>
          </cell>
          <cell r="H6">
            <v>1776618102.4147725</v>
          </cell>
          <cell r="I6">
            <v>69600712.055296466</v>
          </cell>
          <cell r="J6">
            <v>1846218814.4700689</v>
          </cell>
          <cell r="L6"/>
          <cell r="M6"/>
          <cell r="N6"/>
          <cell r="O6">
            <v>2044937624.2980065</v>
          </cell>
          <cell r="P6">
            <v>1788854858.6023471</v>
          </cell>
          <cell r="Q6">
            <v>70011801.906729966</v>
          </cell>
          <cell r="R6">
            <v>1858866660.5090771</v>
          </cell>
        </row>
        <row r="7">
          <cell r="B7">
            <v>210003</v>
          </cell>
          <cell r="C7" t="str">
            <v>UM-Capital Region</v>
          </cell>
          <cell r="D7">
            <v>370224092.54272175</v>
          </cell>
          <cell r="E7">
            <v>22144779.046376139</v>
          </cell>
          <cell r="F7">
            <v>392368871.58909786</v>
          </cell>
          <cell r="H7">
            <v>369584945.67792779</v>
          </cell>
          <cell r="I7">
            <v>22121396.436897103</v>
          </cell>
          <cell r="J7">
            <v>391706342.11482489</v>
          </cell>
          <cell r="L7"/>
          <cell r="M7"/>
          <cell r="N7"/>
          <cell r="P7">
            <v>372141533.13710356</v>
          </cell>
          <cell r="Q7">
            <v>22214926.874813255</v>
          </cell>
          <cell r="R7">
            <v>394356460.01191682</v>
          </cell>
        </row>
        <row r="8">
          <cell r="B8">
            <v>210004</v>
          </cell>
          <cell r="C8" t="str">
            <v>Holy Cross</v>
          </cell>
          <cell r="D8">
            <v>558843224.71110594</v>
          </cell>
          <cell r="E8">
            <v>15276542.557233289</v>
          </cell>
          <cell r="F8">
            <v>574119767.26833928</v>
          </cell>
          <cell r="H8">
            <v>557979104.93753886</v>
          </cell>
          <cell r="I8">
            <v>15248161.426763432</v>
          </cell>
          <cell r="J8">
            <v>573227266.36430228</v>
          </cell>
          <cell r="L8"/>
          <cell r="M8"/>
          <cell r="N8"/>
          <cell r="P8">
            <v>561435584.0318073</v>
          </cell>
          <cell r="Q8">
            <v>15361685.948642857</v>
          </cell>
          <cell r="R8">
            <v>576797269.98045015</v>
          </cell>
        </row>
        <row r="9">
          <cell r="B9">
            <v>210005</v>
          </cell>
          <cell r="C9" t="str">
            <v>Frederick</v>
          </cell>
          <cell r="D9">
            <v>398476068.72041667</v>
          </cell>
          <cell r="E9">
            <v>13289425.267904684</v>
          </cell>
          <cell r="F9">
            <v>411765493.9883213</v>
          </cell>
          <cell r="H9">
            <v>397815669.91120517</v>
          </cell>
          <cell r="I9">
            <v>13268347.166476177</v>
          </cell>
          <cell r="J9">
            <v>411084017.07768136</v>
          </cell>
          <cell r="L9"/>
          <cell r="M9"/>
          <cell r="N9"/>
          <cell r="P9">
            <v>400457265.1480509</v>
          </cell>
          <cell r="Q9">
            <v>13352659.572190201</v>
          </cell>
          <cell r="R9">
            <v>413809924.72024113</v>
          </cell>
        </row>
        <row r="10">
          <cell r="B10">
            <v>210006</v>
          </cell>
          <cell r="C10" t="str">
            <v>UM-Harford</v>
          </cell>
          <cell r="D10">
            <v>115209291.09067604</v>
          </cell>
          <cell r="E10">
            <v>6835628.2563664345</v>
          </cell>
          <cell r="F10">
            <v>122044919.34704247</v>
          </cell>
          <cell r="H10">
            <v>114998768.47525932</v>
          </cell>
          <cell r="I10">
            <v>6829011.6762799202</v>
          </cell>
          <cell r="J10">
            <v>121827780.15153924</v>
          </cell>
          <cell r="L10"/>
          <cell r="M10"/>
          <cell r="N10"/>
          <cell r="P10">
            <v>115840858.93692619</v>
          </cell>
          <cell r="Q10">
            <v>6855477.9966259804</v>
          </cell>
          <cell r="R10">
            <v>122696336.93355216</v>
          </cell>
        </row>
        <row r="11">
          <cell r="B11">
            <v>210008</v>
          </cell>
          <cell r="C11" t="str">
            <v>Mercy</v>
          </cell>
          <cell r="D11">
            <v>634811521.23546934</v>
          </cell>
          <cell r="E11">
            <v>19799832.362243176</v>
          </cell>
          <cell r="F11">
            <v>654611353.59771252</v>
          </cell>
          <cell r="H11">
            <v>633825424.52292049</v>
          </cell>
          <cell r="I11">
            <v>19769870.234679408</v>
          </cell>
          <cell r="J11">
            <v>653595294.75759995</v>
          </cell>
          <cell r="L11"/>
          <cell r="M11"/>
          <cell r="N11"/>
          <cell r="P11">
            <v>637769811.37311566</v>
          </cell>
          <cell r="Q11">
            <v>19889718.744934473</v>
          </cell>
          <cell r="R11">
            <v>657659530.1180501</v>
          </cell>
        </row>
        <row r="12">
          <cell r="B12">
            <v>210009</v>
          </cell>
          <cell r="C12" t="str">
            <v>Johns Hopkins</v>
          </cell>
          <cell r="D12">
            <v>2813796047.6582875</v>
          </cell>
          <cell r="E12">
            <v>91022207.528268531</v>
          </cell>
          <cell r="F12">
            <v>2904818255.1865559</v>
          </cell>
          <cell r="H12">
            <v>2809846672.3972068</v>
          </cell>
          <cell r="I12">
            <v>90888530.745315239</v>
          </cell>
          <cell r="J12">
            <v>2900735203.1425219</v>
          </cell>
          <cell r="L12"/>
          <cell r="M12"/>
          <cell r="N12"/>
          <cell r="P12">
            <v>2825644173.4415298</v>
          </cell>
          <cell r="Q12">
            <v>91423237.877128392</v>
          </cell>
          <cell r="R12">
            <v>2917067411.3186584</v>
          </cell>
        </row>
        <row r="13">
          <cell r="B13">
            <v>210010</v>
          </cell>
          <cell r="C13" t="str">
            <v>UM-Cambridge</v>
          </cell>
          <cell r="D13">
            <v>17349140.830316901</v>
          </cell>
          <cell r="E13">
            <v>471639.58019542624</v>
          </cell>
          <cell r="F13">
            <v>17820780.410512328</v>
          </cell>
          <cell r="H13">
            <v>17313970.766786646</v>
          </cell>
          <cell r="I13">
            <v>470135.194627463</v>
          </cell>
          <cell r="J13">
            <v>17784105.96141411</v>
          </cell>
          <cell r="L13"/>
          <cell r="M13"/>
          <cell r="N13"/>
          <cell r="P13">
            <v>17454651.020907674</v>
          </cell>
          <cell r="Q13">
            <v>476152.73689931608</v>
          </cell>
          <cell r="R13">
            <v>17930803.75780699</v>
          </cell>
        </row>
        <row r="14">
          <cell r="B14">
            <v>210011</v>
          </cell>
          <cell r="C14" t="str">
            <v>St Agnes</v>
          </cell>
          <cell r="D14">
            <v>475110392.06307197</v>
          </cell>
          <cell r="E14">
            <v>39200134.828531623</v>
          </cell>
          <cell r="F14">
            <v>514310526.89160353</v>
          </cell>
          <cell r="H14">
            <v>474201695.95543897</v>
          </cell>
          <cell r="I14">
            <v>39165996.679273628</v>
          </cell>
          <cell r="J14">
            <v>513367692.63471258</v>
          </cell>
          <cell r="L14"/>
          <cell r="M14"/>
          <cell r="N14"/>
          <cell r="P14">
            <v>477836480.38597089</v>
          </cell>
          <cell r="Q14">
            <v>39302549.276305631</v>
          </cell>
          <cell r="R14">
            <v>517139029.66227651</v>
          </cell>
        </row>
        <row r="15">
          <cell r="B15">
            <v>210012</v>
          </cell>
          <cell r="C15" t="str">
            <v>Sinai</v>
          </cell>
          <cell r="D15">
            <v>917177774.94870198</v>
          </cell>
          <cell r="E15">
            <v>34139336.637862287</v>
          </cell>
          <cell r="F15">
            <v>951317111.5865643</v>
          </cell>
          <cell r="H15">
            <v>915393269.61662757</v>
          </cell>
          <cell r="I15">
            <v>34081334.742843591</v>
          </cell>
          <cell r="J15">
            <v>949474604.3594712</v>
          </cell>
          <cell r="L15"/>
          <cell r="M15"/>
          <cell r="N15"/>
          <cell r="P15">
            <v>922531290.94492531</v>
          </cell>
          <cell r="Q15">
            <v>34313342.322918385</v>
          </cell>
          <cell r="R15">
            <v>956844633.26784372</v>
          </cell>
        </row>
        <row r="16">
          <cell r="B16">
            <v>210013</v>
          </cell>
          <cell r="C16" t="str">
            <v>Grace Medical Center</v>
          </cell>
          <cell r="D16">
            <v>32381272.326935433</v>
          </cell>
          <cell r="E16">
            <v>2342916.1753805629</v>
          </cell>
          <cell r="F16">
            <v>34724188.502315998</v>
          </cell>
          <cell r="H16">
            <v>32295250.157412723</v>
          </cell>
          <cell r="I16">
            <v>2340679.3217337676</v>
          </cell>
          <cell r="J16">
            <v>34635929.479146488</v>
          </cell>
          <cell r="L16"/>
          <cell r="M16"/>
          <cell r="N16"/>
          <cell r="P16">
            <v>32639338.835503571</v>
          </cell>
          <cell r="Q16">
            <v>2349626.7363209478</v>
          </cell>
          <cell r="R16">
            <v>34988965.571824521</v>
          </cell>
        </row>
        <row r="17">
          <cell r="B17">
            <v>210015</v>
          </cell>
          <cell r="C17" t="str">
            <v>MedStar Franklin Sq</v>
          </cell>
          <cell r="D17">
            <v>616701279.29069257</v>
          </cell>
          <cell r="E17">
            <v>19687938.849219263</v>
          </cell>
          <cell r="F17">
            <v>636389218.13991189</v>
          </cell>
          <cell r="H17">
            <v>615500856.84857225</v>
          </cell>
          <cell r="I17">
            <v>19648349.125530802</v>
          </cell>
          <cell r="J17">
            <v>635149205.97410309</v>
          </cell>
          <cell r="L17"/>
          <cell r="M17"/>
          <cell r="N17"/>
          <cell r="P17">
            <v>620302546.61705399</v>
          </cell>
          <cell r="Q17">
            <v>19806708.020284638</v>
          </cell>
          <cell r="R17">
            <v>640109254.63733864</v>
          </cell>
        </row>
        <row r="18">
          <cell r="B18">
            <v>210016</v>
          </cell>
          <cell r="C18" t="str">
            <v>Adventist White Oak</v>
          </cell>
          <cell r="D18">
            <v>339639317.13266611</v>
          </cell>
          <cell r="E18">
            <v>5856881.8475552853</v>
          </cell>
          <cell r="F18">
            <v>345496198.98022145</v>
          </cell>
          <cell r="H18">
            <v>338992888.47372377</v>
          </cell>
          <cell r="I18">
            <v>5837695.5637841579</v>
          </cell>
          <cell r="J18">
            <v>344830584.03750795</v>
          </cell>
          <cell r="L18"/>
          <cell r="M18"/>
          <cell r="N18"/>
          <cell r="P18">
            <v>341578603.1094932</v>
          </cell>
          <cell r="Q18">
            <v>5914440.6988686658</v>
          </cell>
          <cell r="R18">
            <v>347493043.80836189</v>
          </cell>
        </row>
        <row r="19">
          <cell r="B19">
            <v>210017</v>
          </cell>
          <cell r="C19" t="str">
            <v>Garrett</v>
          </cell>
          <cell r="D19">
            <v>76569121.733022854</v>
          </cell>
          <cell r="E19">
            <v>4985057.0449581649</v>
          </cell>
          <cell r="F19">
            <v>81554178.777981013</v>
          </cell>
          <cell r="H19">
            <v>76428157.923025846</v>
          </cell>
          <cell r="I19">
            <v>4979249.768078736</v>
          </cell>
          <cell r="J19">
            <v>81407407.691104576</v>
          </cell>
          <cell r="L19"/>
          <cell r="M19"/>
          <cell r="N19"/>
          <cell r="P19">
            <v>76992013.16301389</v>
          </cell>
          <cell r="Q19">
            <v>5002478.8755964497</v>
          </cell>
          <cell r="R19">
            <v>81994492.038610339</v>
          </cell>
        </row>
        <row r="20">
          <cell r="B20">
            <v>210018</v>
          </cell>
          <cell r="C20" t="str">
            <v>MedStar Montgomery</v>
          </cell>
          <cell r="D20">
            <v>201602210.04965353</v>
          </cell>
          <cell r="E20">
            <v>6386102.1497803405</v>
          </cell>
          <cell r="F20">
            <v>207988312.19943389</v>
          </cell>
          <cell r="H20">
            <v>201248315.08581385</v>
          </cell>
          <cell r="I20">
            <v>6374123.1267720787</v>
          </cell>
          <cell r="J20">
            <v>207622438.21258593</v>
          </cell>
          <cell r="L20"/>
          <cell r="M20"/>
          <cell r="N20"/>
          <cell r="P20">
            <v>202663894.9411726</v>
          </cell>
          <cell r="Q20">
            <v>6422039.2188051278</v>
          </cell>
          <cell r="R20">
            <v>209085934.15997773</v>
          </cell>
        </row>
        <row r="21">
          <cell r="B21">
            <v>210019</v>
          </cell>
          <cell r="C21" t="str">
            <v>Peninsula</v>
          </cell>
          <cell r="D21">
            <v>531985897.66243404</v>
          </cell>
          <cell r="E21">
            <v>19072404.991068672</v>
          </cell>
          <cell r="F21">
            <v>544210043.8456887</v>
          </cell>
          <cell r="H21">
            <v>530927095.53596252</v>
          </cell>
          <cell r="I21">
            <v>19037401.6506822</v>
          </cell>
          <cell r="J21">
            <v>543116238.37883067</v>
          </cell>
          <cell r="L21"/>
          <cell r="M21"/>
          <cell r="N21"/>
          <cell r="P21">
            <v>535162304.0418486</v>
          </cell>
          <cell r="Q21">
            <v>19177415.01222809</v>
          </cell>
          <cell r="R21">
            <v>547491460.24626267</v>
          </cell>
        </row>
        <row r="22">
          <cell r="B22">
            <v>210022</v>
          </cell>
          <cell r="C22" t="str">
            <v>Suburban</v>
          </cell>
          <cell r="D22">
            <v>393349724.71260893</v>
          </cell>
          <cell r="E22">
            <v>12133586.520234073</v>
          </cell>
          <cell r="F22">
            <v>405483311.23284298</v>
          </cell>
          <cell r="H22">
            <v>392783362.3864097</v>
          </cell>
          <cell r="I22">
            <v>12115077.858502151</v>
          </cell>
          <cell r="J22">
            <v>404898440.24491185</v>
          </cell>
          <cell r="L22"/>
          <cell r="M22"/>
          <cell r="N22"/>
          <cell r="P22">
            <v>395048811.69120657</v>
          </cell>
          <cell r="Q22">
            <v>12189112.505429834</v>
          </cell>
          <cell r="R22">
            <v>407237924.19663644</v>
          </cell>
        </row>
        <row r="23">
          <cell r="B23">
            <v>210023</v>
          </cell>
          <cell r="C23" t="str">
            <v>Anne Arundel</v>
          </cell>
          <cell r="D23">
            <v>726950967.30422676</v>
          </cell>
          <cell r="E23">
            <v>21899621.894687042</v>
          </cell>
          <cell r="F23">
            <v>748850589.19891369</v>
          </cell>
          <cell r="H23">
            <v>725866351.46013999</v>
          </cell>
          <cell r="I23">
            <v>21867574.90987603</v>
          </cell>
          <cell r="J23">
            <v>747733926.37001598</v>
          </cell>
          <cell r="L23"/>
          <cell r="M23"/>
          <cell r="N23"/>
          <cell r="P23">
            <v>730204814.8364867</v>
          </cell>
          <cell r="Q23">
            <v>21995762.849120084</v>
          </cell>
          <cell r="R23">
            <v>752200577.68560684</v>
          </cell>
        </row>
        <row r="24">
          <cell r="B24">
            <v>210024</v>
          </cell>
          <cell r="C24" t="str">
            <v>MedStar Union</v>
          </cell>
          <cell r="D24">
            <v>475560895.95683461</v>
          </cell>
          <cell r="E24">
            <v>8277370.0942535549</v>
          </cell>
          <cell r="F24">
            <v>483838266.05108815</v>
          </cell>
          <cell r="H24">
            <v>474621996.34913552</v>
          </cell>
          <cell r="I24">
            <v>8249854.703476904</v>
          </cell>
          <cell r="J24">
            <v>482871851.05261242</v>
          </cell>
          <cell r="L24"/>
          <cell r="M24"/>
          <cell r="N24"/>
          <cell r="P24">
            <v>478377594.77993202</v>
          </cell>
          <cell r="Q24">
            <v>8359916.2665835079</v>
          </cell>
          <cell r="R24">
            <v>486737511.04651552</v>
          </cell>
        </row>
        <row r="25">
          <cell r="B25">
            <v>210027</v>
          </cell>
          <cell r="C25" t="str">
            <v>Western MD</v>
          </cell>
          <cell r="D25">
            <v>364528201.19913942</v>
          </cell>
          <cell r="E25">
            <v>10687049.279929301</v>
          </cell>
          <cell r="F25">
            <v>375215250.4790687</v>
          </cell>
          <cell r="H25">
            <v>363750647.35723126</v>
          </cell>
          <cell r="I25">
            <v>10660572.076028911</v>
          </cell>
          <cell r="J25">
            <v>374411219.43326014</v>
          </cell>
          <cell r="L25"/>
          <cell r="M25"/>
          <cell r="N25"/>
          <cell r="P25">
            <v>366860862.72486395</v>
          </cell>
          <cell r="Q25">
            <v>10766480.891630465</v>
          </cell>
          <cell r="R25">
            <v>377627343.61649442</v>
          </cell>
        </row>
        <row r="26">
          <cell r="B26">
            <v>210028</v>
          </cell>
          <cell r="C26" t="str">
            <v>MedStar St Mary's</v>
          </cell>
          <cell r="D26">
            <v>211586691.46248516</v>
          </cell>
          <cell r="E26">
            <v>4998609.5443507675</v>
          </cell>
          <cell r="F26">
            <v>216585301.00683591</v>
          </cell>
          <cell r="H26">
            <v>211232301.01978973</v>
          </cell>
          <cell r="I26">
            <v>4986845.5410192478</v>
          </cell>
          <cell r="J26">
            <v>216219146.56080899</v>
          </cell>
          <cell r="L26"/>
          <cell r="M26"/>
          <cell r="N26"/>
          <cell r="P26">
            <v>212649862.79057142</v>
          </cell>
          <cell r="Q26">
            <v>5033901.5543453265</v>
          </cell>
          <cell r="R26">
            <v>217683764.34491676</v>
          </cell>
        </row>
        <row r="27">
          <cell r="B27">
            <v>210029</v>
          </cell>
          <cell r="C27" t="str">
            <v>JH - Bayview</v>
          </cell>
          <cell r="D27">
            <v>763110893.73712587</v>
          </cell>
          <cell r="E27">
            <v>22369329.856595512</v>
          </cell>
          <cell r="F27">
            <v>785480223.59372139</v>
          </cell>
          <cell r="H27">
            <v>761770188.92584622</v>
          </cell>
          <cell r="I27">
            <v>22324441.367042612</v>
          </cell>
          <cell r="J27">
            <v>784094630.29288888</v>
          </cell>
          <cell r="L27"/>
          <cell r="M27"/>
          <cell r="N27"/>
          <cell r="P27">
            <v>767133008.17096496</v>
          </cell>
          <cell r="Q27">
            <v>22503995.325254224</v>
          </cell>
          <cell r="R27">
            <v>789637003.49621916</v>
          </cell>
        </row>
        <row r="28">
          <cell r="B28">
            <v>210030</v>
          </cell>
          <cell r="C28" t="str">
            <v>UM-Chestertown</v>
          </cell>
          <cell r="D28">
            <v>55618102.900246233</v>
          </cell>
          <cell r="E28">
            <v>2161178.3867106466</v>
          </cell>
          <cell r="F28">
            <v>57779281.286956869</v>
          </cell>
          <cell r="H28">
            <v>55505355.210367769</v>
          </cell>
          <cell r="I28">
            <v>2157988.1438757069</v>
          </cell>
          <cell r="J28">
            <v>57663343.354243472</v>
          </cell>
          <cell r="L28"/>
          <cell r="M28"/>
          <cell r="N28"/>
          <cell r="P28">
            <v>55956345.969881617</v>
          </cell>
          <cell r="Q28">
            <v>2170749.115215465</v>
          </cell>
          <cell r="R28">
            <v>58127095.085097082</v>
          </cell>
        </row>
        <row r="29">
          <cell r="B29">
            <v>210032</v>
          </cell>
          <cell r="C29" t="str">
            <v>ChristianaCare, Union</v>
          </cell>
          <cell r="D29">
            <v>186105163.81210539</v>
          </cell>
          <cell r="E29">
            <v>1532140.4675587197</v>
          </cell>
          <cell r="F29">
            <v>187637304.2796641</v>
          </cell>
          <cell r="H29">
            <v>185762557.09697405</v>
          </cell>
          <cell r="I29">
            <v>1522921.6776759031</v>
          </cell>
          <cell r="J29">
            <v>187285478.77464995</v>
          </cell>
          <cell r="L29"/>
          <cell r="M29"/>
          <cell r="N29"/>
          <cell r="P29">
            <v>187132983.95749941</v>
          </cell>
          <cell r="Q29">
            <v>1559796.837207169</v>
          </cell>
          <cell r="R29">
            <v>188692780.79470658</v>
          </cell>
        </row>
        <row r="30">
          <cell r="B30">
            <v>210033</v>
          </cell>
          <cell r="C30" t="str">
            <v>Carroll</v>
          </cell>
          <cell r="D30">
            <v>257090437.52332383</v>
          </cell>
          <cell r="E30">
            <v>9634606.4049393497</v>
          </cell>
          <cell r="F30">
            <v>266725043.92826325</v>
          </cell>
          <cell r="H30">
            <v>256633131.6034596</v>
          </cell>
          <cell r="I30">
            <v>9620225.586037159</v>
          </cell>
          <cell r="J30">
            <v>266253357.18949676</v>
          </cell>
          <cell r="L30"/>
          <cell r="M30"/>
          <cell r="N30"/>
          <cell r="P30">
            <v>258462355.28291667</v>
          </cell>
          <cell r="Q30">
            <v>9677748.8616459239</v>
          </cell>
          <cell r="R30">
            <v>268140104.1445626</v>
          </cell>
        </row>
        <row r="31">
          <cell r="B31">
            <v>210034</v>
          </cell>
          <cell r="C31" t="str">
            <v>MedStar Harbor</v>
          </cell>
          <cell r="D31">
            <v>204087355.96722841</v>
          </cell>
          <cell r="E31">
            <v>6105715.5458054999</v>
          </cell>
          <cell r="F31">
            <v>210193071.51303387</v>
          </cell>
          <cell r="H31">
            <v>203661284.51908654</v>
          </cell>
          <cell r="I31">
            <v>6092871.2800041484</v>
          </cell>
          <cell r="J31">
            <v>209754155.79909068</v>
          </cell>
          <cell r="L31"/>
          <cell r="M31"/>
          <cell r="N31"/>
          <cell r="P31">
            <v>205365570.31165394</v>
          </cell>
          <cell r="Q31">
            <v>6144248.3432095544</v>
          </cell>
          <cell r="R31">
            <v>211509818.65486351</v>
          </cell>
        </row>
        <row r="32">
          <cell r="B32">
            <v>210035</v>
          </cell>
          <cell r="C32" t="str">
            <v>UM-Charles Regional</v>
          </cell>
          <cell r="D32">
            <v>175486171.40982154</v>
          </cell>
          <cell r="E32">
            <v>4793500.0414523361</v>
          </cell>
          <cell r="F32">
            <v>180279671.45127386</v>
          </cell>
          <cell r="H32">
            <v>175184776.96922964</v>
          </cell>
          <cell r="I32">
            <v>4783806.1316155232</v>
          </cell>
          <cell r="J32">
            <v>179968583.10084516</v>
          </cell>
          <cell r="L32"/>
          <cell r="M32"/>
          <cell r="N32"/>
          <cell r="P32">
            <v>176390354.73159721</v>
          </cell>
          <cell r="Q32">
            <v>4822581.7709627775</v>
          </cell>
          <cell r="R32">
            <v>181212936.50255999</v>
          </cell>
        </row>
        <row r="33">
          <cell r="B33">
            <v>210037</v>
          </cell>
          <cell r="C33" t="str">
            <v>UM-Easton</v>
          </cell>
          <cell r="D33">
            <v>269914308.93686557</v>
          </cell>
          <cell r="E33">
            <v>17631679.655192159</v>
          </cell>
          <cell r="F33">
            <v>287545988.5920577</v>
          </cell>
          <cell r="H33">
            <v>269363662.10944426</v>
          </cell>
          <cell r="I33">
            <v>17613905.083089869</v>
          </cell>
          <cell r="J33">
            <v>286977567.19253415</v>
          </cell>
          <cell r="L33"/>
          <cell r="M33"/>
          <cell r="N33"/>
          <cell r="P33">
            <v>271566249.41912937</v>
          </cell>
          <cell r="Q33">
            <v>17685003.371499024</v>
          </cell>
          <cell r="R33">
            <v>289251252.79062837</v>
          </cell>
        </row>
        <row r="34">
          <cell r="B34">
            <v>210038</v>
          </cell>
          <cell r="C34" t="str">
            <v>UM-Midtown</v>
          </cell>
          <cell r="D34">
            <v>258266009.62021285</v>
          </cell>
          <cell r="E34">
            <v>9346394.8685080353</v>
          </cell>
          <cell r="F34">
            <v>267612404.48872089</v>
          </cell>
          <cell r="H34">
            <v>257723363.53615591</v>
          </cell>
          <cell r="I34">
            <v>9329435.5775080863</v>
          </cell>
          <cell r="J34">
            <v>267052799.113664</v>
          </cell>
          <cell r="L34"/>
          <cell r="M34"/>
          <cell r="N34"/>
          <cell r="P34">
            <v>259893947.87238368</v>
          </cell>
          <cell r="Q34">
            <v>9397272.7415078785</v>
          </cell>
          <cell r="R34">
            <v>269291220.61389154</v>
          </cell>
        </row>
        <row r="35">
          <cell r="B35">
            <v>210039</v>
          </cell>
          <cell r="C35" t="str">
            <v>Calvert</v>
          </cell>
          <cell r="D35">
            <v>172251699.12970829</v>
          </cell>
          <cell r="E35">
            <v>3370177.5228482662</v>
          </cell>
          <cell r="F35">
            <v>175621876.65255654</v>
          </cell>
          <cell r="H35">
            <v>171920809.51511279</v>
          </cell>
          <cell r="I35">
            <v>3359986.1428522328</v>
          </cell>
          <cell r="J35">
            <v>175280795.65796503</v>
          </cell>
          <cell r="L35"/>
          <cell r="M35"/>
          <cell r="N35"/>
          <cell r="P35">
            <v>173244367.97349474</v>
          </cell>
          <cell r="Q35">
            <v>3400751.6628363682</v>
          </cell>
          <cell r="R35">
            <v>176645119.63633111</v>
          </cell>
        </row>
        <row r="36">
          <cell r="B36">
            <v>210040</v>
          </cell>
          <cell r="C36" t="str">
            <v>Northwest</v>
          </cell>
          <cell r="D36">
            <v>295078274.16015285</v>
          </cell>
          <cell r="E36">
            <v>16495109.601398094</v>
          </cell>
          <cell r="F36">
            <v>311573383.76155096</v>
          </cell>
          <cell r="H36">
            <v>294509718.51910508</v>
          </cell>
          <cell r="I36">
            <v>16477100.776070796</v>
          </cell>
          <cell r="J36">
            <v>310986819.29517585</v>
          </cell>
          <cell r="L36"/>
          <cell r="M36"/>
          <cell r="N36"/>
          <cell r="P36">
            <v>296783941.08329624</v>
          </cell>
          <cell r="Q36">
            <v>16549136.077379987</v>
          </cell>
          <cell r="R36">
            <v>313333077.16067624</v>
          </cell>
        </row>
        <row r="37">
          <cell r="B37">
            <v>210043</v>
          </cell>
          <cell r="C37" t="str">
            <v>UM-BWMC</v>
          </cell>
          <cell r="D37">
            <v>493283987.34700054</v>
          </cell>
          <cell r="E37">
            <v>18620916.130909789</v>
          </cell>
          <cell r="F37">
            <v>511904903.47791034</v>
          </cell>
          <cell r="H37">
            <v>492391138.35941482</v>
          </cell>
          <cell r="I37">
            <v>18592627.983213659</v>
          </cell>
          <cell r="J37">
            <v>510983766.34262848</v>
          </cell>
          <cell r="L37"/>
          <cell r="M37"/>
          <cell r="N37"/>
          <cell r="P37">
            <v>495962534.30975765</v>
          </cell>
          <cell r="Q37">
            <v>18705780.573998176</v>
          </cell>
          <cell r="R37">
            <v>514668314.8837558</v>
          </cell>
        </row>
        <row r="38">
          <cell r="B38">
            <v>210044</v>
          </cell>
          <cell r="C38" t="str">
            <v>GBMC</v>
          </cell>
          <cell r="D38">
            <v>473157484.55216885</v>
          </cell>
          <cell r="E38">
            <v>23524635.9196047</v>
          </cell>
          <cell r="F38">
            <v>496682120.47177356</v>
          </cell>
          <cell r="H38">
            <v>472464871.93527389</v>
          </cell>
          <cell r="I38">
            <v>23501391.194312837</v>
          </cell>
          <cell r="J38">
            <v>495966263.1295867</v>
          </cell>
          <cell r="L38"/>
          <cell r="M38"/>
          <cell r="N38"/>
          <cell r="P38">
            <v>475235322.40285361</v>
          </cell>
          <cell r="Q38">
            <v>23594370.095480297</v>
          </cell>
          <cell r="R38">
            <v>498829692.49833393</v>
          </cell>
        </row>
        <row r="39">
          <cell r="B39">
            <v>210045</v>
          </cell>
          <cell r="C39" t="str">
            <v>McCready</v>
          </cell>
          <cell r="D39">
            <v>0</v>
          </cell>
          <cell r="E39">
            <v>0</v>
          </cell>
          <cell r="F39">
            <v>7942064.2746717632</v>
          </cell>
          <cell r="H39">
            <v>0</v>
          </cell>
          <cell r="I39">
            <v>0</v>
          </cell>
          <cell r="J39">
            <v>6848258.8078137636</v>
          </cell>
          <cell r="L39"/>
          <cell r="M39"/>
          <cell r="N39"/>
          <cell r="P39">
            <v>0</v>
          </cell>
          <cell r="Q39">
            <v>0</v>
          </cell>
          <cell r="R39">
            <v>11223480.675245762</v>
          </cell>
        </row>
        <row r="40">
          <cell r="B40">
            <v>210048</v>
          </cell>
          <cell r="C40" t="str">
            <v>Howard County</v>
          </cell>
          <cell r="D40">
            <v>343831223.41375554</v>
          </cell>
          <cell r="E40">
            <v>10965432.974176822</v>
          </cell>
          <cell r="F40">
            <v>354796656.38793242</v>
          </cell>
          <cell r="H40">
            <v>343377578.40199685</v>
          </cell>
          <cell r="I40">
            <v>10950033.467460219</v>
          </cell>
          <cell r="J40">
            <v>354327611.86945707</v>
          </cell>
          <cell r="L40"/>
          <cell r="M40"/>
          <cell r="N40"/>
          <cell r="P40">
            <v>345192158.44903171</v>
          </cell>
          <cell r="Q40">
            <v>11011631.494326634</v>
          </cell>
          <cell r="R40">
            <v>356203789.94335836</v>
          </cell>
        </row>
        <row r="41">
          <cell r="B41">
            <v>210049</v>
          </cell>
          <cell r="C41" t="str">
            <v>UM-Upper Chesapeake</v>
          </cell>
          <cell r="D41">
            <v>357928579.30024767</v>
          </cell>
          <cell r="E41">
            <v>6511381.3111970844</v>
          </cell>
          <cell r="F41">
            <v>364439960.61144477</v>
          </cell>
          <cell r="H41">
            <v>357314210.3067801</v>
          </cell>
          <cell r="I41">
            <v>6492929.3064842019</v>
          </cell>
          <cell r="J41">
            <v>363807139.61326432</v>
          </cell>
          <cell r="L41"/>
          <cell r="M41"/>
          <cell r="N41"/>
          <cell r="P41">
            <v>359771686.28065044</v>
          </cell>
          <cell r="Q41">
            <v>6566737.3253357336</v>
          </cell>
          <cell r="R41">
            <v>366338423.60598618</v>
          </cell>
        </row>
        <row r="42">
          <cell r="B42">
            <v>210051</v>
          </cell>
          <cell r="C42" t="str">
            <v>Doctors</v>
          </cell>
          <cell r="D42">
            <v>283086871.21093714</v>
          </cell>
          <cell r="E42">
            <v>24982099.803979706</v>
          </cell>
          <cell r="F42">
            <v>308068971.01491684</v>
          </cell>
          <cell r="H42">
            <v>282574528.71081626</v>
          </cell>
          <cell r="I42">
            <v>24964975.807725731</v>
          </cell>
          <cell r="J42">
            <v>307539504.51854199</v>
          </cell>
          <cell r="L42"/>
          <cell r="M42"/>
          <cell r="N42"/>
          <cell r="P42">
            <v>284623898.71129984</v>
          </cell>
          <cell r="Q42">
            <v>25033471.79274163</v>
          </cell>
          <cell r="R42">
            <v>309657370.50404149</v>
          </cell>
        </row>
        <row r="43">
          <cell r="B43">
            <v>210055</v>
          </cell>
          <cell r="C43" t="str">
            <v>UM-Laurel</v>
          </cell>
          <cell r="D43">
            <v>39936125.513118193</v>
          </cell>
          <cell r="E43">
            <v>2076365.9566780874</v>
          </cell>
          <cell r="F43">
            <v>42012491.469796278</v>
          </cell>
          <cell r="H43">
            <v>39873626.049324363</v>
          </cell>
          <cell r="I43">
            <v>2073906.3456706288</v>
          </cell>
          <cell r="J43">
            <v>41947532.394994989</v>
          </cell>
          <cell r="L43"/>
          <cell r="M43"/>
          <cell r="N43"/>
          <cell r="P43">
            <v>40123623.90449968</v>
          </cell>
          <cell r="Q43">
            <v>2083744.789700462</v>
          </cell>
          <cell r="R43">
            <v>42207368.694200143</v>
          </cell>
        </row>
        <row r="44">
          <cell r="B44">
            <v>210056</v>
          </cell>
          <cell r="C44" t="str">
            <v>MedStar Good Sam</v>
          </cell>
          <cell r="D44">
            <v>300421706.40537781</v>
          </cell>
          <cell r="E44">
            <v>7477140.5149031449</v>
          </cell>
          <cell r="F44">
            <v>307898846.92028099</v>
          </cell>
          <cell r="H44">
            <v>299755741.39379269</v>
          </cell>
          <cell r="I44">
            <v>7457413.9654845344</v>
          </cell>
          <cell r="J44">
            <v>307213155.35927725</v>
          </cell>
          <cell r="L44"/>
          <cell r="M44"/>
          <cell r="N44"/>
          <cell r="P44">
            <v>302419601.44013321</v>
          </cell>
          <cell r="Q44">
            <v>7536320.1631589755</v>
          </cell>
          <cell r="R44">
            <v>309955921.60329217</v>
          </cell>
        </row>
        <row r="45">
          <cell r="B45">
            <v>210057</v>
          </cell>
          <cell r="C45" t="str">
            <v>Shady Grove</v>
          </cell>
          <cell r="D45">
            <v>500842691.56374174</v>
          </cell>
          <cell r="E45">
            <v>16263836.253008014</v>
          </cell>
          <cell r="F45">
            <v>517106527.81674981</v>
          </cell>
          <cell r="H45">
            <v>500049172.33017439</v>
          </cell>
          <cell r="I45">
            <v>16238971.381478274</v>
          </cell>
          <cell r="J45">
            <v>516288143.71165264</v>
          </cell>
          <cell r="L45"/>
          <cell r="M45"/>
          <cell r="N45"/>
          <cell r="P45">
            <v>503223249.26444393</v>
          </cell>
          <cell r="Q45">
            <v>16338430.867597235</v>
          </cell>
          <cell r="R45">
            <v>519561680.13204116</v>
          </cell>
        </row>
        <row r="46">
          <cell r="B46">
            <v>210058</v>
          </cell>
          <cell r="C46" t="str">
            <v>UMROI</v>
          </cell>
          <cell r="D46">
            <v>134792913.84626359</v>
          </cell>
          <cell r="E46">
            <v>8296021.948790608</v>
          </cell>
          <cell r="F46">
            <v>143088935.7950542</v>
          </cell>
          <cell r="H46">
            <v>134574770.99348456</v>
          </cell>
          <cell r="I46">
            <v>8289218.3714264296</v>
          </cell>
          <cell r="J46">
            <v>142863989.36491099</v>
          </cell>
          <cell r="L46"/>
          <cell r="M46"/>
          <cell r="N46"/>
          <cell r="P46">
            <v>135447342.40460068</v>
          </cell>
          <cell r="Q46">
            <v>8316432.680883145</v>
          </cell>
          <cell r="R46">
            <v>143763775.08548382</v>
          </cell>
        </row>
        <row r="47">
          <cell r="B47">
            <v>210060</v>
          </cell>
          <cell r="C47" t="str">
            <v>Ft Washington</v>
          </cell>
          <cell r="D47">
            <v>63853563.394508056</v>
          </cell>
          <cell r="E47">
            <v>1180434.6852539405</v>
          </cell>
          <cell r="F47">
            <v>65033998.079761997</v>
          </cell>
          <cell r="H47">
            <v>63736912.97785718</v>
          </cell>
          <cell r="I47">
            <v>1175925.7595946088</v>
          </cell>
          <cell r="J47">
            <v>64912838.737451792</v>
          </cell>
          <cell r="L47"/>
          <cell r="M47"/>
          <cell r="N47"/>
          <cell r="P47">
            <v>64203514.644460686</v>
          </cell>
          <cell r="Q47">
            <v>1193961.4622319355</v>
          </cell>
          <cell r="R47">
            <v>65397476.10669262</v>
          </cell>
        </row>
        <row r="48">
          <cell r="B48">
            <v>210061</v>
          </cell>
          <cell r="C48" t="str">
            <v>Atlantic General</v>
          </cell>
          <cell r="D48">
            <v>122054475.93702093</v>
          </cell>
          <cell r="E48">
            <v>2517428.6382737849</v>
          </cell>
          <cell r="F48">
            <v>124571904.5752947</v>
          </cell>
          <cell r="H48">
            <v>121842760.85654832</v>
          </cell>
          <cell r="I48">
            <v>2509835.1912099421</v>
          </cell>
          <cell r="J48">
            <v>124352596.04775827</v>
          </cell>
          <cell r="L48"/>
          <cell r="M48"/>
          <cell r="N48"/>
          <cell r="P48">
            <v>122689621.17843871</v>
          </cell>
          <cell r="Q48">
            <v>2540208.9794653142</v>
          </cell>
          <cell r="R48">
            <v>125229830.15790403</v>
          </cell>
        </row>
        <row r="49">
          <cell r="B49">
            <v>210062</v>
          </cell>
          <cell r="C49" t="str">
            <v>MedStar Southern MD</v>
          </cell>
          <cell r="D49">
            <v>307513886.83579856</v>
          </cell>
          <cell r="E49">
            <v>10361726.330144804</v>
          </cell>
          <cell r="F49">
            <v>317875613.16594338</v>
          </cell>
          <cell r="H49">
            <v>306961268.23267889</v>
          </cell>
          <cell r="I49">
            <v>10340570.533938751</v>
          </cell>
          <cell r="J49">
            <v>317301838.76661766</v>
          </cell>
          <cell r="L49"/>
          <cell r="M49"/>
          <cell r="N49"/>
          <cell r="P49">
            <v>309171742.64515758</v>
          </cell>
          <cell r="Q49">
            <v>10425193.71876296</v>
          </cell>
          <cell r="R49">
            <v>319596936.36392051</v>
          </cell>
        </row>
        <row r="50">
          <cell r="B50">
            <v>210063</v>
          </cell>
          <cell r="C50" t="str">
            <v>UM-St Joe</v>
          </cell>
          <cell r="D50">
            <v>446691917.10866988</v>
          </cell>
          <cell r="E50">
            <v>12409584.551759386</v>
          </cell>
          <cell r="F50">
            <v>459101501.6604293</v>
          </cell>
          <cell r="H50">
            <v>445936621.76223385</v>
          </cell>
          <cell r="I50">
            <v>12388328.010949651</v>
          </cell>
          <cell r="J50">
            <v>458324949.77318352</v>
          </cell>
          <cell r="L50"/>
          <cell r="M50"/>
          <cell r="N50"/>
          <cell r="P50">
            <v>448957803.14797795</v>
          </cell>
          <cell r="Q50">
            <v>12473354.174188588</v>
          </cell>
          <cell r="R50">
            <v>461431157.32216656</v>
          </cell>
        </row>
        <row r="51">
          <cell r="B51">
            <v>210087</v>
          </cell>
          <cell r="C51" t="str">
            <v>Germantown ED</v>
          </cell>
          <cell r="D51">
            <v>17629676.123698212</v>
          </cell>
          <cell r="E51">
            <v>-109714.25026257832</v>
          </cell>
          <cell r="F51">
            <v>17519961.873435635</v>
          </cell>
          <cell r="H51">
            <v>17600948.016365815</v>
          </cell>
          <cell r="I51">
            <v>-109742.5477678226</v>
          </cell>
          <cell r="J51">
            <v>17491205.468597993</v>
          </cell>
          <cell r="L51"/>
          <cell r="M51"/>
          <cell r="N51"/>
          <cell r="P51">
            <v>17715860.4456954</v>
          </cell>
          <cell r="Q51">
            <v>-109629.35774684546</v>
          </cell>
          <cell r="R51">
            <v>17606231.087948553</v>
          </cell>
        </row>
        <row r="52">
          <cell r="B52">
            <v>210088</v>
          </cell>
          <cell r="C52" t="str">
            <v>UM-Queen Anne's ED</v>
          </cell>
          <cell r="D52">
            <v>9022950.2202154249</v>
          </cell>
          <cell r="E52">
            <v>-413282.4333047251</v>
          </cell>
          <cell r="F52">
            <v>8609667.7869106978</v>
          </cell>
          <cell r="H52">
            <v>9008946.7785149477</v>
          </cell>
          <cell r="I52">
            <v>-413310.96209078527</v>
          </cell>
          <cell r="J52">
            <v>8595635.8164241631</v>
          </cell>
          <cell r="L52"/>
          <cell r="M52"/>
          <cell r="N52"/>
          <cell r="P52">
            <v>9064960.5453168526</v>
          </cell>
          <cell r="Q52">
            <v>-413196.84694654471</v>
          </cell>
          <cell r="R52">
            <v>8651763.6983703077</v>
          </cell>
        </row>
        <row r="53">
          <cell r="B53">
            <v>210333</v>
          </cell>
          <cell r="C53" t="str">
            <v>UM-Bowie ED</v>
          </cell>
          <cell r="D53">
            <v>22345983.251346771</v>
          </cell>
          <cell r="E53">
            <v>337875.8740894181</v>
          </cell>
          <cell r="F53">
            <v>22683859.125436191</v>
          </cell>
          <cell r="H53">
            <v>22314975.160008747</v>
          </cell>
          <cell r="I53">
            <v>337814.04071486258</v>
          </cell>
          <cell r="J53">
            <v>22652789.200723611</v>
          </cell>
          <cell r="L53"/>
          <cell r="M53"/>
          <cell r="N53"/>
          <cell r="P53">
            <v>22439007.525360834</v>
          </cell>
          <cell r="Q53">
            <v>338061.37421308446</v>
          </cell>
          <cell r="R53">
            <v>22777068.899573918</v>
          </cell>
        </row>
        <row r="54">
          <cell r="B54">
            <v>210064</v>
          </cell>
          <cell r="C54" t="str">
            <v>Levindale</v>
          </cell>
          <cell r="D54">
            <v>68185484.590843648</v>
          </cell>
          <cell r="E54">
            <v>5340256.5046204813</v>
          </cell>
          <cell r="F54">
            <v>73525741.09546411</v>
          </cell>
          <cell r="H54">
            <v>68015752.564936712</v>
          </cell>
          <cell r="I54">
            <v>5334927.9698622124</v>
          </cell>
          <cell r="J54">
            <v>73350680.53479892</v>
          </cell>
          <cell r="L54"/>
          <cell r="M54"/>
          <cell r="N54"/>
          <cell r="P54">
            <v>68694680.668564409</v>
          </cell>
          <cell r="Q54">
            <v>5356242.1088952851</v>
          </cell>
          <cell r="R54">
            <v>74050922.777459696</v>
          </cell>
        </row>
        <row r="55">
          <cell r="B55">
            <v>218992</v>
          </cell>
          <cell r="C55" t="str">
            <v>UM-Shock Trauma</v>
          </cell>
          <cell r="D55">
            <v>254753581.79457408</v>
          </cell>
          <cell r="E55">
            <v>5667356.7667531595</v>
          </cell>
          <cell r="F55">
            <v>260420938.56132722</v>
          </cell>
          <cell r="H55">
            <v>254310520.49421227</v>
          </cell>
          <cell r="I55">
            <v>5654342.5456554973</v>
          </cell>
          <cell r="J55">
            <v>259964863.03986776</v>
          </cell>
          <cell r="L55"/>
          <cell r="M55"/>
          <cell r="N55"/>
          <cell r="P55">
            <v>256082765.69565946</v>
          </cell>
          <cell r="Q55">
            <v>5706399.4300461449</v>
          </cell>
          <cell r="R55">
            <v>261789165.1257056</v>
          </cell>
        </row>
        <row r="56">
          <cell r="B56">
            <v>210065</v>
          </cell>
          <cell r="C56" t="str">
            <v>HC Germantown</v>
          </cell>
          <cell r="D56">
            <v>135610500.22001451</v>
          </cell>
          <cell r="E56">
            <v>5090714.5082443953</v>
          </cell>
          <cell r="F56">
            <v>140701214.72825891</v>
          </cell>
          <cell r="H56">
            <v>135410642.89133519</v>
          </cell>
          <cell r="I56">
            <v>4764664.5151965283</v>
          </cell>
          <cell r="J56">
            <v>140175307.40653172</v>
          </cell>
          <cell r="L56">
            <v>135410642.89133519</v>
          </cell>
          <cell r="M56">
            <v>5724664.5151965283</v>
          </cell>
          <cell r="N56">
            <v>141135307.40653172</v>
          </cell>
          <cell r="P56">
            <v>136210072.20605242</v>
          </cell>
          <cell r="Q56">
            <v>5748864.487387998</v>
          </cell>
          <cell r="R56">
            <v>141958936.69344041</v>
          </cell>
        </row>
        <row r="58">
          <cell r="B58" t="str">
            <v>Statewide</v>
          </cell>
          <cell r="C58" t="str">
            <v>Statewide</v>
          </cell>
          <cell r="D58">
            <v>19485144188.099838</v>
          </cell>
          <cell r="E58">
            <v>699443785.45844972</v>
          </cell>
          <cell r="F58">
            <v>20185681779.025146</v>
          </cell>
          <cell r="H58">
            <v>19451640485.486168</v>
          </cell>
          <cell r="I58">
            <v>698032879.41251969</v>
          </cell>
          <cell r="J58">
            <v>20149673364.898693</v>
          </cell>
          <cell r="K58"/>
          <cell r="L58">
            <v>135410642.89133519</v>
          </cell>
          <cell r="M58">
            <v>5724664.5151965283</v>
          </cell>
          <cell r="N58">
            <v>141135307.40653172</v>
          </cell>
          <cell r="O58"/>
          <cell r="P58">
            <v>19585655295.940842</v>
          </cell>
          <cell r="Q58">
            <v>703356503.59624147</v>
          </cell>
          <cell r="R58">
            <v>20293387021.404518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  <sheetName val="Disclaimer"/>
    </sheetNames>
    <sheetDataSet>
      <sheetData sheetId="0"/>
      <sheetData sheetId="1"/>
      <sheetData sheetId="2">
        <row r="8">
          <cell r="A8">
            <v>210001</v>
          </cell>
          <cell r="B8" t="str">
            <v>Meritus</v>
          </cell>
          <cell r="C8">
            <v>5.9924400000000003E-2</v>
          </cell>
          <cell r="D8">
            <v>16.046195999999998</v>
          </cell>
          <cell r="E8">
            <v>1.1002267999999999</v>
          </cell>
        </row>
        <row r="9">
          <cell r="A9">
            <v>210002</v>
          </cell>
          <cell r="B9" t="str">
            <v>UMMC</v>
          </cell>
          <cell r="C9">
            <v>3.7352700000000003E-2</v>
          </cell>
          <cell r="D9">
            <v>24.589509</v>
          </cell>
          <cell r="E9">
            <v>3.0764752</v>
          </cell>
        </row>
        <row r="10">
          <cell r="A10">
            <v>210003</v>
          </cell>
          <cell r="B10" t="str">
            <v>UM-Capital Region Medical Center</v>
          </cell>
          <cell r="C10">
            <v>5.3868600000000003E-2</v>
          </cell>
          <cell r="D10">
            <v>18.063549999999999</v>
          </cell>
          <cell r="E10">
            <v>4.3354400000000001E-2</v>
          </cell>
        </row>
        <row r="11">
          <cell r="A11">
            <v>210004</v>
          </cell>
          <cell r="B11" t="str">
            <v>Holy Cross</v>
          </cell>
          <cell r="C11">
            <v>5.6595899999999998E-2</v>
          </cell>
          <cell r="D11">
            <v>7.8730732000000003</v>
          </cell>
          <cell r="E11">
            <v>0.24495629999999999</v>
          </cell>
        </row>
        <row r="12">
          <cell r="A12">
            <v>210005</v>
          </cell>
          <cell r="B12" t="str">
            <v>Frederick</v>
          </cell>
          <cell r="C12">
            <v>6.6699300000000003E-2</v>
          </cell>
          <cell r="D12">
            <v>8.5145029999999995</v>
          </cell>
          <cell r="E12">
            <v>0.41818739999999999</v>
          </cell>
        </row>
        <row r="13">
          <cell r="A13">
            <v>210006</v>
          </cell>
          <cell r="B13" t="str">
            <v>UM-Harford</v>
          </cell>
          <cell r="C13">
            <v>9.2316599999999999E-2</v>
          </cell>
          <cell r="D13">
            <v>14.405504000000001</v>
          </cell>
          <cell r="E13">
            <v>0.9254213</v>
          </cell>
        </row>
        <row r="14">
          <cell r="A14">
            <v>210008</v>
          </cell>
          <cell r="B14" t="str">
            <v>Mercy</v>
          </cell>
          <cell r="C14">
            <v>2.7523499999999999E-2</v>
          </cell>
          <cell r="D14">
            <v>23.961337</v>
          </cell>
          <cell r="E14">
            <v>2.6518755999999999</v>
          </cell>
        </row>
        <row r="15">
          <cell r="A15">
            <v>210009</v>
          </cell>
          <cell r="B15" t="str">
            <v>Johns Hopkins</v>
          </cell>
          <cell r="C15">
            <v>4.4941599999999998E-2</v>
          </cell>
          <cell r="D15">
            <v>27.155301000000001</v>
          </cell>
          <cell r="E15">
            <v>3.2203206</v>
          </cell>
        </row>
        <row r="16">
          <cell r="A16">
            <v>210011</v>
          </cell>
          <cell r="B16" t="str">
            <v>Ascension Saint Agnes Hospital</v>
          </cell>
          <cell r="C16">
            <v>6.30188E-2</v>
          </cell>
          <cell r="D16">
            <v>12.759494999999999</v>
          </cell>
          <cell r="E16">
            <v>1.5989331</v>
          </cell>
        </row>
        <row r="17">
          <cell r="A17">
            <v>210012</v>
          </cell>
          <cell r="B17" t="str">
            <v>Sinai</v>
          </cell>
          <cell r="C17">
            <v>5.1450200000000001E-2</v>
          </cell>
          <cell r="D17">
            <v>15.083527</v>
          </cell>
          <cell r="E17">
            <v>1.5515473</v>
          </cell>
        </row>
        <row r="18">
          <cell r="A18">
            <v>210015</v>
          </cell>
          <cell r="B18" t="str">
            <v>MedStar Fr Square</v>
          </cell>
          <cell r="C18">
            <v>6.5347600000000006E-2</v>
          </cell>
          <cell r="D18">
            <v>18.654485999999999</v>
          </cell>
          <cell r="E18">
            <v>0.8743881</v>
          </cell>
        </row>
        <row r="19">
          <cell r="A19">
            <v>210016</v>
          </cell>
          <cell r="B19" t="str">
            <v>Adventist White Oak</v>
          </cell>
          <cell r="C19">
            <v>5.5621299999999999E-2</v>
          </cell>
          <cell r="D19">
            <v>11.204295999999999</v>
          </cell>
          <cell r="E19">
            <v>9.8673899999999995E-2</v>
          </cell>
        </row>
        <row r="20">
          <cell r="A20">
            <v>210017</v>
          </cell>
          <cell r="B20" t="str">
            <v>Garrett</v>
          </cell>
          <cell r="C20">
            <v>1.8453500000000001E-2</v>
          </cell>
          <cell r="D20">
            <v>9.8487370999999992</v>
          </cell>
          <cell r="E20">
            <v>1.1511697000000001</v>
          </cell>
        </row>
        <row r="21">
          <cell r="A21">
            <v>210018</v>
          </cell>
          <cell r="B21" t="str">
            <v>MedStar Montgomery</v>
          </cell>
          <cell r="C21">
            <v>5.85969E-2</v>
          </cell>
          <cell r="D21">
            <v>6.7606638999999999</v>
          </cell>
          <cell r="E21">
            <v>0.42783130000000003</v>
          </cell>
        </row>
        <row r="22">
          <cell r="A22">
            <v>210019</v>
          </cell>
          <cell r="B22" t="str">
            <v>Peninsula</v>
          </cell>
          <cell r="C22">
            <v>5.80928E-2</v>
          </cell>
          <cell r="D22">
            <v>8.6956735999999992</v>
          </cell>
          <cell r="E22">
            <v>0.91344409999999998</v>
          </cell>
        </row>
        <row r="23">
          <cell r="A23">
            <v>210022</v>
          </cell>
          <cell r="B23" t="str">
            <v>Suburban</v>
          </cell>
          <cell r="C23">
            <v>5.4947900000000001E-2</v>
          </cell>
          <cell r="D23">
            <v>5.0734056000000001</v>
          </cell>
          <cell r="E23">
            <v>0.20744309999999999</v>
          </cell>
        </row>
        <row r="24">
          <cell r="A24">
            <v>210023</v>
          </cell>
          <cell r="B24" t="str">
            <v>Anne Arundel</v>
          </cell>
          <cell r="C24">
            <v>4.9646900000000001E-2</v>
          </cell>
          <cell r="D24">
            <v>9.2599551000000009</v>
          </cell>
          <cell r="E24">
            <v>0.53290839999999995</v>
          </cell>
        </row>
        <row r="25">
          <cell r="A25">
            <v>210024</v>
          </cell>
          <cell r="B25" t="str">
            <v>MedStar Union Mem</v>
          </cell>
          <cell r="C25">
            <v>5.52763E-2</v>
          </cell>
          <cell r="D25">
            <v>20.167708000000001</v>
          </cell>
          <cell r="E25">
            <v>2.6634036999999999</v>
          </cell>
        </row>
        <row r="26">
          <cell r="A26">
            <v>210027</v>
          </cell>
          <cell r="B26" t="str">
            <v>Western Maryland</v>
          </cell>
          <cell r="C26">
            <v>5.0596700000000001E-2</v>
          </cell>
          <cell r="D26">
            <v>13.896895000000001</v>
          </cell>
          <cell r="E26">
            <v>0.103626</v>
          </cell>
        </row>
        <row r="27">
          <cell r="A27">
            <v>210028</v>
          </cell>
          <cell r="B27" t="str">
            <v>MedStar St. Mary's</v>
          </cell>
          <cell r="C27">
            <v>4.8371699999999997E-2</v>
          </cell>
          <cell r="D27">
            <v>12.974968000000001</v>
          </cell>
          <cell r="E27">
            <v>0.1944939</v>
          </cell>
        </row>
        <row r="28">
          <cell r="A28">
            <v>210029</v>
          </cell>
          <cell r="B28" t="str">
            <v>JH Bayview</v>
          </cell>
          <cell r="C28">
            <v>4.9924000000000003E-2</v>
          </cell>
          <cell r="D28">
            <v>21.822783000000001</v>
          </cell>
          <cell r="E28">
            <v>1.4681831999999999</v>
          </cell>
        </row>
        <row r="29">
          <cell r="A29">
            <v>210030</v>
          </cell>
          <cell r="B29" t="str">
            <v>UM-Chestertown</v>
          </cell>
          <cell r="C29">
            <v>2.0138E-2</v>
          </cell>
          <cell r="D29">
            <v>5.7157624</v>
          </cell>
          <cell r="E29">
            <v>0</v>
          </cell>
        </row>
        <row r="30">
          <cell r="A30">
            <v>210032</v>
          </cell>
          <cell r="B30" t="str">
            <v>ChristianaCare, Union</v>
          </cell>
          <cell r="C30">
            <v>5.2362300000000001E-2</v>
          </cell>
          <cell r="D30">
            <v>16.394926000000002</v>
          </cell>
          <cell r="E30">
            <v>6.7252099999999995E-2</v>
          </cell>
        </row>
        <row r="31">
          <cell r="A31">
            <v>210033</v>
          </cell>
          <cell r="B31" t="str">
            <v>Carroll</v>
          </cell>
          <cell r="C31">
            <v>6.7264199999999996E-2</v>
          </cell>
          <cell r="D31">
            <v>11.068963999999999</v>
          </cell>
          <cell r="E31">
            <v>0.60963089999999998</v>
          </cell>
        </row>
        <row r="32">
          <cell r="A32">
            <v>210034</v>
          </cell>
          <cell r="B32" t="str">
            <v>MedStar Harbor</v>
          </cell>
          <cell r="C32">
            <v>7.2403999999999996E-2</v>
          </cell>
          <cell r="D32">
            <v>21.86889</v>
          </cell>
          <cell r="E32">
            <v>1.6134668999999999</v>
          </cell>
        </row>
        <row r="33">
          <cell r="A33">
            <v>210035</v>
          </cell>
          <cell r="B33" t="str">
            <v>UM-Charles Regional</v>
          </cell>
          <cell r="C33">
            <v>5.6241399999999997E-2</v>
          </cell>
          <cell r="D33">
            <v>8.9580787999999991</v>
          </cell>
          <cell r="E33">
            <v>0.13195499999999999</v>
          </cell>
        </row>
        <row r="34">
          <cell r="A34">
            <v>210037</v>
          </cell>
          <cell r="B34" t="str">
            <v>UM-Easton</v>
          </cell>
          <cell r="C34">
            <v>4.6976200000000003E-2</v>
          </cell>
          <cell r="D34">
            <v>6.7487589000000003</v>
          </cell>
          <cell r="E34">
            <v>0.38018479999999999</v>
          </cell>
        </row>
        <row r="35">
          <cell r="A35">
            <v>210038</v>
          </cell>
          <cell r="B35" t="str">
            <v>UMMC Midtown</v>
          </cell>
          <cell r="C35">
            <v>4.4627699999999999E-2</v>
          </cell>
          <cell r="D35">
            <v>25.0641</v>
          </cell>
          <cell r="E35">
            <v>3.2786419000000002</v>
          </cell>
        </row>
        <row r="36">
          <cell r="A36">
            <v>210039</v>
          </cell>
          <cell r="B36" t="str">
            <v>Calvert</v>
          </cell>
          <cell r="C36">
            <v>4.8958099999999997E-2</v>
          </cell>
          <cell r="D36">
            <v>8.4653451999999998</v>
          </cell>
          <cell r="E36">
            <v>0.66300250000000005</v>
          </cell>
        </row>
        <row r="37">
          <cell r="A37">
            <v>210040</v>
          </cell>
          <cell r="B37" t="str">
            <v>Northwest</v>
          </cell>
          <cell r="C37">
            <v>7.3670399999999997E-2</v>
          </cell>
          <cell r="D37">
            <v>14.245392000000001</v>
          </cell>
          <cell r="E37">
            <v>1.2683426</v>
          </cell>
        </row>
        <row r="38">
          <cell r="A38">
            <v>210043</v>
          </cell>
          <cell r="B38" t="str">
            <v>UM-BWMC</v>
          </cell>
          <cell r="C38">
            <v>7.4106000000000005E-2</v>
          </cell>
          <cell r="D38">
            <v>11.770927</v>
          </cell>
          <cell r="E38">
            <v>1.1333591000000001</v>
          </cell>
        </row>
        <row r="39">
          <cell r="A39">
            <v>210044</v>
          </cell>
          <cell r="B39" t="str">
            <v>GBMC</v>
          </cell>
          <cell r="C39">
            <v>4.6764100000000003E-2</v>
          </cell>
          <cell r="D39">
            <v>8.8242823000000001</v>
          </cell>
          <cell r="E39">
            <v>1.134511</v>
          </cell>
        </row>
        <row r="40">
          <cell r="A40">
            <v>210048</v>
          </cell>
          <cell r="B40" t="str">
            <v>Howard County</v>
          </cell>
          <cell r="C40">
            <v>7.0407399999999995E-2</v>
          </cell>
          <cell r="D40">
            <v>7.0319121999999998</v>
          </cell>
          <cell r="E40">
            <v>0.33156099999999999</v>
          </cell>
        </row>
        <row r="41">
          <cell r="A41">
            <v>210049</v>
          </cell>
          <cell r="B41" t="str">
            <v>UM-Upper Chesapeake</v>
          </cell>
          <cell r="C41">
            <v>6.6703100000000001E-2</v>
          </cell>
          <cell r="D41">
            <v>10.346336000000001</v>
          </cell>
          <cell r="E41">
            <v>0.90687280000000003</v>
          </cell>
        </row>
        <row r="42">
          <cell r="A42">
            <v>210051</v>
          </cell>
          <cell r="B42" t="str">
            <v>Doctors</v>
          </cell>
          <cell r="C42">
            <v>6.5849199999999997E-2</v>
          </cell>
          <cell r="D42">
            <v>12.628335999999999</v>
          </cell>
          <cell r="E42">
            <v>8.3534999999999998E-2</v>
          </cell>
        </row>
        <row r="43">
          <cell r="A43">
            <v>210056</v>
          </cell>
          <cell r="B43" t="str">
            <v>MedStar Good Sam</v>
          </cell>
          <cell r="C43">
            <v>8.4979799999999994E-2</v>
          </cell>
          <cell r="D43">
            <v>18.014951</v>
          </cell>
          <cell r="E43">
            <v>1.4553579999999999</v>
          </cell>
        </row>
        <row r="44">
          <cell r="A44">
            <v>210057</v>
          </cell>
          <cell r="B44" t="str">
            <v>Shady Grove</v>
          </cell>
          <cell r="C44">
            <v>5.3292300000000001E-2</v>
          </cell>
          <cell r="D44">
            <v>6.7634292</v>
          </cell>
          <cell r="E44">
            <v>0.55676939999999997</v>
          </cell>
        </row>
        <row r="45">
          <cell r="A45">
            <v>210058</v>
          </cell>
          <cell r="B45" t="str">
            <v>UMROI</v>
          </cell>
          <cell r="C45">
            <v>3.0334699999999999E-2</v>
          </cell>
          <cell r="D45" t="str">
            <v>.</v>
          </cell>
          <cell r="E45" t="str">
            <v>.</v>
          </cell>
        </row>
        <row r="46">
          <cell r="A46">
            <v>210060</v>
          </cell>
          <cell r="B46" t="str">
            <v>Ft. Washington</v>
          </cell>
          <cell r="C46">
            <v>4.2449500000000001E-2</v>
          </cell>
          <cell r="D46">
            <v>13.960729000000001</v>
          </cell>
          <cell r="E46">
            <v>0</v>
          </cell>
        </row>
        <row r="47">
          <cell r="A47">
            <v>210061</v>
          </cell>
          <cell r="B47" t="str">
            <v>Atlantic General</v>
          </cell>
          <cell r="C47">
            <v>3.5684899999999999E-2</v>
          </cell>
          <cell r="D47">
            <v>11.162163</v>
          </cell>
          <cell r="E47">
            <v>0.47095209999999998</v>
          </cell>
        </row>
        <row r="48">
          <cell r="A48">
            <v>210062</v>
          </cell>
          <cell r="B48" t="str">
            <v>MedStar Southern MD</v>
          </cell>
          <cell r="C48">
            <v>6.8709999999999993E-2</v>
          </cell>
          <cell r="D48">
            <v>12.672867</v>
          </cell>
          <cell r="E48">
            <v>3.6128100000000003E-2</v>
          </cell>
        </row>
        <row r="49">
          <cell r="A49">
            <v>210063</v>
          </cell>
          <cell r="B49" t="str">
            <v>UM-St. Joe</v>
          </cell>
          <cell r="C49">
            <v>5.8604200000000002E-2</v>
          </cell>
          <cell r="D49">
            <v>10.268079999999999</v>
          </cell>
          <cell r="E49">
            <v>1.0384260000000001</v>
          </cell>
        </row>
        <row r="50">
          <cell r="A50">
            <v>210064</v>
          </cell>
          <cell r="B50" t="str">
            <v>Levindale</v>
          </cell>
          <cell r="C50">
            <v>9.6350599999999995E-2</v>
          </cell>
          <cell r="D50" t="str">
            <v>.</v>
          </cell>
          <cell r="E50" t="str">
            <v>.</v>
          </cell>
        </row>
        <row r="51">
          <cell r="A51">
            <v>210065</v>
          </cell>
          <cell r="B51" t="str">
            <v>HC-Germantown</v>
          </cell>
          <cell r="C51">
            <v>5.3469099999999999E-2</v>
          </cell>
          <cell r="D51">
            <v>8.7469695000000005</v>
          </cell>
          <cell r="E51">
            <v>0.30650430000000001</v>
          </cell>
        </row>
        <row r="52">
          <cell r="A52" t="str">
            <v>Statewide</v>
          </cell>
          <cell r="B52" t="str">
            <v>Statewide</v>
          </cell>
          <cell r="C52">
            <v>5.2941500000000002E-2</v>
          </cell>
          <cell r="D52">
            <v>11.458326</v>
          </cell>
          <cell r="E52">
            <v>0.71370160000000005</v>
          </cell>
        </row>
      </sheetData>
      <sheetData sheetId="3">
        <row r="9">
          <cell r="A9">
            <v>210001</v>
          </cell>
          <cell r="B9" t="str">
            <v>Meritus</v>
          </cell>
          <cell r="C9">
            <v>422214082</v>
          </cell>
          <cell r="D9">
            <v>1662</v>
          </cell>
          <cell r="E9">
            <v>1543</v>
          </cell>
          <cell r="F9">
            <v>23489347.780000001</v>
          </cell>
          <cell r="G9">
            <v>15223.168</v>
          </cell>
          <cell r="H9">
            <v>25300904.739999998</v>
          </cell>
          <cell r="I9">
            <v>5.9924400000000003E-2</v>
          </cell>
        </row>
        <row r="10">
          <cell r="A10">
            <v>210002</v>
          </cell>
          <cell r="B10" t="str">
            <v>UMMC</v>
          </cell>
          <cell r="C10">
            <v>2073822088</v>
          </cell>
          <cell r="D10">
            <v>2241</v>
          </cell>
          <cell r="E10">
            <v>1123</v>
          </cell>
          <cell r="F10">
            <v>38817838.82</v>
          </cell>
          <cell r="G10">
            <v>34566.197</v>
          </cell>
          <cell r="H10">
            <v>77462846.659999996</v>
          </cell>
          <cell r="I10">
            <v>3.7352700000000003E-2</v>
          </cell>
        </row>
        <row r="11">
          <cell r="A11">
            <v>210003</v>
          </cell>
          <cell r="B11" t="str">
            <v>UM-Capital Region Medical Center</v>
          </cell>
          <cell r="C11">
            <v>408511151</v>
          </cell>
          <cell r="D11">
            <v>911</v>
          </cell>
          <cell r="E11">
            <v>419</v>
          </cell>
          <cell r="F11">
            <v>10121279.73</v>
          </cell>
          <cell r="G11">
            <v>24155.798999999999</v>
          </cell>
          <cell r="H11">
            <v>22005932.780000001</v>
          </cell>
          <cell r="I11">
            <v>5.3868600000000003E-2</v>
          </cell>
        </row>
        <row r="12">
          <cell r="A12">
            <v>210004</v>
          </cell>
          <cell r="B12" t="str">
            <v>Holy Cross</v>
          </cell>
          <cell r="C12">
            <v>586909782</v>
          </cell>
          <cell r="D12">
            <v>1651</v>
          </cell>
          <cell r="E12">
            <v>960</v>
          </cell>
          <cell r="F12">
            <v>19314369.489999998</v>
          </cell>
          <cell r="G12">
            <v>20119.134999999998</v>
          </cell>
          <cell r="H12">
            <v>33216691.699999999</v>
          </cell>
          <cell r="I12">
            <v>5.6595899999999998E-2</v>
          </cell>
        </row>
        <row r="13">
          <cell r="A13">
            <v>210005</v>
          </cell>
          <cell r="B13" t="str">
            <v>Frederick</v>
          </cell>
          <cell r="C13">
            <v>406127356</v>
          </cell>
          <cell r="D13">
            <v>1529</v>
          </cell>
          <cell r="E13">
            <v>1345</v>
          </cell>
          <cell r="F13">
            <v>23828590.440000001</v>
          </cell>
          <cell r="G13">
            <v>17716.423999999999</v>
          </cell>
          <cell r="H13">
            <v>27088412.48</v>
          </cell>
          <cell r="I13">
            <v>6.6699300000000003E-2</v>
          </cell>
        </row>
        <row r="14">
          <cell r="A14">
            <v>210006</v>
          </cell>
          <cell r="B14" t="str">
            <v>UM-Harford</v>
          </cell>
          <cell r="C14">
            <v>120003937</v>
          </cell>
          <cell r="D14">
            <v>599</v>
          </cell>
          <cell r="E14">
            <v>367</v>
          </cell>
          <cell r="F14">
            <v>6787573.2199999997</v>
          </cell>
          <cell r="G14">
            <v>18494.75</v>
          </cell>
          <cell r="H14">
            <v>11078355.199999999</v>
          </cell>
          <cell r="I14">
            <v>9.2316599999999999E-2</v>
          </cell>
        </row>
        <row r="15">
          <cell r="A15">
            <v>210008</v>
          </cell>
          <cell r="B15" t="str">
            <v>Mercy</v>
          </cell>
          <cell r="C15">
            <v>641483259</v>
          </cell>
          <cell r="D15">
            <v>960</v>
          </cell>
          <cell r="E15">
            <v>571</v>
          </cell>
          <cell r="F15">
            <v>10501574.539999999</v>
          </cell>
          <cell r="G15">
            <v>18391.548999999999</v>
          </cell>
          <cell r="H15">
            <v>17655887.140000001</v>
          </cell>
          <cell r="I15">
            <v>2.7523499999999999E-2</v>
          </cell>
        </row>
        <row r="16">
          <cell r="A16">
            <v>210009</v>
          </cell>
          <cell r="B16" t="str">
            <v>Johns Hopkins</v>
          </cell>
          <cell r="C16">
            <v>2806707479</v>
          </cell>
          <cell r="D16">
            <v>4099</v>
          </cell>
          <cell r="E16">
            <v>2879</v>
          </cell>
          <cell r="F16">
            <v>88595141.099999994</v>
          </cell>
          <cell r="G16">
            <v>30772.886999999999</v>
          </cell>
          <cell r="H16">
            <v>126138063</v>
          </cell>
          <cell r="I16">
            <v>4.4941599999999998E-2</v>
          </cell>
        </row>
        <row r="17">
          <cell r="A17">
            <v>210011</v>
          </cell>
          <cell r="B17" t="str">
            <v>Ascension Saint Agnes Hospital</v>
          </cell>
          <cell r="C17">
            <v>508230462</v>
          </cell>
          <cell r="D17">
            <v>1466</v>
          </cell>
          <cell r="E17">
            <v>816</v>
          </cell>
          <cell r="F17">
            <v>17827356.149999999</v>
          </cell>
          <cell r="G17">
            <v>21847.25</v>
          </cell>
          <cell r="H17">
            <v>32028068.77</v>
          </cell>
          <cell r="I17">
            <v>6.30188E-2</v>
          </cell>
        </row>
        <row r="18">
          <cell r="A18">
            <v>210012</v>
          </cell>
          <cell r="B18" t="str">
            <v>Sinai</v>
          </cell>
          <cell r="C18">
            <v>943021608</v>
          </cell>
          <cell r="D18">
            <v>1432</v>
          </cell>
          <cell r="E18">
            <v>666</v>
          </cell>
          <cell r="F18">
            <v>22565243.379999999</v>
          </cell>
          <cell r="G18">
            <v>33881.747000000003</v>
          </cell>
          <cell r="H18">
            <v>48518661.439999998</v>
          </cell>
          <cell r="I18">
            <v>5.1450200000000001E-2</v>
          </cell>
        </row>
        <row r="19">
          <cell r="A19">
            <v>210015</v>
          </cell>
          <cell r="B19" t="str">
            <v>MedStar Fr Square</v>
          </cell>
          <cell r="C19">
            <v>640023645</v>
          </cell>
          <cell r="D19">
            <v>2231</v>
          </cell>
          <cell r="E19">
            <v>1530</v>
          </cell>
          <cell r="F19">
            <v>28682517.949999999</v>
          </cell>
          <cell r="G19">
            <v>18746.743999999999</v>
          </cell>
          <cell r="H19">
            <v>41823985.32</v>
          </cell>
          <cell r="I19">
            <v>6.5347600000000006E-2</v>
          </cell>
        </row>
        <row r="20">
          <cell r="A20">
            <v>210016</v>
          </cell>
          <cell r="B20" t="str">
            <v>Adventist White Oak</v>
          </cell>
          <cell r="C20">
            <v>352310133</v>
          </cell>
          <cell r="D20">
            <v>909</v>
          </cell>
          <cell r="E20">
            <v>492</v>
          </cell>
          <cell r="F20">
            <v>10606386.82</v>
          </cell>
          <cell r="G20">
            <v>21557.697</v>
          </cell>
          <cell r="H20">
            <v>19595946.379999999</v>
          </cell>
          <cell r="I20">
            <v>5.5621299999999999E-2</v>
          </cell>
        </row>
        <row r="21">
          <cell r="A21">
            <v>210017</v>
          </cell>
          <cell r="B21" t="str">
            <v>Garrett</v>
          </cell>
          <cell r="C21">
            <v>74286312</v>
          </cell>
          <cell r="D21">
            <v>114</v>
          </cell>
          <cell r="E21">
            <v>108</v>
          </cell>
          <cell r="F21">
            <v>1298693.18</v>
          </cell>
          <cell r="G21">
            <v>12024.937</v>
          </cell>
          <cell r="H21">
            <v>1370842.8</v>
          </cell>
          <cell r="I21">
            <v>1.8453500000000001E-2</v>
          </cell>
        </row>
        <row r="22">
          <cell r="A22">
            <v>210018</v>
          </cell>
          <cell r="B22" t="str">
            <v>MedStar Montgomery</v>
          </cell>
          <cell r="C22">
            <v>201297389</v>
          </cell>
          <cell r="D22">
            <v>713</v>
          </cell>
          <cell r="E22">
            <v>441</v>
          </cell>
          <cell r="F22">
            <v>7295618.4299999997</v>
          </cell>
          <cell r="G22">
            <v>16543.351999999999</v>
          </cell>
          <cell r="H22">
            <v>11795410.300000001</v>
          </cell>
          <cell r="I22">
            <v>5.85969E-2</v>
          </cell>
        </row>
        <row r="23">
          <cell r="A23">
            <v>210019</v>
          </cell>
          <cell r="B23" t="str">
            <v>Peninsula</v>
          </cell>
          <cell r="C23">
            <v>538384137</v>
          </cell>
          <cell r="D23">
            <v>1684</v>
          </cell>
          <cell r="E23">
            <v>1520</v>
          </cell>
          <cell r="F23">
            <v>28230356.710000001</v>
          </cell>
          <cell r="G23">
            <v>18572.602999999999</v>
          </cell>
          <cell r="H23">
            <v>31276263.620000001</v>
          </cell>
          <cell r="I23">
            <v>5.80928E-2</v>
          </cell>
        </row>
        <row r="24">
          <cell r="A24">
            <v>210022</v>
          </cell>
          <cell r="B24" t="str">
            <v>Suburban</v>
          </cell>
          <cell r="C24">
            <v>404560179</v>
          </cell>
          <cell r="D24">
            <v>1318</v>
          </cell>
          <cell r="E24">
            <v>883</v>
          </cell>
          <cell r="F24">
            <v>14892896.130000001</v>
          </cell>
          <cell r="G24">
            <v>16866.246999999999</v>
          </cell>
          <cell r="H24">
            <v>22229713.59</v>
          </cell>
          <cell r="I24">
            <v>5.4947900000000001E-2</v>
          </cell>
        </row>
        <row r="25">
          <cell r="A25">
            <v>210023</v>
          </cell>
          <cell r="B25" t="str">
            <v>Anne Arundel</v>
          </cell>
          <cell r="C25">
            <v>748843276</v>
          </cell>
          <cell r="D25">
            <v>2149</v>
          </cell>
          <cell r="E25">
            <v>1699</v>
          </cell>
          <cell r="F25">
            <v>29392718.199999999</v>
          </cell>
          <cell r="G25">
            <v>17300.010999999999</v>
          </cell>
          <cell r="H25">
            <v>37177723.020000003</v>
          </cell>
          <cell r="I25">
            <v>4.9646900000000001E-2</v>
          </cell>
        </row>
        <row r="26">
          <cell r="A26">
            <v>210024</v>
          </cell>
          <cell r="B26" t="str">
            <v>MedStar Union Mem</v>
          </cell>
          <cell r="C26">
            <v>483794842</v>
          </cell>
          <cell r="D26">
            <v>1108</v>
          </cell>
          <cell r="E26">
            <v>504</v>
          </cell>
          <cell r="F26">
            <v>12164414.300000001</v>
          </cell>
          <cell r="G26">
            <v>24135.742999999999</v>
          </cell>
          <cell r="H26">
            <v>26742402.870000001</v>
          </cell>
          <cell r="I26">
            <v>5.52763E-2</v>
          </cell>
        </row>
        <row r="27">
          <cell r="A27">
            <v>210027</v>
          </cell>
          <cell r="B27" t="str">
            <v>Western Maryland</v>
          </cell>
          <cell r="C27">
            <v>363925862</v>
          </cell>
          <cell r="D27">
            <v>1045</v>
          </cell>
          <cell r="E27">
            <v>1026</v>
          </cell>
          <cell r="F27">
            <v>18078669.09</v>
          </cell>
          <cell r="G27">
            <v>17620.535</v>
          </cell>
          <cell r="H27">
            <v>18413459.260000002</v>
          </cell>
          <cell r="I27">
            <v>5.0596700000000001E-2</v>
          </cell>
        </row>
        <row r="28">
          <cell r="A28">
            <v>210028</v>
          </cell>
          <cell r="B28" t="str">
            <v>MedStar St. Mary's</v>
          </cell>
          <cell r="C28">
            <v>215863903</v>
          </cell>
          <cell r="D28">
            <v>688</v>
          </cell>
          <cell r="E28">
            <v>583</v>
          </cell>
          <cell r="F28">
            <v>8848123.5199999996</v>
          </cell>
          <cell r="G28">
            <v>15176.884</v>
          </cell>
          <cell r="H28">
            <v>10441696.369999999</v>
          </cell>
          <cell r="I28">
            <v>4.8371699999999997E-2</v>
          </cell>
        </row>
        <row r="29">
          <cell r="A29">
            <v>210029</v>
          </cell>
          <cell r="B29" t="str">
            <v>JH Bayview</v>
          </cell>
          <cell r="C29">
            <v>772088156</v>
          </cell>
          <cell r="D29">
            <v>1632</v>
          </cell>
          <cell r="E29">
            <v>865</v>
          </cell>
          <cell r="F29">
            <v>20430186.550000001</v>
          </cell>
          <cell r="G29">
            <v>23618.713</v>
          </cell>
          <cell r="H29">
            <v>38545739.25</v>
          </cell>
          <cell r="I29">
            <v>4.9924000000000003E-2</v>
          </cell>
        </row>
        <row r="30">
          <cell r="A30">
            <v>210030</v>
          </cell>
          <cell r="B30" t="str">
            <v>UM-Chestertown</v>
          </cell>
          <cell r="C30">
            <v>53514309</v>
          </cell>
          <cell r="D30">
            <v>41</v>
          </cell>
          <cell r="E30">
            <v>17</v>
          </cell>
          <cell r="F30">
            <v>446839.66</v>
          </cell>
          <cell r="G30">
            <v>26284.686000000002</v>
          </cell>
          <cell r="H30">
            <v>1077672.1200000001</v>
          </cell>
          <cell r="I30">
            <v>2.0138E-2</v>
          </cell>
        </row>
        <row r="31">
          <cell r="A31">
            <v>210032</v>
          </cell>
          <cell r="B31" t="str">
            <v>ChristianaCare, Union</v>
          </cell>
          <cell r="C31">
            <v>183151888</v>
          </cell>
          <cell r="D31">
            <v>581</v>
          </cell>
          <cell r="E31">
            <v>522</v>
          </cell>
          <cell r="F31">
            <v>8616379.6899999995</v>
          </cell>
          <cell r="G31">
            <v>16506.474999999999</v>
          </cell>
          <cell r="H31">
            <v>9590261.6899999995</v>
          </cell>
          <cell r="I31">
            <v>5.2362300000000001E-2</v>
          </cell>
        </row>
        <row r="32">
          <cell r="A32">
            <v>210033</v>
          </cell>
          <cell r="B32" t="str">
            <v>Carroll</v>
          </cell>
          <cell r="C32">
            <v>260932999</v>
          </cell>
          <cell r="D32">
            <v>1007</v>
          </cell>
          <cell r="E32">
            <v>795</v>
          </cell>
          <cell r="F32">
            <v>13856397.470000001</v>
          </cell>
          <cell r="G32">
            <v>17429.431</v>
          </cell>
          <cell r="H32">
            <v>17551436.800000001</v>
          </cell>
          <cell r="I32">
            <v>6.7264199999999996E-2</v>
          </cell>
        </row>
        <row r="33">
          <cell r="A33">
            <v>210034</v>
          </cell>
          <cell r="B33" t="str">
            <v>MedStar Harbor</v>
          </cell>
          <cell r="C33">
            <v>209028820</v>
          </cell>
          <cell r="D33">
            <v>806</v>
          </cell>
          <cell r="E33">
            <v>296</v>
          </cell>
          <cell r="F33">
            <v>5558089.7599999998</v>
          </cell>
          <cell r="G33">
            <v>18777.330000000002</v>
          </cell>
          <cell r="H33">
            <v>15134528.199999999</v>
          </cell>
          <cell r="I33">
            <v>7.2403999999999996E-2</v>
          </cell>
        </row>
        <row r="34">
          <cell r="A34">
            <v>210035</v>
          </cell>
          <cell r="B34" t="str">
            <v>UM-Charles Regional</v>
          </cell>
          <cell r="C34">
            <v>176442471</v>
          </cell>
          <cell r="D34">
            <v>542</v>
          </cell>
          <cell r="E34">
            <v>382</v>
          </cell>
          <cell r="F34">
            <v>6993958.4299999997</v>
          </cell>
          <cell r="G34">
            <v>18308.792000000001</v>
          </cell>
          <cell r="H34">
            <v>9923365.0999999996</v>
          </cell>
          <cell r="I34">
            <v>5.6241399999999997E-2</v>
          </cell>
        </row>
        <row r="35">
          <cell r="A35">
            <v>210037</v>
          </cell>
          <cell r="B35" t="str">
            <v>UM-Easton</v>
          </cell>
          <cell r="C35">
            <v>305544424</v>
          </cell>
          <cell r="D35">
            <v>589</v>
          </cell>
          <cell r="E35">
            <v>472</v>
          </cell>
          <cell r="F35">
            <v>11502153.67</v>
          </cell>
          <cell r="G35">
            <v>24368.97</v>
          </cell>
          <cell r="H35">
            <v>14353323.119999999</v>
          </cell>
          <cell r="I35">
            <v>4.6976200000000003E-2</v>
          </cell>
        </row>
        <row r="36">
          <cell r="A36">
            <v>210038</v>
          </cell>
          <cell r="B36" t="str">
            <v>UMMC Midtown</v>
          </cell>
          <cell r="C36">
            <v>248990682</v>
          </cell>
          <cell r="D36">
            <v>539</v>
          </cell>
          <cell r="E36">
            <v>170</v>
          </cell>
          <cell r="F36">
            <v>3504675.35</v>
          </cell>
          <cell r="G36">
            <v>20615.737000000001</v>
          </cell>
          <cell r="H36">
            <v>11111882.43</v>
          </cell>
          <cell r="I36">
            <v>4.4627699999999999E-2</v>
          </cell>
        </row>
        <row r="37">
          <cell r="A37">
            <v>210039</v>
          </cell>
          <cell r="B37" t="str">
            <v>Calvert</v>
          </cell>
          <cell r="C37">
            <v>175213830</v>
          </cell>
          <cell r="D37">
            <v>495</v>
          </cell>
          <cell r="E37">
            <v>377</v>
          </cell>
          <cell r="F37">
            <v>6533250.4199999999</v>
          </cell>
          <cell r="G37">
            <v>17329.577000000001</v>
          </cell>
          <cell r="H37">
            <v>8578140.4700000007</v>
          </cell>
          <cell r="I37">
            <v>4.8958099999999997E-2</v>
          </cell>
        </row>
        <row r="38">
          <cell r="A38">
            <v>210040</v>
          </cell>
          <cell r="B38" t="str">
            <v>Northwest</v>
          </cell>
          <cell r="C38">
            <v>316304861</v>
          </cell>
          <cell r="D38">
            <v>1090</v>
          </cell>
          <cell r="E38">
            <v>562</v>
          </cell>
          <cell r="F38">
            <v>12014589.52</v>
          </cell>
          <cell r="G38">
            <v>21378.273000000001</v>
          </cell>
          <cell r="H38">
            <v>23302317.75</v>
          </cell>
          <cell r="I38">
            <v>7.3670399999999997E-2</v>
          </cell>
        </row>
        <row r="39">
          <cell r="A39">
            <v>210043</v>
          </cell>
          <cell r="B39" t="str">
            <v>UM-BWMC</v>
          </cell>
          <cell r="C39">
            <v>522792198</v>
          </cell>
          <cell r="D39">
            <v>1739</v>
          </cell>
          <cell r="E39">
            <v>1099</v>
          </cell>
          <cell r="F39">
            <v>24483886.579999998</v>
          </cell>
          <cell r="G39">
            <v>22278.331999999999</v>
          </cell>
          <cell r="H39">
            <v>38742018.890000001</v>
          </cell>
          <cell r="I39">
            <v>7.4106000000000005E-2</v>
          </cell>
        </row>
        <row r="40">
          <cell r="A40">
            <v>210044</v>
          </cell>
          <cell r="B40" t="str">
            <v>GBMC</v>
          </cell>
          <cell r="C40">
            <v>496394796</v>
          </cell>
          <cell r="D40">
            <v>1128</v>
          </cell>
          <cell r="E40">
            <v>708</v>
          </cell>
          <cell r="F40">
            <v>14570150.199999999</v>
          </cell>
          <cell r="G40">
            <v>20579.308000000001</v>
          </cell>
          <cell r="H40">
            <v>23213459.640000001</v>
          </cell>
          <cell r="I40">
            <v>4.6764100000000003E-2</v>
          </cell>
        </row>
        <row r="41">
          <cell r="A41">
            <v>210048</v>
          </cell>
          <cell r="B41" t="str">
            <v>Howard County</v>
          </cell>
          <cell r="C41">
            <v>359322374</v>
          </cell>
          <cell r="D41">
            <v>1646</v>
          </cell>
          <cell r="E41">
            <v>1198</v>
          </cell>
          <cell r="F41">
            <v>18413219.949999999</v>
          </cell>
          <cell r="G41">
            <v>15369.967000000001</v>
          </cell>
          <cell r="H41">
            <v>25298964.969999999</v>
          </cell>
          <cell r="I41">
            <v>7.0407399999999995E-2</v>
          </cell>
        </row>
        <row r="42">
          <cell r="A42">
            <v>210049</v>
          </cell>
          <cell r="B42" t="str">
            <v>UM-Upper Chesapeake</v>
          </cell>
          <cell r="C42">
            <v>368775712</v>
          </cell>
          <cell r="D42">
            <v>1437</v>
          </cell>
          <cell r="E42">
            <v>1095</v>
          </cell>
          <cell r="F42">
            <v>18744146.989999998</v>
          </cell>
          <cell r="G42">
            <v>17117.941999999999</v>
          </cell>
          <cell r="H42">
            <v>24598483.309999999</v>
          </cell>
          <cell r="I42">
            <v>6.6703100000000001E-2</v>
          </cell>
        </row>
        <row r="43">
          <cell r="A43">
            <v>210051</v>
          </cell>
          <cell r="B43" t="str">
            <v>Doctors</v>
          </cell>
          <cell r="C43">
            <v>282778927</v>
          </cell>
          <cell r="D43">
            <v>1009</v>
          </cell>
          <cell r="E43">
            <v>572</v>
          </cell>
          <cell r="F43">
            <v>10556073.35</v>
          </cell>
          <cell r="G43">
            <v>18454.673999999999</v>
          </cell>
          <cell r="H43">
            <v>18620765.75</v>
          </cell>
          <cell r="I43">
            <v>6.5849199999999997E-2</v>
          </cell>
        </row>
        <row r="44">
          <cell r="A44">
            <v>210056</v>
          </cell>
          <cell r="B44" t="str">
            <v>MedStar Good Sam</v>
          </cell>
          <cell r="C44">
            <v>304076473</v>
          </cell>
          <cell r="D44">
            <v>1103</v>
          </cell>
          <cell r="E44">
            <v>628</v>
          </cell>
          <cell r="F44">
            <v>14712374.5</v>
          </cell>
          <cell r="G44">
            <v>23427.348000000002</v>
          </cell>
          <cell r="H44">
            <v>25840364.77</v>
          </cell>
          <cell r="I44">
            <v>8.4979799999999994E-2</v>
          </cell>
        </row>
        <row r="45">
          <cell r="A45">
            <v>210057</v>
          </cell>
          <cell r="B45" t="str">
            <v>Shady Grove</v>
          </cell>
          <cell r="C45">
            <v>506566139</v>
          </cell>
          <cell r="D45">
            <v>1422</v>
          </cell>
          <cell r="E45">
            <v>952</v>
          </cell>
          <cell r="F45">
            <v>18073310.100000001</v>
          </cell>
          <cell r="G45">
            <v>18984.569</v>
          </cell>
          <cell r="H45">
            <v>26996057.73</v>
          </cell>
          <cell r="I45">
            <v>5.3292300000000001E-2</v>
          </cell>
        </row>
        <row r="46">
          <cell r="A46">
            <v>210058</v>
          </cell>
          <cell r="B46" t="str">
            <v>UMROI</v>
          </cell>
          <cell r="C46">
            <v>137426726</v>
          </cell>
          <cell r="D46">
            <v>43</v>
          </cell>
          <cell r="E46">
            <v>2</v>
          </cell>
          <cell r="F46">
            <v>193897.29</v>
          </cell>
          <cell r="G46">
            <v>96948.645000000004</v>
          </cell>
          <cell r="H46">
            <v>4168791.74</v>
          </cell>
          <cell r="I46">
            <v>3.0334699999999999E-2</v>
          </cell>
        </row>
        <row r="47">
          <cell r="A47">
            <v>210060</v>
          </cell>
          <cell r="B47" t="str">
            <v>Ft. Washington</v>
          </cell>
          <cell r="C47">
            <v>73710931</v>
          </cell>
          <cell r="D47">
            <v>183</v>
          </cell>
          <cell r="E47">
            <v>85</v>
          </cell>
          <cell r="F47">
            <v>1453355.73</v>
          </cell>
          <cell r="G47">
            <v>17098.303</v>
          </cell>
          <cell r="H47">
            <v>3128989.4</v>
          </cell>
          <cell r="I47">
            <v>4.2449500000000001E-2</v>
          </cell>
        </row>
        <row r="48">
          <cell r="A48">
            <v>210061</v>
          </cell>
          <cell r="B48" t="str">
            <v>Atlantic General</v>
          </cell>
          <cell r="C48">
            <v>125218662</v>
          </cell>
          <cell r="D48">
            <v>255</v>
          </cell>
          <cell r="E48">
            <v>192</v>
          </cell>
          <cell r="F48">
            <v>3364455.09</v>
          </cell>
          <cell r="G48">
            <v>17523.204000000002</v>
          </cell>
          <cell r="H48">
            <v>4468416.92</v>
          </cell>
          <cell r="I48">
            <v>3.5684899999999999E-2</v>
          </cell>
        </row>
        <row r="49">
          <cell r="A49">
            <v>210062</v>
          </cell>
          <cell r="B49" t="str">
            <v>MedStar Southern MD</v>
          </cell>
          <cell r="C49">
            <v>317138753</v>
          </cell>
          <cell r="D49">
            <v>996</v>
          </cell>
          <cell r="E49">
            <v>598</v>
          </cell>
          <cell r="F49">
            <v>13083113.130000001</v>
          </cell>
          <cell r="G49">
            <v>21878.116000000002</v>
          </cell>
          <cell r="H49">
            <v>21790603.140000001</v>
          </cell>
          <cell r="I49">
            <v>6.8709999999999993E-2</v>
          </cell>
        </row>
        <row r="50">
          <cell r="A50">
            <v>210063</v>
          </cell>
          <cell r="B50" t="str">
            <v>UM-St. Joe</v>
          </cell>
          <cell r="C50">
            <v>444173240</v>
          </cell>
          <cell r="D50">
            <v>1346</v>
          </cell>
          <cell r="E50">
            <v>814</v>
          </cell>
          <cell r="F50">
            <v>15742025.85</v>
          </cell>
          <cell r="G50">
            <v>19339.098000000002</v>
          </cell>
          <cell r="H50">
            <v>26030426.039999999</v>
          </cell>
          <cell r="I50">
            <v>5.8604200000000002E-2</v>
          </cell>
        </row>
        <row r="51">
          <cell r="A51">
            <v>210064</v>
          </cell>
          <cell r="B51" t="str">
            <v>Levindale</v>
          </cell>
          <cell r="C51">
            <v>71098122</v>
          </cell>
          <cell r="D51">
            <v>65</v>
          </cell>
          <cell r="E51">
            <v>6</v>
          </cell>
          <cell r="F51">
            <v>632339.85</v>
          </cell>
          <cell r="G51">
            <v>105389.98</v>
          </cell>
          <cell r="H51">
            <v>6850348.3799999999</v>
          </cell>
          <cell r="I51">
            <v>9.6350599999999995E-2</v>
          </cell>
        </row>
        <row r="52">
          <cell r="A52">
            <v>210065</v>
          </cell>
          <cell r="B52" t="str">
            <v>HC-Germantown</v>
          </cell>
          <cell r="C52">
            <v>145889955</v>
          </cell>
          <cell r="D52">
            <v>518</v>
          </cell>
          <cell r="E52">
            <v>274</v>
          </cell>
          <cell r="F52">
            <v>4126190.46</v>
          </cell>
          <cell r="G52">
            <v>15059.089</v>
          </cell>
          <cell r="H52">
            <v>7800608.2400000002</v>
          </cell>
          <cell r="I52">
            <v>5.3469099999999999E-2</v>
          </cell>
        </row>
        <row r="53">
          <cell r="A53" t="str">
            <v>Statewide</v>
          </cell>
          <cell r="B53" t="str">
            <v>Statewide</v>
          </cell>
          <cell r="C53">
            <v>19796896330</v>
          </cell>
          <cell r="D53">
            <v>48721</v>
          </cell>
          <cell r="E53">
            <v>32156</v>
          </cell>
          <cell r="F53">
            <v>668943768.57000005</v>
          </cell>
          <cell r="G53">
            <v>1047780.2</v>
          </cell>
          <cell r="H53">
            <v>1048078233.25</v>
          </cell>
          <cell r="I53">
            <v>5.2941500000000002E-2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- All Payers"/>
      <sheetName val="Summary - Medicare FFS"/>
      <sheetName val="Summary - Medicaid"/>
      <sheetName val="Disclaimer"/>
    </sheetNames>
    <sheetDataSet>
      <sheetData sheetId="0">
        <row r="7">
          <cell r="A7">
            <v>210001</v>
          </cell>
          <cell r="B7" t="str">
            <v>Meritus</v>
          </cell>
          <cell r="C7" t="str">
            <v>TPR</v>
          </cell>
          <cell r="D7">
            <v>19794</v>
          </cell>
          <cell r="E7">
            <v>1793</v>
          </cell>
          <cell r="F7">
            <v>2111</v>
          </cell>
          <cell r="G7">
            <v>27</v>
          </cell>
          <cell r="H7">
            <v>9.06E-2</v>
          </cell>
          <cell r="I7">
            <v>0.1066</v>
          </cell>
          <cell r="J7">
            <v>1.4E-3</v>
          </cell>
          <cell r="K7">
            <v>3931</v>
          </cell>
          <cell r="L7">
            <v>0.1986</v>
          </cell>
          <cell r="M7">
            <v>194006856.94999999</v>
          </cell>
          <cell r="N7">
            <v>228207224.56999999</v>
          </cell>
          <cell r="O7">
            <v>28576312.969999999</v>
          </cell>
          <cell r="P7">
            <v>27751950.670000002</v>
          </cell>
          <cell r="Q7">
            <v>25044761.07</v>
          </cell>
          <cell r="R7">
            <v>167610.51999999999</v>
          </cell>
          <cell r="S7">
            <v>52964322.259999998</v>
          </cell>
          <cell r="T7">
            <v>422214081.51999998</v>
          </cell>
          <cell r="U7">
            <v>6.5699999999999995E-2</v>
          </cell>
          <cell r="V7">
            <v>5.9299999999999999E-2</v>
          </cell>
          <cell r="W7">
            <v>4.0000000000000002E-4</v>
          </cell>
          <cell r="X7">
            <v>0.12540000000000001</v>
          </cell>
        </row>
        <row r="8">
          <cell r="A8">
            <v>210002</v>
          </cell>
          <cell r="B8" t="str">
            <v>UMMC</v>
          </cell>
          <cell r="C8" t="str">
            <v>GBR</v>
          </cell>
          <cell r="D8">
            <v>26368</v>
          </cell>
          <cell r="E8">
            <v>2097</v>
          </cell>
          <cell r="F8">
            <v>1004</v>
          </cell>
          <cell r="G8">
            <v>86</v>
          </cell>
          <cell r="H8">
            <v>7.9500000000000001E-2</v>
          </cell>
          <cell r="I8">
            <v>3.8100000000000002E-2</v>
          </cell>
          <cell r="J8">
            <v>3.3E-3</v>
          </cell>
          <cell r="K8">
            <v>3187</v>
          </cell>
          <cell r="L8">
            <v>0.12089999999999999</v>
          </cell>
          <cell r="M8">
            <v>638582474.78999996</v>
          </cell>
          <cell r="N8">
            <v>1435239613.3900001</v>
          </cell>
          <cell r="O8">
            <v>19816044.210000001</v>
          </cell>
          <cell r="P8">
            <v>86962190.650000006</v>
          </cell>
          <cell r="Q8">
            <v>38256111.600000001</v>
          </cell>
          <cell r="R8">
            <v>996839.1</v>
          </cell>
          <cell r="S8">
            <v>126215141.34999999</v>
          </cell>
          <cell r="T8">
            <v>2073822088.1800001</v>
          </cell>
          <cell r="U8">
            <v>4.19E-2</v>
          </cell>
          <cell r="V8">
            <v>1.84E-2</v>
          </cell>
          <cell r="W8">
            <v>5.0000000000000001E-4</v>
          </cell>
          <cell r="X8">
            <v>6.0900000000000003E-2</v>
          </cell>
        </row>
        <row r="9">
          <cell r="A9">
            <v>210003</v>
          </cell>
          <cell r="B9" t="str">
            <v>UM-Capital Region Medical Center</v>
          </cell>
          <cell r="C9" t="str">
            <v>GBR</v>
          </cell>
          <cell r="D9">
            <v>13760</v>
          </cell>
          <cell r="E9">
            <v>937</v>
          </cell>
          <cell r="F9">
            <v>1027</v>
          </cell>
          <cell r="G9" t="str">
            <v xml:space="preserve"> </v>
          </cell>
          <cell r="H9">
            <v>6.8099999999999994E-2</v>
          </cell>
          <cell r="I9">
            <v>7.46E-2</v>
          </cell>
          <cell r="J9" t="str">
            <v xml:space="preserve"> </v>
          </cell>
          <cell r="K9">
            <v>1964</v>
          </cell>
          <cell r="L9">
            <v>0.14269999999999999</v>
          </cell>
          <cell r="M9">
            <v>97710079.469999999</v>
          </cell>
          <cell r="N9">
            <v>310801071.30000001</v>
          </cell>
          <cell r="O9">
            <v>21281940.780000001</v>
          </cell>
          <cell r="P9">
            <v>25798459.210000001</v>
          </cell>
          <cell r="Q9">
            <v>21905389.649999999</v>
          </cell>
          <cell r="R9" t="str">
            <v xml:space="preserve"> </v>
          </cell>
          <cell r="S9">
            <v>47703848.859999999</v>
          </cell>
          <cell r="T9">
            <v>408511150.76999998</v>
          </cell>
          <cell r="U9">
            <v>6.3200000000000006E-2</v>
          </cell>
          <cell r="V9">
            <v>5.3600000000000002E-2</v>
          </cell>
          <cell r="W9" t="str">
            <v xml:space="preserve"> </v>
          </cell>
          <cell r="X9">
            <v>0.1168</v>
          </cell>
        </row>
        <row r="10">
          <cell r="A10">
            <v>210004</v>
          </cell>
          <cell r="B10" t="str">
            <v>Holy Cross</v>
          </cell>
          <cell r="C10" t="str">
            <v>GBR</v>
          </cell>
          <cell r="D10">
            <v>31597</v>
          </cell>
          <cell r="E10">
            <v>1666</v>
          </cell>
          <cell r="F10">
            <v>1553</v>
          </cell>
          <cell r="G10">
            <v>9</v>
          </cell>
          <cell r="H10">
            <v>5.2699999999999997E-2</v>
          </cell>
          <cell r="I10">
            <v>4.9200000000000001E-2</v>
          </cell>
          <cell r="J10">
            <v>2.9999999999999997E-4</v>
          </cell>
          <cell r="K10">
            <v>3228</v>
          </cell>
          <cell r="L10">
            <v>0.1022</v>
          </cell>
          <cell r="M10">
            <v>170631302.50999999</v>
          </cell>
          <cell r="N10">
            <v>416278479.56999999</v>
          </cell>
          <cell r="O10">
            <v>20709949.940000001</v>
          </cell>
          <cell r="P10">
            <v>36940084.630000003</v>
          </cell>
          <cell r="Q10">
            <v>27042887.77</v>
          </cell>
          <cell r="R10">
            <v>67979.44</v>
          </cell>
          <cell r="S10">
            <v>64050951.840000004</v>
          </cell>
          <cell r="T10">
            <v>586909782.08000004</v>
          </cell>
          <cell r="U10">
            <v>6.2899999999999998E-2</v>
          </cell>
          <cell r="V10">
            <v>4.6100000000000002E-2</v>
          </cell>
          <cell r="W10">
            <v>1E-4</v>
          </cell>
          <cell r="X10">
            <v>0.1091</v>
          </cell>
        </row>
        <row r="11">
          <cell r="A11">
            <v>210005</v>
          </cell>
          <cell r="B11" t="str">
            <v>Frederick</v>
          </cell>
          <cell r="C11" t="str">
            <v>GBR</v>
          </cell>
          <cell r="D11">
            <v>20014</v>
          </cell>
          <cell r="E11">
            <v>1664</v>
          </cell>
          <cell r="F11">
            <v>1570</v>
          </cell>
          <cell r="G11">
            <v>14</v>
          </cell>
          <cell r="H11">
            <v>8.3099999999999993E-2</v>
          </cell>
          <cell r="I11">
            <v>7.8399999999999997E-2</v>
          </cell>
          <cell r="J11">
            <v>6.9999999999999999E-4</v>
          </cell>
          <cell r="K11">
            <v>3248</v>
          </cell>
          <cell r="L11">
            <v>0.1623</v>
          </cell>
          <cell r="M11">
            <v>144152376.56</v>
          </cell>
          <cell r="N11">
            <v>261974979.62</v>
          </cell>
          <cell r="O11">
            <v>29193677.899999999</v>
          </cell>
          <cell r="P11">
            <v>29816275.02</v>
          </cell>
          <cell r="Q11">
            <v>21115155.510000002</v>
          </cell>
          <cell r="R11">
            <v>84403.86</v>
          </cell>
          <cell r="S11">
            <v>51015834.390000001</v>
          </cell>
          <cell r="T11">
            <v>406127356.18000001</v>
          </cell>
          <cell r="U11">
            <v>7.3400000000000007E-2</v>
          </cell>
          <cell r="V11">
            <v>5.1999999999999998E-2</v>
          </cell>
          <cell r="W11">
            <v>2.0000000000000001E-4</v>
          </cell>
          <cell r="X11">
            <v>0.12559999999999999</v>
          </cell>
        </row>
        <row r="12">
          <cell r="A12">
            <v>210006</v>
          </cell>
          <cell r="B12" t="str">
            <v>UM-Harford</v>
          </cell>
          <cell r="C12" t="str">
            <v>GBR</v>
          </cell>
          <cell r="D12">
            <v>4938</v>
          </cell>
          <cell r="E12">
            <v>659</v>
          </cell>
          <cell r="F12">
            <v>614</v>
          </cell>
          <cell r="G12" t="str">
            <v xml:space="preserve"> </v>
          </cell>
          <cell r="H12">
            <v>0.13350000000000001</v>
          </cell>
          <cell r="I12">
            <v>0.12429999999999999</v>
          </cell>
          <cell r="J12" t="str">
            <v xml:space="preserve"> </v>
          </cell>
          <cell r="K12">
            <v>1273</v>
          </cell>
          <cell r="L12">
            <v>0.25779999999999997</v>
          </cell>
          <cell r="M12">
            <v>48715821.049999997</v>
          </cell>
          <cell r="N12">
            <v>71288115.790000007</v>
          </cell>
          <cell r="O12">
            <v>10655290.869999999</v>
          </cell>
          <cell r="P12">
            <v>12043648.33</v>
          </cell>
          <cell r="Q12">
            <v>8651499.9700000007</v>
          </cell>
          <cell r="R12" t="str">
            <v xml:space="preserve"> </v>
          </cell>
          <cell r="S12">
            <v>20695148.300000001</v>
          </cell>
          <cell r="T12">
            <v>120003936.84</v>
          </cell>
          <cell r="U12">
            <v>0.1004</v>
          </cell>
          <cell r="V12">
            <v>7.2099999999999997E-2</v>
          </cell>
          <cell r="W12" t="str">
            <v xml:space="preserve"> </v>
          </cell>
          <cell r="X12">
            <v>0.17249999999999999</v>
          </cell>
        </row>
        <row r="13">
          <cell r="A13">
            <v>210008</v>
          </cell>
          <cell r="B13" t="str">
            <v>Mercy</v>
          </cell>
          <cell r="C13" t="str">
            <v>GBR</v>
          </cell>
          <cell r="D13">
            <v>13292</v>
          </cell>
          <cell r="E13">
            <v>953</v>
          </cell>
          <cell r="F13">
            <v>809</v>
          </cell>
          <cell r="G13" t="str">
            <v xml:space="preserve"> </v>
          </cell>
          <cell r="H13">
            <v>7.17E-2</v>
          </cell>
          <cell r="I13">
            <v>6.0900000000000003E-2</v>
          </cell>
          <cell r="J13" t="str">
            <v xml:space="preserve"> </v>
          </cell>
          <cell r="K13">
            <v>1762</v>
          </cell>
          <cell r="L13">
            <v>0.1326</v>
          </cell>
          <cell r="M13">
            <v>436782398.54000002</v>
          </cell>
          <cell r="N13">
            <v>204700860.59999999</v>
          </cell>
          <cell r="O13">
            <v>25873942.16</v>
          </cell>
          <cell r="P13">
            <v>18178044.25</v>
          </cell>
          <cell r="Q13">
            <v>13890195.07</v>
          </cell>
          <cell r="R13" t="str">
            <v xml:space="preserve"> </v>
          </cell>
          <cell r="S13">
            <v>32068239.32</v>
          </cell>
          <cell r="T13">
            <v>641483259.13999999</v>
          </cell>
          <cell r="U13">
            <v>2.8299999999999999E-2</v>
          </cell>
          <cell r="V13">
            <v>2.1700000000000001E-2</v>
          </cell>
          <cell r="W13" t="str">
            <v xml:space="preserve"> </v>
          </cell>
          <cell r="X13">
            <v>0.05</v>
          </cell>
        </row>
        <row r="14">
          <cell r="A14">
            <v>210009</v>
          </cell>
          <cell r="B14" t="str">
            <v>Johns Hopkins</v>
          </cell>
          <cell r="C14" t="str">
            <v>GBR</v>
          </cell>
          <cell r="D14">
            <v>43289</v>
          </cell>
          <cell r="E14">
            <v>4322</v>
          </cell>
          <cell r="F14">
            <v>2116</v>
          </cell>
          <cell r="G14">
            <v>158</v>
          </cell>
          <cell r="H14">
            <v>9.98E-2</v>
          </cell>
          <cell r="I14">
            <v>4.8899999999999999E-2</v>
          </cell>
          <cell r="J14">
            <v>3.5999999999999999E-3</v>
          </cell>
          <cell r="K14">
            <v>6596</v>
          </cell>
          <cell r="L14">
            <v>0.15240000000000001</v>
          </cell>
          <cell r="M14">
            <v>1111707970.7</v>
          </cell>
          <cell r="N14">
            <v>1694999508.73</v>
          </cell>
          <cell r="O14">
            <v>24618052.100000001</v>
          </cell>
          <cell r="P14">
            <v>152262089.34</v>
          </cell>
          <cell r="Q14">
            <v>67415323.420000002</v>
          </cell>
          <cell r="R14">
            <v>1703433.45</v>
          </cell>
          <cell r="S14">
            <v>221380846.21000001</v>
          </cell>
          <cell r="T14">
            <v>2806707479.4299998</v>
          </cell>
          <cell r="U14">
            <v>5.4199999999999998E-2</v>
          </cell>
          <cell r="V14">
            <v>2.4E-2</v>
          </cell>
          <cell r="W14">
            <v>5.9999999999999995E-4</v>
          </cell>
          <cell r="X14">
            <v>7.8899999999999998E-2</v>
          </cell>
        </row>
        <row r="15">
          <cell r="A15">
            <v>210011</v>
          </cell>
          <cell r="B15" t="str">
            <v>Ascension Saint Agnes Hospital</v>
          </cell>
          <cell r="C15" t="str">
            <v>GBR</v>
          </cell>
          <cell r="D15">
            <v>15215</v>
          </cell>
          <cell r="E15">
            <v>1448</v>
          </cell>
          <cell r="F15">
            <v>1556</v>
          </cell>
          <cell r="G15">
            <v>35</v>
          </cell>
          <cell r="H15">
            <v>9.5200000000000007E-2</v>
          </cell>
          <cell r="I15">
            <v>0.1023</v>
          </cell>
          <cell r="J15">
            <v>2.3E-3</v>
          </cell>
          <cell r="K15">
            <v>3039</v>
          </cell>
          <cell r="L15">
            <v>0.19969999999999999</v>
          </cell>
          <cell r="M15">
            <v>259699452</v>
          </cell>
          <cell r="N15">
            <v>248531010.47999999</v>
          </cell>
          <cell r="O15">
            <v>37732450.659999996</v>
          </cell>
          <cell r="P15">
            <v>34249615.759999998</v>
          </cell>
          <cell r="Q15">
            <v>24030169.890000001</v>
          </cell>
          <cell r="R15">
            <v>248617.95</v>
          </cell>
          <cell r="S15">
            <v>58528403.600000001</v>
          </cell>
          <cell r="T15">
            <v>508230462.48000002</v>
          </cell>
          <cell r="U15">
            <v>6.7400000000000002E-2</v>
          </cell>
          <cell r="V15">
            <v>4.7300000000000002E-2</v>
          </cell>
          <cell r="W15">
            <v>5.0000000000000001E-4</v>
          </cell>
          <cell r="X15">
            <v>0.1152</v>
          </cell>
        </row>
        <row r="16">
          <cell r="A16">
            <v>210012</v>
          </cell>
          <cell r="B16" t="str">
            <v>Sinai</v>
          </cell>
          <cell r="C16" t="str">
            <v>GBR</v>
          </cell>
          <cell r="D16">
            <v>18786</v>
          </cell>
          <cell r="E16">
            <v>1582</v>
          </cell>
          <cell r="F16">
            <v>1381</v>
          </cell>
          <cell r="G16">
            <v>57</v>
          </cell>
          <cell r="H16">
            <v>8.4199999999999997E-2</v>
          </cell>
          <cell r="I16">
            <v>7.3499999999999996E-2</v>
          </cell>
          <cell r="J16">
            <v>3.0000000000000001E-3</v>
          </cell>
          <cell r="K16">
            <v>3020</v>
          </cell>
          <cell r="L16">
            <v>0.1608</v>
          </cell>
          <cell r="M16">
            <v>419523751.54000002</v>
          </cell>
          <cell r="N16">
            <v>523497856.87</v>
          </cell>
          <cell r="O16">
            <v>19787265.300000001</v>
          </cell>
          <cell r="P16">
            <v>55501447.899999999</v>
          </cell>
          <cell r="Q16">
            <v>31272178.800000001</v>
          </cell>
          <cell r="R16">
            <v>918780.29</v>
          </cell>
          <cell r="S16">
            <v>87692406.989999995</v>
          </cell>
          <cell r="T16">
            <v>943021608.40999997</v>
          </cell>
          <cell r="U16">
            <v>5.8900000000000001E-2</v>
          </cell>
          <cell r="V16">
            <v>3.32E-2</v>
          </cell>
          <cell r="W16">
            <v>1E-3</v>
          </cell>
          <cell r="X16">
            <v>9.2999999999999999E-2</v>
          </cell>
        </row>
        <row r="17">
          <cell r="A17">
            <v>210015</v>
          </cell>
          <cell r="B17" t="str">
            <v>MedStar Fr Square</v>
          </cell>
          <cell r="C17" t="str">
            <v>GBR</v>
          </cell>
          <cell r="D17">
            <v>23763</v>
          </cell>
          <cell r="E17">
            <v>2347</v>
          </cell>
          <cell r="F17">
            <v>2548</v>
          </cell>
          <cell r="G17">
            <v>2</v>
          </cell>
          <cell r="H17">
            <v>9.8799999999999999E-2</v>
          </cell>
          <cell r="I17">
            <v>0.1072</v>
          </cell>
          <cell r="J17">
            <v>1E-4</v>
          </cell>
          <cell r="K17">
            <v>4897</v>
          </cell>
          <cell r="L17">
            <v>0.20610000000000001</v>
          </cell>
          <cell r="M17">
            <v>282900022.14999998</v>
          </cell>
          <cell r="N17">
            <v>357123622.63</v>
          </cell>
          <cell r="O17">
            <v>44583718.659999996</v>
          </cell>
          <cell r="P17">
            <v>44430230.170000002</v>
          </cell>
          <cell r="Q17">
            <v>36732860.460000001</v>
          </cell>
          <cell r="R17">
            <v>20332.509999999998</v>
          </cell>
          <cell r="S17">
            <v>81183423.140000001</v>
          </cell>
          <cell r="T17">
            <v>640023644.77999997</v>
          </cell>
          <cell r="U17">
            <v>6.9400000000000003E-2</v>
          </cell>
          <cell r="V17">
            <v>5.74E-2</v>
          </cell>
          <cell r="W17">
            <v>0</v>
          </cell>
          <cell r="X17">
            <v>0.1268</v>
          </cell>
        </row>
        <row r="18">
          <cell r="A18">
            <v>210016</v>
          </cell>
          <cell r="B18" t="str">
            <v>Adventist White Oak</v>
          </cell>
          <cell r="C18" t="str">
            <v>GBR</v>
          </cell>
          <cell r="D18">
            <v>13404</v>
          </cell>
          <cell r="E18">
            <v>998</v>
          </cell>
          <cell r="F18">
            <v>1164</v>
          </cell>
          <cell r="G18" t="str">
            <v xml:space="preserve"> </v>
          </cell>
          <cell r="H18">
            <v>7.4499999999999997E-2</v>
          </cell>
          <cell r="I18">
            <v>8.6800000000000002E-2</v>
          </cell>
          <cell r="J18" t="str">
            <v xml:space="preserve"> </v>
          </cell>
          <cell r="K18">
            <v>2162</v>
          </cell>
          <cell r="L18">
            <v>0.1613</v>
          </cell>
          <cell r="M18">
            <v>110835345.54000001</v>
          </cell>
          <cell r="N18">
            <v>241474787.03</v>
          </cell>
          <cell r="O18">
            <v>19886953.899999999</v>
          </cell>
          <cell r="P18">
            <v>25341001.579999998</v>
          </cell>
          <cell r="Q18">
            <v>22692390.379999999</v>
          </cell>
          <cell r="R18" t="str">
            <v xml:space="preserve"> </v>
          </cell>
          <cell r="S18">
            <v>48033391.960000001</v>
          </cell>
          <cell r="T18">
            <v>352310132.56999999</v>
          </cell>
          <cell r="U18">
            <v>7.1900000000000006E-2</v>
          </cell>
          <cell r="V18">
            <v>6.4399999999999999E-2</v>
          </cell>
          <cell r="W18" t="str">
            <v xml:space="preserve"> </v>
          </cell>
          <cell r="X18">
            <v>0.1363</v>
          </cell>
        </row>
        <row r="19">
          <cell r="A19">
            <v>210017</v>
          </cell>
          <cell r="B19" t="str">
            <v>Garrett</v>
          </cell>
          <cell r="C19" t="str">
            <v>TPR</v>
          </cell>
          <cell r="D19">
            <v>2201</v>
          </cell>
          <cell r="E19">
            <v>125</v>
          </cell>
          <cell r="F19">
            <v>280</v>
          </cell>
          <cell r="G19">
            <v>4</v>
          </cell>
          <cell r="H19">
            <v>5.6800000000000003E-2</v>
          </cell>
          <cell r="I19">
            <v>0.12720000000000001</v>
          </cell>
          <cell r="J19">
            <v>1.8E-3</v>
          </cell>
          <cell r="K19">
            <v>409</v>
          </cell>
          <cell r="L19">
            <v>0.18579999999999999</v>
          </cell>
          <cell r="M19">
            <v>50316093.280000001</v>
          </cell>
          <cell r="N19">
            <v>23970218.800000001</v>
          </cell>
          <cell r="O19">
            <v>4962013.6500000004</v>
          </cell>
          <cell r="P19">
            <v>1498851.93</v>
          </cell>
          <cell r="Q19">
            <v>3792263.72</v>
          </cell>
          <cell r="R19">
            <v>25730.54</v>
          </cell>
          <cell r="S19">
            <v>5316846.1900000004</v>
          </cell>
          <cell r="T19">
            <v>74286312.079999998</v>
          </cell>
          <cell r="U19">
            <v>2.0199999999999999E-2</v>
          </cell>
          <cell r="V19">
            <v>5.0999999999999997E-2</v>
          </cell>
          <cell r="W19">
            <v>2.9999999999999997E-4</v>
          </cell>
          <cell r="X19">
            <v>7.1599999999999997E-2</v>
          </cell>
        </row>
        <row r="20">
          <cell r="A20">
            <v>210018</v>
          </cell>
          <cell r="B20" t="str">
            <v>MedStar Montgomery</v>
          </cell>
          <cell r="C20" t="str">
            <v>GBR</v>
          </cell>
          <cell r="D20">
            <v>7687</v>
          </cell>
          <cell r="E20">
            <v>841</v>
          </cell>
          <cell r="F20">
            <v>716</v>
          </cell>
          <cell r="G20">
            <v>5</v>
          </cell>
          <cell r="H20">
            <v>0.1094</v>
          </cell>
          <cell r="I20">
            <v>9.3100000000000002E-2</v>
          </cell>
          <cell r="J20">
            <v>6.9999999999999999E-4</v>
          </cell>
          <cell r="K20">
            <v>1562</v>
          </cell>
          <cell r="L20">
            <v>0.20319999999999999</v>
          </cell>
          <cell r="M20">
            <v>109602624.17</v>
          </cell>
          <cell r="N20">
            <v>91694765.299999997</v>
          </cell>
          <cell r="O20">
            <v>17460232.32</v>
          </cell>
          <cell r="P20">
            <v>15149764.609999999</v>
          </cell>
          <cell r="Q20">
            <v>9624500.4100000001</v>
          </cell>
          <cell r="R20">
            <v>26474.82</v>
          </cell>
          <cell r="S20">
            <v>24800739.84</v>
          </cell>
          <cell r="T20">
            <v>201297389.47</v>
          </cell>
          <cell r="U20">
            <v>7.5300000000000006E-2</v>
          </cell>
          <cell r="V20">
            <v>4.7800000000000002E-2</v>
          </cell>
          <cell r="W20">
            <v>1E-4</v>
          </cell>
          <cell r="X20">
            <v>0.1232</v>
          </cell>
        </row>
        <row r="21">
          <cell r="A21">
            <v>210019</v>
          </cell>
          <cell r="B21" t="str">
            <v>Peninsula</v>
          </cell>
          <cell r="C21" t="str">
            <v>GBR</v>
          </cell>
          <cell r="D21">
            <v>20815</v>
          </cell>
          <cell r="E21">
            <v>1776</v>
          </cell>
          <cell r="F21">
            <v>1015</v>
          </cell>
          <cell r="G21">
            <v>19</v>
          </cell>
          <cell r="H21">
            <v>8.5300000000000001E-2</v>
          </cell>
          <cell r="I21">
            <v>4.8800000000000003E-2</v>
          </cell>
          <cell r="J21">
            <v>8.9999999999999998E-4</v>
          </cell>
          <cell r="K21">
            <v>2810</v>
          </cell>
          <cell r="L21">
            <v>0.13500000000000001</v>
          </cell>
          <cell r="M21">
            <v>216030462.12</v>
          </cell>
          <cell r="N21">
            <v>322353674.39999998</v>
          </cell>
          <cell r="O21">
            <v>21403659.239999998</v>
          </cell>
          <cell r="P21">
            <v>35393018.799999997</v>
          </cell>
          <cell r="Q21">
            <v>12758031.08</v>
          </cell>
          <cell r="R21">
            <v>90078.9</v>
          </cell>
          <cell r="S21">
            <v>48241128.780000001</v>
          </cell>
          <cell r="T21">
            <v>538384136.51999998</v>
          </cell>
          <cell r="U21">
            <v>6.5699999999999995E-2</v>
          </cell>
          <cell r="V21">
            <v>2.3699999999999999E-2</v>
          </cell>
          <cell r="W21">
            <v>2.0000000000000001E-4</v>
          </cell>
          <cell r="X21">
            <v>8.9599999999999999E-2</v>
          </cell>
        </row>
        <row r="22">
          <cell r="A22">
            <v>210022</v>
          </cell>
          <cell r="B22" t="str">
            <v>Suburban</v>
          </cell>
          <cell r="C22" t="str">
            <v>GBR</v>
          </cell>
          <cell r="D22">
            <v>13996</v>
          </cell>
          <cell r="E22">
            <v>1488</v>
          </cell>
          <cell r="F22">
            <v>1064</v>
          </cell>
          <cell r="G22">
            <v>3</v>
          </cell>
          <cell r="H22">
            <v>0.10630000000000001</v>
          </cell>
          <cell r="I22">
            <v>7.5999999999999998E-2</v>
          </cell>
          <cell r="J22">
            <v>2.0000000000000001E-4</v>
          </cell>
          <cell r="K22">
            <v>2555</v>
          </cell>
          <cell r="L22">
            <v>0.18260000000000001</v>
          </cell>
          <cell r="M22">
            <v>168573639.86000001</v>
          </cell>
          <cell r="N22">
            <v>235986538.83000001</v>
          </cell>
          <cell r="O22">
            <v>32709425.960000001</v>
          </cell>
          <cell r="P22">
            <v>28431457.329999998</v>
          </cell>
          <cell r="Q22">
            <v>13382647.630000001</v>
          </cell>
          <cell r="R22">
            <v>41196.629999999997</v>
          </cell>
          <cell r="S22">
            <v>41855301.590000004</v>
          </cell>
          <cell r="T22">
            <v>404560178.69</v>
          </cell>
          <cell r="U22">
            <v>7.0300000000000001E-2</v>
          </cell>
          <cell r="V22">
            <v>3.3099999999999997E-2</v>
          </cell>
          <cell r="W22">
            <v>1E-4</v>
          </cell>
          <cell r="X22">
            <v>0.10349999999999999</v>
          </cell>
        </row>
        <row r="23">
          <cell r="A23">
            <v>210023</v>
          </cell>
          <cell r="B23" t="str">
            <v>Anne Arundel</v>
          </cell>
          <cell r="C23" t="str">
            <v>GBR</v>
          </cell>
          <cell r="D23">
            <v>32083</v>
          </cell>
          <cell r="E23">
            <v>2400</v>
          </cell>
          <cell r="F23">
            <v>2841</v>
          </cell>
          <cell r="G23">
            <v>24</v>
          </cell>
          <cell r="H23">
            <v>7.4800000000000005E-2</v>
          </cell>
          <cell r="I23">
            <v>8.8599999999999998E-2</v>
          </cell>
          <cell r="J23">
            <v>6.9999999999999999E-4</v>
          </cell>
          <cell r="K23">
            <v>5265</v>
          </cell>
          <cell r="L23">
            <v>0.1641</v>
          </cell>
          <cell r="M23">
            <v>360934843.64999998</v>
          </cell>
          <cell r="N23">
            <v>387908432.32999998</v>
          </cell>
          <cell r="O23">
            <v>25339144.59</v>
          </cell>
          <cell r="P23">
            <v>42744851.460000001</v>
          </cell>
          <cell r="Q23">
            <v>37089951.759999998</v>
          </cell>
          <cell r="R23">
            <v>161491.14000000001</v>
          </cell>
          <cell r="S23">
            <v>79996294.359999999</v>
          </cell>
          <cell r="T23">
            <v>748843275.98000002</v>
          </cell>
          <cell r="U23">
            <v>5.7099999999999998E-2</v>
          </cell>
          <cell r="V23">
            <v>4.9500000000000002E-2</v>
          </cell>
          <cell r="W23">
            <v>2.0000000000000001E-4</v>
          </cell>
          <cell r="X23">
            <v>0.10680000000000001</v>
          </cell>
        </row>
        <row r="24">
          <cell r="A24">
            <v>210024</v>
          </cell>
          <cell r="B24" t="str">
            <v>MedStar Union Mem</v>
          </cell>
          <cell r="C24" t="str">
            <v>GBR</v>
          </cell>
          <cell r="D24">
            <v>10243</v>
          </cell>
          <cell r="E24">
            <v>1174</v>
          </cell>
          <cell r="F24">
            <v>1426</v>
          </cell>
          <cell r="G24" t="str">
            <v xml:space="preserve"> </v>
          </cell>
          <cell r="H24">
            <v>0.11459999999999999</v>
          </cell>
          <cell r="I24">
            <v>0.13919999999999999</v>
          </cell>
          <cell r="J24" t="str">
            <v xml:space="preserve"> </v>
          </cell>
          <cell r="K24">
            <v>2600</v>
          </cell>
          <cell r="L24">
            <v>0.25380000000000003</v>
          </cell>
          <cell r="M24">
            <v>204873625.52000001</v>
          </cell>
          <cell r="N24">
            <v>278921216.5</v>
          </cell>
          <cell r="O24">
            <v>14124596.720000001</v>
          </cell>
          <cell r="P24">
            <v>31636390.109999999</v>
          </cell>
          <cell r="Q24">
            <v>29180571.77</v>
          </cell>
          <cell r="R24" t="str">
            <v xml:space="preserve"> </v>
          </cell>
          <cell r="S24">
            <v>60816961.880000003</v>
          </cell>
          <cell r="T24">
            <v>483794842.01999998</v>
          </cell>
          <cell r="U24">
            <v>6.54E-2</v>
          </cell>
          <cell r="V24">
            <v>6.0299999999999999E-2</v>
          </cell>
          <cell r="W24" t="str">
            <v xml:space="preserve"> </v>
          </cell>
          <cell r="X24">
            <v>0.12570000000000001</v>
          </cell>
        </row>
        <row r="25">
          <cell r="A25">
            <v>210027</v>
          </cell>
          <cell r="B25" t="str">
            <v>Western Maryland</v>
          </cell>
          <cell r="C25" t="str">
            <v>TPR</v>
          </cell>
          <cell r="D25">
            <v>11898</v>
          </cell>
          <cell r="E25">
            <v>1141</v>
          </cell>
          <cell r="F25">
            <v>1197</v>
          </cell>
          <cell r="G25" t="str">
            <v xml:space="preserve"> </v>
          </cell>
          <cell r="H25">
            <v>9.5899999999999999E-2</v>
          </cell>
          <cell r="I25">
            <v>0.10059999999999999</v>
          </cell>
          <cell r="J25" t="str">
            <v xml:space="preserve"> </v>
          </cell>
          <cell r="K25">
            <v>2338</v>
          </cell>
          <cell r="L25">
            <v>0.19650000000000001</v>
          </cell>
          <cell r="M25">
            <v>186330791.59</v>
          </cell>
          <cell r="N25">
            <v>177595070.16</v>
          </cell>
          <cell r="O25">
            <v>17693350.039999999</v>
          </cell>
          <cell r="P25">
            <v>20806298.77</v>
          </cell>
          <cell r="Q25">
            <v>16248573.449999999</v>
          </cell>
          <cell r="R25" t="str">
            <v xml:space="preserve"> </v>
          </cell>
          <cell r="S25">
            <v>37054872.219999999</v>
          </cell>
          <cell r="T25">
            <v>363925861.75</v>
          </cell>
          <cell r="U25">
            <v>5.7200000000000001E-2</v>
          </cell>
          <cell r="V25">
            <v>4.4600000000000001E-2</v>
          </cell>
          <cell r="W25" t="str">
            <v xml:space="preserve"> </v>
          </cell>
          <cell r="X25">
            <v>0.1018</v>
          </cell>
        </row>
        <row r="26">
          <cell r="A26">
            <v>210028</v>
          </cell>
          <cell r="B26" t="str">
            <v>MedStar St. Mary's</v>
          </cell>
          <cell r="C26" t="str">
            <v>GBR</v>
          </cell>
          <cell r="D26">
            <v>8972</v>
          </cell>
          <cell r="E26">
            <v>729</v>
          </cell>
          <cell r="F26">
            <v>1099</v>
          </cell>
          <cell r="G26" t="str">
            <v xml:space="preserve"> </v>
          </cell>
          <cell r="H26">
            <v>8.1299999999999997E-2</v>
          </cell>
          <cell r="I26">
            <v>0.1225</v>
          </cell>
          <cell r="J26" t="str">
            <v xml:space="preserve"> </v>
          </cell>
          <cell r="K26">
            <v>1828</v>
          </cell>
          <cell r="L26">
            <v>0.20369999999999999</v>
          </cell>
          <cell r="M26">
            <v>117736332.08</v>
          </cell>
          <cell r="N26">
            <v>98127570.599999994</v>
          </cell>
          <cell r="O26">
            <v>10309247.57</v>
          </cell>
          <cell r="P26">
            <v>11179693.720000001</v>
          </cell>
          <cell r="Q26">
            <v>13064306.619999999</v>
          </cell>
          <cell r="R26" t="str">
            <v xml:space="preserve"> </v>
          </cell>
          <cell r="S26">
            <v>24244000.34</v>
          </cell>
          <cell r="T26">
            <v>215863902.68000001</v>
          </cell>
          <cell r="U26">
            <v>5.1799999999999999E-2</v>
          </cell>
          <cell r="V26">
            <v>6.0499999999999998E-2</v>
          </cell>
          <cell r="W26" t="str">
            <v xml:space="preserve"> </v>
          </cell>
          <cell r="X26">
            <v>0.1123</v>
          </cell>
        </row>
        <row r="27">
          <cell r="A27">
            <v>210029</v>
          </cell>
          <cell r="B27" t="str">
            <v>JH Bayview</v>
          </cell>
          <cell r="C27" t="str">
            <v>GBR</v>
          </cell>
          <cell r="D27">
            <v>18420</v>
          </cell>
          <cell r="E27">
            <v>1744</v>
          </cell>
          <cell r="F27">
            <v>1606</v>
          </cell>
          <cell r="G27">
            <v>11</v>
          </cell>
          <cell r="H27">
            <v>9.4700000000000006E-2</v>
          </cell>
          <cell r="I27">
            <v>8.72E-2</v>
          </cell>
          <cell r="J27">
            <v>5.9999999999999995E-4</v>
          </cell>
          <cell r="K27">
            <v>3361</v>
          </cell>
          <cell r="L27">
            <v>0.1825</v>
          </cell>
          <cell r="M27">
            <v>313072206.48000002</v>
          </cell>
          <cell r="N27">
            <v>459015949.63999999</v>
          </cell>
          <cell r="O27">
            <v>15830921.960000001</v>
          </cell>
          <cell r="P27">
            <v>46591145.609999999</v>
          </cell>
          <cell r="Q27">
            <v>36935649.82</v>
          </cell>
          <cell r="R27">
            <v>69482.789999999994</v>
          </cell>
          <cell r="S27">
            <v>83596278.219999999</v>
          </cell>
          <cell r="T27">
            <v>772088156.12</v>
          </cell>
          <cell r="U27">
            <v>6.0299999999999999E-2</v>
          </cell>
          <cell r="V27">
            <v>4.7800000000000002E-2</v>
          </cell>
          <cell r="W27">
            <v>1E-4</v>
          </cell>
          <cell r="X27">
            <v>0.10829999999999999</v>
          </cell>
        </row>
        <row r="28">
          <cell r="A28">
            <v>210030</v>
          </cell>
          <cell r="B28" t="str">
            <v>UM-Chestertown</v>
          </cell>
          <cell r="C28" t="str">
            <v>TPR</v>
          </cell>
          <cell r="D28">
            <v>560</v>
          </cell>
          <cell r="E28">
            <v>42</v>
          </cell>
          <cell r="F28">
            <v>117</v>
          </cell>
          <cell r="G28" t="str">
            <v xml:space="preserve"> </v>
          </cell>
          <cell r="H28">
            <v>7.4999999999999997E-2</v>
          </cell>
          <cell r="I28">
            <v>0.2089</v>
          </cell>
          <cell r="J28" t="str">
            <v xml:space="preserve"> </v>
          </cell>
          <cell r="K28">
            <v>159</v>
          </cell>
          <cell r="L28">
            <v>0.28389999999999999</v>
          </cell>
          <cell r="M28">
            <v>46127523.5</v>
          </cell>
          <cell r="N28">
            <v>7386785.7300000004</v>
          </cell>
          <cell r="O28">
            <v>5078513.38</v>
          </cell>
          <cell r="P28">
            <v>1079794.6200000001</v>
          </cell>
          <cell r="Q28">
            <v>2370232.1800000002</v>
          </cell>
          <cell r="R28" t="str">
            <v xml:space="preserve"> </v>
          </cell>
          <cell r="S28">
            <v>3450026.8</v>
          </cell>
          <cell r="T28">
            <v>53514309.229999997</v>
          </cell>
          <cell r="U28">
            <v>2.0199999999999999E-2</v>
          </cell>
          <cell r="V28">
            <v>4.4299999999999999E-2</v>
          </cell>
          <cell r="W28" t="str">
            <v xml:space="preserve"> </v>
          </cell>
          <cell r="X28">
            <v>6.4500000000000002E-2</v>
          </cell>
        </row>
        <row r="29">
          <cell r="A29">
            <v>210032</v>
          </cell>
          <cell r="B29" t="str">
            <v>ChristianaCare, Union</v>
          </cell>
          <cell r="C29" t="str">
            <v>TPR</v>
          </cell>
          <cell r="D29">
            <v>7139</v>
          </cell>
          <cell r="E29">
            <v>651</v>
          </cell>
          <cell r="F29">
            <v>1070</v>
          </cell>
          <cell r="G29" t="str">
            <v xml:space="preserve"> </v>
          </cell>
          <cell r="H29">
            <v>9.1200000000000003E-2</v>
          </cell>
          <cell r="I29">
            <v>0.14990000000000001</v>
          </cell>
          <cell r="J29" t="str">
            <v xml:space="preserve"> </v>
          </cell>
          <cell r="K29">
            <v>1721</v>
          </cell>
          <cell r="L29">
            <v>0.24110000000000001</v>
          </cell>
          <cell r="M29">
            <v>86434413.299999997</v>
          </cell>
          <cell r="N29">
            <v>96717474.299999997</v>
          </cell>
          <cell r="O29">
            <v>4825809.6500000004</v>
          </cell>
          <cell r="P29">
            <v>10934048.9</v>
          </cell>
          <cell r="Q29">
            <v>13706337.810000001</v>
          </cell>
          <cell r="R29" t="str">
            <v xml:space="preserve"> </v>
          </cell>
          <cell r="S29">
            <v>24640386.710000001</v>
          </cell>
          <cell r="T29">
            <v>183151887.59999999</v>
          </cell>
          <cell r="U29">
            <v>5.9700000000000003E-2</v>
          </cell>
          <cell r="V29">
            <v>7.4800000000000005E-2</v>
          </cell>
          <cell r="W29" t="str">
            <v xml:space="preserve"> </v>
          </cell>
          <cell r="X29">
            <v>0.13450000000000001</v>
          </cell>
        </row>
        <row r="30">
          <cell r="A30">
            <v>210033</v>
          </cell>
          <cell r="B30" t="str">
            <v>Carroll</v>
          </cell>
          <cell r="C30" t="str">
            <v>TPR</v>
          </cell>
          <cell r="D30">
            <v>11937</v>
          </cell>
          <cell r="E30">
            <v>1064</v>
          </cell>
          <cell r="F30">
            <v>1594</v>
          </cell>
          <cell r="G30">
            <v>9</v>
          </cell>
          <cell r="H30">
            <v>8.9099999999999999E-2</v>
          </cell>
          <cell r="I30">
            <v>0.13350000000000001</v>
          </cell>
          <cell r="J30">
            <v>8.0000000000000004E-4</v>
          </cell>
          <cell r="K30">
            <v>2667</v>
          </cell>
          <cell r="L30">
            <v>0.22339999999999999</v>
          </cell>
          <cell r="M30">
            <v>102455474.62</v>
          </cell>
          <cell r="N30">
            <v>158477524.65000001</v>
          </cell>
          <cell r="O30">
            <v>15250675.73</v>
          </cell>
          <cell r="P30">
            <v>19313804.620000001</v>
          </cell>
          <cell r="Q30">
            <v>20648810.120000001</v>
          </cell>
          <cell r="R30">
            <v>85803.29</v>
          </cell>
          <cell r="S30">
            <v>40048418.030000001</v>
          </cell>
          <cell r="T30">
            <v>260932999.27000001</v>
          </cell>
          <cell r="U30">
            <v>7.3999999999999996E-2</v>
          </cell>
          <cell r="V30">
            <v>7.9100000000000004E-2</v>
          </cell>
          <cell r="W30">
            <v>2.9999999999999997E-4</v>
          </cell>
          <cell r="X30">
            <v>0.1535</v>
          </cell>
        </row>
        <row r="31">
          <cell r="A31">
            <v>210034</v>
          </cell>
          <cell r="B31" t="str">
            <v>MedStar Harbor</v>
          </cell>
          <cell r="C31" t="str">
            <v>GBR</v>
          </cell>
          <cell r="D31">
            <v>8911</v>
          </cell>
          <cell r="E31">
            <v>835</v>
          </cell>
          <cell r="F31">
            <v>965</v>
          </cell>
          <cell r="G31" t="str">
            <v xml:space="preserve"> </v>
          </cell>
          <cell r="H31">
            <v>9.3700000000000006E-2</v>
          </cell>
          <cell r="I31">
            <v>0.10829999999999999</v>
          </cell>
          <cell r="J31" t="str">
            <v xml:space="preserve"> </v>
          </cell>
          <cell r="K31">
            <v>1800</v>
          </cell>
          <cell r="L31">
            <v>0.20200000000000001</v>
          </cell>
          <cell r="M31">
            <v>80903739.969999999</v>
          </cell>
          <cell r="N31">
            <v>128125080.26000001</v>
          </cell>
          <cell r="O31">
            <v>13112034.33</v>
          </cell>
          <cell r="P31">
            <v>17406275.039999999</v>
          </cell>
          <cell r="Q31">
            <v>14989329.32</v>
          </cell>
          <cell r="R31" t="str">
            <v xml:space="preserve"> </v>
          </cell>
          <cell r="S31">
            <v>32395604.359999999</v>
          </cell>
          <cell r="T31">
            <v>209028820.22999999</v>
          </cell>
          <cell r="U31">
            <v>8.3299999999999999E-2</v>
          </cell>
          <cell r="V31">
            <v>7.17E-2</v>
          </cell>
          <cell r="W31" t="str">
            <v xml:space="preserve"> </v>
          </cell>
          <cell r="X31">
            <v>0.155</v>
          </cell>
        </row>
        <row r="32">
          <cell r="A32">
            <v>210035</v>
          </cell>
          <cell r="B32" t="str">
            <v>UM-Charles Regional</v>
          </cell>
          <cell r="C32" t="str">
            <v>GBR</v>
          </cell>
          <cell r="D32">
            <v>6667</v>
          </cell>
          <cell r="E32">
            <v>596</v>
          </cell>
          <cell r="F32">
            <v>608</v>
          </cell>
          <cell r="G32" t="str">
            <v xml:space="preserve"> </v>
          </cell>
          <cell r="H32">
            <v>8.9399999999999993E-2</v>
          </cell>
          <cell r="I32">
            <v>9.1200000000000003E-2</v>
          </cell>
          <cell r="J32" t="str">
            <v xml:space="preserve"> </v>
          </cell>
          <cell r="K32">
            <v>1204</v>
          </cell>
          <cell r="L32">
            <v>0.18060000000000001</v>
          </cell>
          <cell r="M32">
            <v>80931204.140000001</v>
          </cell>
          <cell r="N32">
            <v>95511266.959999993</v>
          </cell>
          <cell r="O32">
            <v>5881966.9699999997</v>
          </cell>
          <cell r="P32">
            <v>11734093.91</v>
          </cell>
          <cell r="Q32">
            <v>8458933.4600000009</v>
          </cell>
          <cell r="R32" t="str">
            <v xml:space="preserve"> </v>
          </cell>
          <cell r="S32">
            <v>20193027.370000001</v>
          </cell>
          <cell r="T32">
            <v>176442471.09999999</v>
          </cell>
          <cell r="U32">
            <v>6.6500000000000004E-2</v>
          </cell>
          <cell r="V32">
            <v>4.7899999999999998E-2</v>
          </cell>
          <cell r="W32" t="str">
            <v xml:space="preserve"> </v>
          </cell>
          <cell r="X32">
            <v>0.1144</v>
          </cell>
        </row>
        <row r="33">
          <cell r="A33">
            <v>210037</v>
          </cell>
          <cell r="B33" t="str">
            <v>UM-Easton</v>
          </cell>
          <cell r="C33" t="str">
            <v>TPR</v>
          </cell>
          <cell r="D33">
            <v>8320</v>
          </cell>
          <cell r="E33">
            <v>700</v>
          </cell>
          <cell r="F33">
            <v>621</v>
          </cell>
          <cell r="G33">
            <v>2</v>
          </cell>
          <cell r="H33">
            <v>8.4099999999999994E-2</v>
          </cell>
          <cell r="I33">
            <v>7.46E-2</v>
          </cell>
          <cell r="J33">
            <v>2.0000000000000001E-4</v>
          </cell>
          <cell r="K33">
            <v>1323</v>
          </cell>
          <cell r="L33">
            <v>0.159</v>
          </cell>
          <cell r="M33">
            <v>170074529.84</v>
          </cell>
          <cell r="N33">
            <v>135469894.36000001</v>
          </cell>
          <cell r="O33">
            <v>25639621.57</v>
          </cell>
          <cell r="P33">
            <v>17773445.260000002</v>
          </cell>
          <cell r="Q33">
            <v>11568293.949999999</v>
          </cell>
          <cell r="R33">
            <v>18515.400000000001</v>
          </cell>
          <cell r="S33">
            <v>29360254.609999999</v>
          </cell>
          <cell r="T33">
            <v>305544424.19999999</v>
          </cell>
          <cell r="U33">
            <v>5.8200000000000002E-2</v>
          </cell>
          <cell r="V33">
            <v>3.7900000000000003E-2</v>
          </cell>
          <cell r="W33">
            <v>1E-4</v>
          </cell>
          <cell r="X33">
            <v>9.6100000000000005E-2</v>
          </cell>
        </row>
        <row r="34">
          <cell r="A34">
            <v>210038</v>
          </cell>
          <cell r="B34" t="str">
            <v>UMMC Midtown</v>
          </cell>
          <cell r="C34" t="str">
            <v>GBR</v>
          </cell>
          <cell r="D34">
            <v>4756</v>
          </cell>
          <cell r="E34">
            <v>586</v>
          </cell>
          <cell r="F34">
            <v>626</v>
          </cell>
          <cell r="G34" t="str">
            <v xml:space="preserve"> </v>
          </cell>
          <cell r="H34">
            <v>0.1232</v>
          </cell>
          <cell r="I34">
            <v>0.13159999999999999</v>
          </cell>
          <cell r="J34" t="str">
            <v xml:space="preserve"> </v>
          </cell>
          <cell r="K34">
            <v>1212</v>
          </cell>
          <cell r="L34">
            <v>0.25480000000000003</v>
          </cell>
          <cell r="M34">
            <v>116525233.33</v>
          </cell>
          <cell r="N34">
            <v>132465448.48</v>
          </cell>
          <cell r="O34">
            <v>8235259.6399999997</v>
          </cell>
          <cell r="P34">
            <v>15787573.32</v>
          </cell>
          <cell r="Q34">
            <v>15119267.84</v>
          </cell>
          <cell r="R34" t="str">
            <v xml:space="preserve"> </v>
          </cell>
          <cell r="S34">
            <v>30906841.16</v>
          </cell>
          <cell r="T34">
            <v>248990681.81</v>
          </cell>
          <cell r="U34">
            <v>6.3399999999999998E-2</v>
          </cell>
          <cell r="V34">
            <v>6.0699999999999997E-2</v>
          </cell>
          <cell r="W34" t="str">
            <v xml:space="preserve"> </v>
          </cell>
          <cell r="X34">
            <v>0.1241</v>
          </cell>
        </row>
        <row r="35">
          <cell r="A35">
            <v>210039</v>
          </cell>
          <cell r="B35" t="str">
            <v>Calvert</v>
          </cell>
          <cell r="C35" t="str">
            <v>TPR</v>
          </cell>
          <cell r="D35">
            <v>6709</v>
          </cell>
          <cell r="E35">
            <v>524</v>
          </cell>
          <cell r="F35">
            <v>659</v>
          </cell>
          <cell r="G35">
            <v>11</v>
          </cell>
          <cell r="H35">
            <v>7.8100000000000003E-2</v>
          </cell>
          <cell r="I35">
            <v>9.8199999999999996E-2</v>
          </cell>
          <cell r="J35">
            <v>1.6000000000000001E-3</v>
          </cell>
          <cell r="K35">
            <v>1194</v>
          </cell>
          <cell r="L35">
            <v>0.17799999999999999</v>
          </cell>
          <cell r="M35">
            <v>93958390.480000004</v>
          </cell>
          <cell r="N35">
            <v>81255439.349999994</v>
          </cell>
          <cell r="O35">
            <v>8010994.71</v>
          </cell>
          <cell r="P35">
            <v>9523570.2400000002</v>
          </cell>
          <cell r="Q35">
            <v>9512470.0299999993</v>
          </cell>
          <cell r="R35">
            <v>91055.92</v>
          </cell>
          <cell r="S35">
            <v>19127096.190000001</v>
          </cell>
          <cell r="T35">
            <v>175213829.83000001</v>
          </cell>
          <cell r="U35">
            <v>5.4399999999999997E-2</v>
          </cell>
          <cell r="V35">
            <v>5.4300000000000001E-2</v>
          </cell>
          <cell r="W35">
            <v>5.0000000000000001E-4</v>
          </cell>
          <cell r="X35">
            <v>0.10920000000000001</v>
          </cell>
        </row>
        <row r="36">
          <cell r="A36">
            <v>210040</v>
          </cell>
          <cell r="B36" t="str">
            <v>Northwest</v>
          </cell>
          <cell r="C36" t="str">
            <v>GBR</v>
          </cell>
          <cell r="D36">
            <v>9732</v>
          </cell>
          <cell r="E36">
            <v>1229</v>
          </cell>
          <cell r="F36">
            <v>1577</v>
          </cell>
          <cell r="G36" t="str">
            <v xml:space="preserve"> </v>
          </cell>
          <cell r="H36">
            <v>0.1263</v>
          </cell>
          <cell r="I36">
            <v>0.16200000000000001</v>
          </cell>
          <cell r="J36" t="str">
            <v xml:space="preserve"> </v>
          </cell>
          <cell r="K36">
            <v>2806</v>
          </cell>
          <cell r="L36">
            <v>0.2883</v>
          </cell>
          <cell r="M36">
            <v>148739047.24000001</v>
          </cell>
          <cell r="N36">
            <v>167565813.27000001</v>
          </cell>
          <cell r="O36">
            <v>12552295.609999999</v>
          </cell>
          <cell r="P36">
            <v>27524671.07</v>
          </cell>
          <cell r="Q36">
            <v>24618344.469999999</v>
          </cell>
          <cell r="R36" t="str">
            <v xml:space="preserve"> </v>
          </cell>
          <cell r="S36">
            <v>52143015.539999999</v>
          </cell>
          <cell r="T36">
            <v>316304860.50999999</v>
          </cell>
          <cell r="U36">
            <v>8.6999999999999994E-2</v>
          </cell>
          <cell r="V36">
            <v>7.7799999999999994E-2</v>
          </cell>
          <cell r="W36" t="str">
            <v xml:space="preserve"> </v>
          </cell>
          <cell r="X36">
            <v>0.16489999999999999</v>
          </cell>
        </row>
        <row r="37">
          <cell r="A37">
            <v>210043</v>
          </cell>
          <cell r="B37" t="str">
            <v>UM-BWMC</v>
          </cell>
          <cell r="C37" t="str">
            <v>GBR</v>
          </cell>
          <cell r="D37">
            <v>19975</v>
          </cell>
          <cell r="E37">
            <v>1881</v>
          </cell>
          <cell r="F37">
            <v>1842</v>
          </cell>
          <cell r="G37">
            <v>28</v>
          </cell>
          <cell r="H37">
            <v>9.4200000000000006E-2</v>
          </cell>
          <cell r="I37">
            <v>9.2200000000000004E-2</v>
          </cell>
          <cell r="J37">
            <v>1.4E-3</v>
          </cell>
          <cell r="K37">
            <v>3751</v>
          </cell>
          <cell r="L37">
            <v>0.18779999999999999</v>
          </cell>
          <cell r="M37">
            <v>184275015.97</v>
          </cell>
          <cell r="N37">
            <v>338517182.27999997</v>
          </cell>
          <cell r="O37">
            <v>25522668.16</v>
          </cell>
          <cell r="P37">
            <v>45315028.280000001</v>
          </cell>
          <cell r="Q37">
            <v>29194125.300000001</v>
          </cell>
          <cell r="R37">
            <v>221310.38</v>
          </cell>
          <cell r="S37">
            <v>74730463.959999993</v>
          </cell>
          <cell r="T37">
            <v>522792198.25</v>
          </cell>
          <cell r="U37">
            <v>8.6699999999999999E-2</v>
          </cell>
          <cell r="V37">
            <v>5.5800000000000002E-2</v>
          </cell>
          <cell r="W37">
            <v>4.0000000000000002E-4</v>
          </cell>
          <cell r="X37">
            <v>0.1429</v>
          </cell>
        </row>
        <row r="38">
          <cell r="A38">
            <v>210044</v>
          </cell>
          <cell r="B38" t="str">
            <v>GBMC</v>
          </cell>
          <cell r="C38" t="str">
            <v>GBR</v>
          </cell>
          <cell r="D38">
            <v>20516</v>
          </cell>
          <cell r="E38">
            <v>1243</v>
          </cell>
          <cell r="F38">
            <v>1289</v>
          </cell>
          <cell r="G38">
            <v>26</v>
          </cell>
          <cell r="H38">
            <v>6.0600000000000001E-2</v>
          </cell>
          <cell r="I38">
            <v>6.2799999999999995E-2</v>
          </cell>
          <cell r="J38">
            <v>1.2999999999999999E-3</v>
          </cell>
          <cell r="K38">
            <v>2558</v>
          </cell>
          <cell r="L38">
            <v>0.12470000000000001</v>
          </cell>
          <cell r="M38">
            <v>230118771.97999999</v>
          </cell>
          <cell r="N38">
            <v>266276023.91</v>
          </cell>
          <cell r="O38">
            <v>23218067.219999999</v>
          </cell>
          <cell r="P38">
            <v>27572418.440000001</v>
          </cell>
          <cell r="Q38">
            <v>20526290.649999999</v>
          </cell>
          <cell r="R38">
            <v>222805.02</v>
          </cell>
          <cell r="S38">
            <v>48321514.109999999</v>
          </cell>
          <cell r="T38">
            <v>496394795.88999999</v>
          </cell>
          <cell r="U38">
            <v>5.5500000000000001E-2</v>
          </cell>
          <cell r="V38">
            <v>4.1399999999999999E-2</v>
          </cell>
          <cell r="W38">
            <v>4.0000000000000002E-4</v>
          </cell>
          <cell r="X38">
            <v>9.7299999999999998E-2</v>
          </cell>
        </row>
        <row r="39">
          <cell r="A39">
            <v>210048</v>
          </cell>
          <cell r="B39" t="str">
            <v>Howard County</v>
          </cell>
          <cell r="C39" t="str">
            <v>GBR</v>
          </cell>
          <cell r="D39">
            <v>19920</v>
          </cell>
          <cell r="E39">
            <v>1786</v>
          </cell>
          <cell r="F39">
            <v>1520</v>
          </cell>
          <cell r="G39">
            <v>12</v>
          </cell>
          <cell r="H39">
            <v>8.9700000000000002E-2</v>
          </cell>
          <cell r="I39">
            <v>7.6300000000000007E-2</v>
          </cell>
          <cell r="J39">
            <v>5.9999999999999995E-4</v>
          </cell>
          <cell r="K39">
            <v>3318</v>
          </cell>
          <cell r="L39">
            <v>0.1666</v>
          </cell>
          <cell r="M39">
            <v>138778092.47999999</v>
          </cell>
          <cell r="N39">
            <v>220544281.88</v>
          </cell>
          <cell r="O39">
            <v>19638449.600000001</v>
          </cell>
          <cell r="P39">
            <v>28183542.280000001</v>
          </cell>
          <cell r="Q39">
            <v>15587716.949999999</v>
          </cell>
          <cell r="R39">
            <v>60451.5</v>
          </cell>
          <cell r="S39">
            <v>43831710.729999997</v>
          </cell>
          <cell r="T39">
            <v>359322374.36000001</v>
          </cell>
          <cell r="U39">
            <v>7.8399999999999997E-2</v>
          </cell>
          <cell r="V39">
            <v>4.3400000000000001E-2</v>
          </cell>
          <cell r="W39">
            <v>2.0000000000000001E-4</v>
          </cell>
          <cell r="X39">
            <v>0.122</v>
          </cell>
        </row>
        <row r="40">
          <cell r="A40">
            <v>210049</v>
          </cell>
          <cell r="B40" t="str">
            <v>UM-Upper Chesapeake</v>
          </cell>
          <cell r="C40" t="str">
            <v>GBR</v>
          </cell>
          <cell r="D40">
            <v>15823</v>
          </cell>
          <cell r="E40">
            <v>1560</v>
          </cell>
          <cell r="F40">
            <v>1558</v>
          </cell>
          <cell r="G40">
            <v>23</v>
          </cell>
          <cell r="H40">
            <v>9.8599999999999993E-2</v>
          </cell>
          <cell r="I40">
            <v>9.8500000000000004E-2</v>
          </cell>
          <cell r="J40">
            <v>1.5E-3</v>
          </cell>
          <cell r="K40">
            <v>3141</v>
          </cell>
          <cell r="L40">
            <v>0.19850000000000001</v>
          </cell>
          <cell r="M40">
            <v>167574553.22</v>
          </cell>
          <cell r="N40">
            <v>201201158.81999999</v>
          </cell>
          <cell r="O40">
            <v>30167071.969999999</v>
          </cell>
          <cell r="P40">
            <v>27440267.16</v>
          </cell>
          <cell r="Q40">
            <v>18489623.899999999</v>
          </cell>
          <cell r="R40">
            <v>114959.16</v>
          </cell>
          <cell r="S40">
            <v>46044850.219999999</v>
          </cell>
          <cell r="T40">
            <v>368775712.04000002</v>
          </cell>
          <cell r="U40">
            <v>7.4399999999999994E-2</v>
          </cell>
          <cell r="V40">
            <v>5.0099999999999999E-2</v>
          </cell>
          <cell r="W40">
            <v>2.9999999999999997E-4</v>
          </cell>
          <cell r="X40">
            <v>0.1249</v>
          </cell>
        </row>
        <row r="41">
          <cell r="A41">
            <v>210051</v>
          </cell>
          <cell r="B41" t="str">
            <v>Doctors</v>
          </cell>
          <cell r="C41" t="str">
            <v>GBR</v>
          </cell>
          <cell r="D41">
            <v>10703</v>
          </cell>
          <cell r="E41">
            <v>1080</v>
          </cell>
          <cell r="F41">
            <v>2025</v>
          </cell>
          <cell r="G41" t="str">
            <v xml:space="preserve"> </v>
          </cell>
          <cell r="H41">
            <v>0.1009</v>
          </cell>
          <cell r="I41">
            <v>0.18920000000000001</v>
          </cell>
          <cell r="J41" t="str">
            <v xml:space="preserve"> </v>
          </cell>
          <cell r="K41">
            <v>3105</v>
          </cell>
          <cell r="L41">
            <v>0.29010000000000002</v>
          </cell>
          <cell r="M41">
            <v>107605858.65000001</v>
          </cell>
          <cell r="N41">
            <v>175173068.12</v>
          </cell>
          <cell r="O41">
            <v>13395765.59</v>
          </cell>
          <cell r="P41">
            <v>21686370.100000001</v>
          </cell>
          <cell r="Q41">
            <v>29904870.969999999</v>
          </cell>
          <cell r="R41" t="str">
            <v xml:space="preserve"> </v>
          </cell>
          <cell r="S41">
            <v>51591241.07</v>
          </cell>
          <cell r="T41">
            <v>282778926.76999998</v>
          </cell>
          <cell r="U41">
            <v>7.6700000000000004E-2</v>
          </cell>
          <cell r="V41">
            <v>0.10580000000000001</v>
          </cell>
          <cell r="W41" t="str">
            <v xml:space="preserve"> </v>
          </cell>
          <cell r="X41">
            <v>0.18240000000000001</v>
          </cell>
        </row>
        <row r="42">
          <cell r="A42">
            <v>210056</v>
          </cell>
          <cell r="B42" t="str">
            <v>MedStar Good Sam</v>
          </cell>
          <cell r="C42" t="str">
            <v>GBR</v>
          </cell>
          <cell r="D42">
            <v>9789</v>
          </cell>
          <cell r="E42">
            <v>1264</v>
          </cell>
          <cell r="F42">
            <v>1531</v>
          </cell>
          <cell r="G42">
            <v>2</v>
          </cell>
          <cell r="H42">
            <v>0.12909999999999999</v>
          </cell>
          <cell r="I42">
            <v>0.15640000000000001</v>
          </cell>
          <cell r="J42">
            <v>2.0000000000000001E-4</v>
          </cell>
          <cell r="K42">
            <v>2797</v>
          </cell>
          <cell r="L42">
            <v>0.28570000000000001</v>
          </cell>
          <cell r="M42">
            <v>114587838.84</v>
          </cell>
          <cell r="N42">
            <v>189488633.97999999</v>
          </cell>
          <cell r="O42">
            <v>16429435.59</v>
          </cell>
          <cell r="P42">
            <v>30755548.670000002</v>
          </cell>
          <cell r="Q42">
            <v>28333608.530000001</v>
          </cell>
          <cell r="R42">
            <v>19139.830000000002</v>
          </cell>
          <cell r="S42">
            <v>59108297.030000001</v>
          </cell>
          <cell r="T42">
            <v>304076472.81999999</v>
          </cell>
          <cell r="U42">
            <v>0.1011</v>
          </cell>
          <cell r="V42">
            <v>9.3200000000000005E-2</v>
          </cell>
          <cell r="W42">
            <v>1E-4</v>
          </cell>
          <cell r="X42">
            <v>0.19439999999999999</v>
          </cell>
        </row>
        <row r="43">
          <cell r="A43">
            <v>210057</v>
          </cell>
          <cell r="B43" t="str">
            <v>Shady Grove</v>
          </cell>
          <cell r="C43" t="str">
            <v>GBR</v>
          </cell>
          <cell r="D43">
            <v>24769</v>
          </cell>
          <cell r="E43">
            <v>1626</v>
          </cell>
          <cell r="F43">
            <v>1181</v>
          </cell>
          <cell r="G43">
            <v>45</v>
          </cell>
          <cell r="H43">
            <v>6.5600000000000006E-2</v>
          </cell>
          <cell r="I43">
            <v>4.7699999999999999E-2</v>
          </cell>
          <cell r="J43">
            <v>1.8E-3</v>
          </cell>
          <cell r="K43">
            <v>2852</v>
          </cell>
          <cell r="L43">
            <v>0.11509999999999999</v>
          </cell>
          <cell r="M43">
            <v>180934986.21000001</v>
          </cell>
          <cell r="N43">
            <v>325631152.81999999</v>
          </cell>
          <cell r="O43">
            <v>33948700.299999997</v>
          </cell>
          <cell r="P43">
            <v>35753428.649999999</v>
          </cell>
          <cell r="Q43">
            <v>19062377.23</v>
          </cell>
          <cell r="R43">
            <v>446848.86</v>
          </cell>
          <cell r="S43">
            <v>55262654.740000002</v>
          </cell>
          <cell r="T43">
            <v>506566139.02999997</v>
          </cell>
          <cell r="U43">
            <v>7.0599999999999996E-2</v>
          </cell>
          <cell r="V43">
            <v>3.7600000000000001E-2</v>
          </cell>
          <cell r="W43">
            <v>8.9999999999999998E-4</v>
          </cell>
          <cell r="X43">
            <v>0.1091</v>
          </cell>
        </row>
        <row r="44">
          <cell r="A44">
            <v>210058</v>
          </cell>
          <cell r="B44" t="str">
            <v>UMROI</v>
          </cell>
          <cell r="C44" t="str">
            <v>GBR</v>
          </cell>
          <cell r="D44">
            <v>1680</v>
          </cell>
          <cell r="E44">
            <v>10</v>
          </cell>
          <cell r="F44">
            <v>1</v>
          </cell>
          <cell r="G44" t="str">
            <v xml:space="preserve"> </v>
          </cell>
          <cell r="H44">
            <v>6.0000000000000001E-3</v>
          </cell>
          <cell r="I44">
            <v>5.9999999999999995E-4</v>
          </cell>
          <cell r="J44" t="str">
            <v xml:space="preserve"> </v>
          </cell>
          <cell r="K44">
            <v>11</v>
          </cell>
          <cell r="L44">
            <v>6.4999999999999997E-3</v>
          </cell>
          <cell r="M44">
            <v>61999909.560000002</v>
          </cell>
          <cell r="N44">
            <v>75426816.590000004</v>
          </cell>
          <cell r="O44">
            <v>0</v>
          </cell>
          <cell r="P44">
            <v>299200.56</v>
          </cell>
          <cell r="Q44">
            <v>38892.53</v>
          </cell>
          <cell r="R44" t="str">
            <v xml:space="preserve"> </v>
          </cell>
          <cell r="S44">
            <v>338093.09</v>
          </cell>
          <cell r="T44">
            <v>137426726.15000001</v>
          </cell>
          <cell r="U44">
            <v>2.2000000000000001E-3</v>
          </cell>
          <cell r="V44">
            <v>2.9999999999999997E-4</v>
          </cell>
          <cell r="W44" t="str">
            <v xml:space="preserve"> </v>
          </cell>
          <cell r="X44">
            <v>2.5000000000000001E-3</v>
          </cell>
        </row>
        <row r="45">
          <cell r="A45">
            <v>210060</v>
          </cell>
          <cell r="B45" t="str">
            <v>Ft. Washington</v>
          </cell>
          <cell r="C45" t="str">
            <v>GBR</v>
          </cell>
          <cell r="D45">
            <v>2366</v>
          </cell>
          <cell r="E45">
            <v>187</v>
          </cell>
          <cell r="F45">
            <v>498</v>
          </cell>
          <cell r="G45" t="str">
            <v xml:space="preserve"> </v>
          </cell>
          <cell r="H45">
            <v>7.9000000000000001E-2</v>
          </cell>
          <cell r="I45">
            <v>0.21049999999999999</v>
          </cell>
          <cell r="J45" t="str">
            <v xml:space="preserve"> </v>
          </cell>
          <cell r="K45">
            <v>685</v>
          </cell>
          <cell r="L45">
            <v>0.28949999999999998</v>
          </cell>
          <cell r="M45">
            <v>34427520.369999997</v>
          </cell>
          <cell r="N45">
            <v>39283410.969999999</v>
          </cell>
          <cell r="O45">
            <v>4312441.2699999996</v>
          </cell>
          <cell r="P45">
            <v>3594102.41</v>
          </cell>
          <cell r="Q45">
            <v>9131014.4000000004</v>
          </cell>
          <cell r="R45" t="str">
            <v xml:space="preserve"> </v>
          </cell>
          <cell r="S45">
            <v>12725116.810000001</v>
          </cell>
          <cell r="T45">
            <v>73710931.340000004</v>
          </cell>
          <cell r="U45">
            <v>4.8800000000000003E-2</v>
          </cell>
          <cell r="V45">
            <v>0.1239</v>
          </cell>
          <cell r="W45" t="str">
            <v xml:space="preserve"> </v>
          </cell>
          <cell r="X45">
            <v>0.1726</v>
          </cell>
        </row>
        <row r="46">
          <cell r="A46">
            <v>210061</v>
          </cell>
          <cell r="B46" t="str">
            <v>Atlantic General</v>
          </cell>
          <cell r="C46" t="str">
            <v>GBR</v>
          </cell>
          <cell r="D46">
            <v>3725</v>
          </cell>
          <cell r="E46">
            <v>262</v>
          </cell>
          <cell r="F46">
            <v>791</v>
          </cell>
          <cell r="G46">
            <v>1</v>
          </cell>
          <cell r="H46">
            <v>7.0300000000000001E-2</v>
          </cell>
          <cell r="I46">
            <v>0.21229999999999999</v>
          </cell>
          <cell r="J46">
            <v>2.9999999999999997E-4</v>
          </cell>
          <cell r="K46">
            <v>1054</v>
          </cell>
          <cell r="L46">
            <v>0.28299999999999997</v>
          </cell>
          <cell r="M46">
            <v>79051845.409999996</v>
          </cell>
          <cell r="N46">
            <v>46166816.340000004</v>
          </cell>
          <cell r="O46">
            <v>8801740.8800000008</v>
          </cell>
          <cell r="P46">
            <v>4486523.21</v>
          </cell>
          <cell r="Q46">
            <v>9311235.1500000004</v>
          </cell>
          <cell r="R46">
            <v>8953.6299999999992</v>
          </cell>
          <cell r="S46">
            <v>13806711.99</v>
          </cell>
          <cell r="T46">
            <v>125218661.75</v>
          </cell>
          <cell r="U46">
            <v>3.5799999999999998E-2</v>
          </cell>
          <cell r="V46">
            <v>7.4399999999999994E-2</v>
          </cell>
          <cell r="W46">
            <v>1E-4</v>
          </cell>
          <cell r="X46">
            <v>0.1103</v>
          </cell>
        </row>
        <row r="47">
          <cell r="A47">
            <v>210062</v>
          </cell>
          <cell r="B47" t="str">
            <v>MedStar Southern MD</v>
          </cell>
          <cell r="C47" t="str">
            <v>GBR</v>
          </cell>
          <cell r="D47">
            <v>12620</v>
          </cell>
          <cell r="E47">
            <v>1031</v>
          </cell>
          <cell r="F47">
            <v>1550</v>
          </cell>
          <cell r="G47" t="str">
            <v xml:space="preserve"> </v>
          </cell>
          <cell r="H47">
            <v>8.1699999999999995E-2</v>
          </cell>
          <cell r="I47">
            <v>0.12280000000000001</v>
          </cell>
          <cell r="J47" t="str">
            <v xml:space="preserve"> </v>
          </cell>
          <cell r="K47">
            <v>2581</v>
          </cell>
          <cell r="L47">
            <v>0.20449999999999999</v>
          </cell>
          <cell r="M47">
            <v>114255010.56</v>
          </cell>
          <cell r="N47">
            <v>202883742.74000001</v>
          </cell>
          <cell r="O47">
            <v>17718015.059999999</v>
          </cell>
          <cell r="P47">
            <v>23361212.190000001</v>
          </cell>
          <cell r="Q47">
            <v>23352407.579999998</v>
          </cell>
          <cell r="R47" t="str">
            <v xml:space="preserve"> </v>
          </cell>
          <cell r="S47">
            <v>46713619.770000003</v>
          </cell>
          <cell r="T47">
            <v>317138753.30000001</v>
          </cell>
          <cell r="U47">
            <v>7.3700000000000002E-2</v>
          </cell>
          <cell r="V47">
            <v>7.3599999999999999E-2</v>
          </cell>
          <cell r="W47" t="str">
            <v xml:space="preserve"> </v>
          </cell>
          <cell r="X47">
            <v>0.14729999999999999</v>
          </cell>
        </row>
        <row r="48">
          <cell r="A48">
            <v>210063</v>
          </cell>
          <cell r="B48" t="str">
            <v>UM-St. Joe</v>
          </cell>
          <cell r="C48" t="str">
            <v>GBR</v>
          </cell>
          <cell r="D48">
            <v>16094</v>
          </cell>
          <cell r="E48">
            <v>1418</v>
          </cell>
          <cell r="F48">
            <v>1051</v>
          </cell>
          <cell r="G48">
            <v>17</v>
          </cell>
          <cell r="H48">
            <v>8.8099999999999998E-2</v>
          </cell>
          <cell r="I48">
            <v>6.5299999999999997E-2</v>
          </cell>
          <cell r="J48">
            <v>1.1000000000000001E-3</v>
          </cell>
          <cell r="K48">
            <v>2486</v>
          </cell>
          <cell r="L48">
            <v>0.1545</v>
          </cell>
          <cell r="M48">
            <v>164240362.19</v>
          </cell>
          <cell r="N48">
            <v>279932877.31999999</v>
          </cell>
          <cell r="O48">
            <v>14599216.560000001</v>
          </cell>
          <cell r="P48">
            <v>30716777.440000001</v>
          </cell>
          <cell r="Q48">
            <v>15022065.789999999</v>
          </cell>
          <cell r="R48">
            <v>98961.04</v>
          </cell>
          <cell r="S48">
            <v>45837804.270000003</v>
          </cell>
          <cell r="T48">
            <v>444173239.50999999</v>
          </cell>
          <cell r="U48">
            <v>6.9199999999999998E-2</v>
          </cell>
          <cell r="V48">
            <v>3.3799999999999997E-2</v>
          </cell>
          <cell r="W48">
            <v>2.0000000000000001E-4</v>
          </cell>
          <cell r="X48">
            <v>0.1032</v>
          </cell>
        </row>
        <row r="49">
          <cell r="A49">
            <v>210064</v>
          </cell>
          <cell r="B49" t="str">
            <v>Levindale</v>
          </cell>
          <cell r="C49" t="str">
            <v>GBR</v>
          </cell>
          <cell r="D49">
            <v>940</v>
          </cell>
          <cell r="E49">
            <v>50</v>
          </cell>
          <cell r="F49" t="str">
            <v xml:space="preserve"> </v>
          </cell>
          <cell r="G49" t="str">
            <v xml:space="preserve"> </v>
          </cell>
          <cell r="H49">
            <v>5.3199999999999997E-2</v>
          </cell>
          <cell r="I49" t="str">
            <v xml:space="preserve"> </v>
          </cell>
          <cell r="J49" t="str">
            <v xml:space="preserve"> </v>
          </cell>
          <cell r="K49">
            <v>50</v>
          </cell>
          <cell r="L49">
            <v>5.3199999999999997E-2</v>
          </cell>
          <cell r="M49">
            <v>4693323.76</v>
          </cell>
          <cell r="N49">
            <v>66404798.469999999</v>
          </cell>
          <cell r="O49">
            <v>0</v>
          </cell>
          <cell r="P49">
            <v>3223289.84</v>
          </cell>
          <cell r="Q49" t="str">
            <v xml:space="preserve"> </v>
          </cell>
          <cell r="R49" t="str">
            <v xml:space="preserve"> </v>
          </cell>
          <cell r="S49">
            <v>3223289.84</v>
          </cell>
          <cell r="T49">
            <v>71098122.230000004</v>
          </cell>
          <cell r="U49">
            <v>4.53E-2</v>
          </cell>
          <cell r="V49" t="str">
            <v xml:space="preserve"> </v>
          </cell>
          <cell r="W49" t="str">
            <v xml:space="preserve"> </v>
          </cell>
          <cell r="X49">
            <v>4.53E-2</v>
          </cell>
        </row>
        <row r="50">
          <cell r="A50">
            <v>210065</v>
          </cell>
          <cell r="B50" t="str">
            <v>HC-Germantown</v>
          </cell>
          <cell r="C50" t="str">
            <v>OTH</v>
          </cell>
          <cell r="D50">
            <v>8312</v>
          </cell>
          <cell r="E50">
            <v>525</v>
          </cell>
          <cell r="F50">
            <v>553</v>
          </cell>
          <cell r="G50" t="str">
            <v xml:space="preserve"> </v>
          </cell>
          <cell r="H50">
            <v>6.3200000000000006E-2</v>
          </cell>
          <cell r="I50">
            <v>6.6500000000000004E-2</v>
          </cell>
          <cell r="J50" t="str">
            <v xml:space="preserve"> </v>
          </cell>
          <cell r="K50">
            <v>1078</v>
          </cell>
          <cell r="L50">
            <v>0.12970000000000001</v>
          </cell>
          <cell r="M50">
            <v>60467422.170000002</v>
          </cell>
          <cell r="N50">
            <v>85422532.670000002</v>
          </cell>
          <cell r="O50">
            <v>7462685.3899999997</v>
          </cell>
          <cell r="P50">
            <v>8184534.1900000004</v>
          </cell>
          <cell r="Q50">
            <v>7096883.9299999997</v>
          </cell>
          <cell r="R50" t="str">
            <v xml:space="preserve"> </v>
          </cell>
          <cell r="S50">
            <v>15281418.119999999</v>
          </cell>
          <cell r="T50">
            <v>145889954.84</v>
          </cell>
          <cell r="U50">
            <v>5.6099999999999997E-2</v>
          </cell>
          <cell r="V50">
            <v>4.8599999999999997E-2</v>
          </cell>
          <cell r="W50" t="str">
            <v xml:space="preserve"> </v>
          </cell>
          <cell r="X50">
            <v>0.1047</v>
          </cell>
        </row>
        <row r="51">
          <cell r="A51" t="str">
            <v xml:space="preserve"> </v>
          </cell>
          <cell r="B51" t="str">
            <v>STATEWIDE</v>
          </cell>
          <cell r="C51" t="str">
            <v/>
          </cell>
          <cell r="D51">
            <v>602498</v>
          </cell>
          <cell r="E51">
            <v>52034</v>
          </cell>
          <cell r="F51">
            <v>51924</v>
          </cell>
          <cell r="G51">
            <v>630</v>
          </cell>
          <cell r="H51">
            <v>8.6400000000000005E-2</v>
          </cell>
          <cell r="I51">
            <v>8.6199999999999999E-2</v>
          </cell>
          <cell r="J51">
            <v>1E-3</v>
          </cell>
          <cell r="K51">
            <v>104588</v>
          </cell>
          <cell r="L51">
            <v>0.1736</v>
          </cell>
          <cell r="M51">
            <v>8211878538.3500004</v>
          </cell>
          <cell r="N51">
            <v>11585017791.41</v>
          </cell>
          <cell r="O51">
            <v>776349620.67999995</v>
          </cell>
          <cell r="P51">
            <v>1204356030.25</v>
          </cell>
          <cell r="Q51">
            <v>856168551.94000006</v>
          </cell>
          <cell r="R51">
            <v>6011255.9699999997</v>
          </cell>
          <cell r="S51">
            <v>2066535838.1600001</v>
          </cell>
          <cell r="T51">
            <v>19796896329.759998</v>
          </cell>
          <cell r="U51">
            <v>6.08E-2</v>
          </cell>
          <cell r="V51">
            <v>4.3200000000000002E-2</v>
          </cell>
          <cell r="W51">
            <v>2.9999999999999997E-4</v>
          </cell>
          <cell r="X51">
            <v>0.10440000000000001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/>
          <cell r="C10"/>
          <cell r="D10"/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/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/>
          <cell r="C43"/>
          <cell r="D43"/>
          <cell r="E43">
            <v>210058</v>
          </cell>
          <cell r="F43"/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I20"/>
  <sheetViews>
    <sheetView tabSelected="1" zoomScaleNormal="100" workbookViewId="0">
      <selection activeCell="D26" sqref="D26"/>
    </sheetView>
  </sheetViews>
  <sheetFormatPr defaultColWidth="8.85546875" defaultRowHeight="15" x14ac:dyDescent="0.25"/>
  <cols>
    <col min="1" max="1" width="62.7109375" customWidth="1"/>
    <col min="2" max="3" width="19.28515625" customWidth="1"/>
    <col min="4" max="4" width="37.42578125" customWidth="1"/>
    <col min="5" max="5" width="15.28515625" bestFit="1" customWidth="1"/>
    <col min="6" max="6" width="11.140625" customWidth="1"/>
    <col min="7" max="7" width="12.42578125" customWidth="1"/>
    <col min="9" max="9" width="37.85546875" customWidth="1"/>
  </cols>
  <sheetData>
    <row r="2" spans="1:9" ht="15.75" x14ac:dyDescent="0.25">
      <c r="A2" s="36" t="s">
        <v>176</v>
      </c>
      <c r="B2" s="36" t="s">
        <v>50</v>
      </c>
      <c r="C2" s="44"/>
    </row>
    <row r="3" spans="1:9" ht="15" customHeight="1" x14ac:dyDescent="0.25">
      <c r="A3" s="115" t="s">
        <v>208</v>
      </c>
      <c r="B3" s="37" t="s">
        <v>51</v>
      </c>
      <c r="C3" s="96">
        <f>'Hospital PAU Savings'!C53</f>
        <v>19585655295.940842</v>
      </c>
      <c r="D3" s="68"/>
      <c r="F3" s="56"/>
    </row>
    <row r="4" spans="1:9" ht="15" customHeight="1" x14ac:dyDescent="0.25">
      <c r="A4" s="115" t="s">
        <v>211</v>
      </c>
      <c r="B4" s="37" t="s">
        <v>53</v>
      </c>
      <c r="C4" s="116">
        <f xml:space="preserve"> 3.35% +0.39%+0.86%</f>
        <v>4.5999999999999999E-2</v>
      </c>
      <c r="D4" s="68"/>
      <c r="H4" s="119"/>
      <c r="I4" s="119"/>
    </row>
    <row r="5" spans="1:9" ht="15" customHeight="1" x14ac:dyDescent="0.25">
      <c r="A5" s="115" t="s">
        <v>209</v>
      </c>
      <c r="B5" s="37" t="s">
        <v>62</v>
      </c>
      <c r="C5" s="42">
        <f>'Statewide PAU Revenue'!F52</f>
        <v>2066535838.1599994</v>
      </c>
      <c r="D5" s="68"/>
    </row>
    <row r="6" spans="1:9" ht="15.75" x14ac:dyDescent="0.25">
      <c r="A6" s="38" t="s">
        <v>64</v>
      </c>
      <c r="B6" s="30" t="s">
        <v>63</v>
      </c>
      <c r="C6" s="39">
        <f>-C4*C5</f>
        <v>-95060648.555359975</v>
      </c>
      <c r="D6" s="69"/>
      <c r="E6" s="4"/>
    </row>
    <row r="7" spans="1:9" ht="15.75" x14ac:dyDescent="0.25">
      <c r="A7" s="38" t="s">
        <v>52</v>
      </c>
      <c r="B7" s="30" t="s">
        <v>65</v>
      </c>
      <c r="C7" s="40">
        <f>C6/C3</f>
        <v>-4.8535852959212169E-3</v>
      </c>
      <c r="D7" s="17"/>
      <c r="E7" s="8"/>
    </row>
    <row r="8" spans="1:9" ht="15" customHeight="1" x14ac:dyDescent="0.25">
      <c r="A8" s="99" t="s">
        <v>196</v>
      </c>
      <c r="B8" s="45" t="s">
        <v>167</v>
      </c>
      <c r="C8" s="74">
        <f>ROUND(C7,4)</f>
        <v>-4.8999999999999998E-3</v>
      </c>
      <c r="D8" s="67"/>
    </row>
    <row r="9" spans="1:9" ht="15.75" x14ac:dyDescent="0.25">
      <c r="A9" s="30" t="s">
        <v>183</v>
      </c>
      <c r="B9" s="30" t="s">
        <v>163</v>
      </c>
      <c r="C9" s="39">
        <f>C8*C3</f>
        <v>-95969710.950110123</v>
      </c>
      <c r="D9" s="5"/>
      <c r="E9" s="66"/>
    </row>
    <row r="10" spans="1:9" ht="15.75" x14ac:dyDescent="0.25">
      <c r="A10" s="38" t="s">
        <v>54</v>
      </c>
      <c r="B10" s="30" t="s">
        <v>164</v>
      </c>
      <c r="C10" s="75">
        <f>'Statewide PAU Revenue'!I52</f>
        <v>0.10438685962377296</v>
      </c>
    </row>
    <row r="11" spans="1:9" ht="15.75" x14ac:dyDescent="0.25">
      <c r="A11" s="38" t="s">
        <v>56</v>
      </c>
      <c r="B11" s="30" t="s">
        <v>165</v>
      </c>
      <c r="C11" s="41">
        <f>C3*C10</f>
        <v>2044485050.0169821</v>
      </c>
      <c r="D11" s="5"/>
    </row>
    <row r="12" spans="1:9" ht="15.75" x14ac:dyDescent="0.25">
      <c r="A12" s="45" t="s">
        <v>197</v>
      </c>
      <c r="B12" s="45" t="s">
        <v>166</v>
      </c>
      <c r="C12" s="76">
        <f>C9/C11</f>
        <v>-4.694077413249511E-2</v>
      </c>
      <c r="D12" s="46"/>
    </row>
    <row r="13" spans="1:9" ht="15.75" x14ac:dyDescent="0.25">
      <c r="A13" s="43"/>
      <c r="B13" s="46"/>
      <c r="C13" s="46"/>
      <c r="D13" s="46"/>
    </row>
    <row r="14" spans="1:9" ht="15.75" x14ac:dyDescent="0.25">
      <c r="A14" s="43"/>
      <c r="B14" s="46"/>
      <c r="C14" s="46"/>
      <c r="D14" s="46"/>
    </row>
    <row r="15" spans="1:9" ht="31.5" x14ac:dyDescent="0.25">
      <c r="A15" s="100" t="s">
        <v>177</v>
      </c>
      <c r="B15" s="100" t="s">
        <v>200</v>
      </c>
      <c r="C15" s="100" t="s">
        <v>195</v>
      </c>
      <c r="D15" s="100" t="s">
        <v>175</v>
      </c>
      <c r="E15" s="100" t="s">
        <v>174</v>
      </c>
    </row>
    <row r="16" spans="1:9" ht="15.75" x14ac:dyDescent="0.25">
      <c r="A16" s="32" t="s">
        <v>184</v>
      </c>
      <c r="B16" s="39">
        <f>'Statewide PAU Revenue'!G52</f>
        <v>862179807.91000021</v>
      </c>
      <c r="C16" s="78">
        <f>B16/B18</f>
        <v>0.41721018914323149</v>
      </c>
      <c r="D16" s="72">
        <f>C16*C8</f>
        <v>-2.0443299268018342E-3</v>
      </c>
      <c r="E16" s="39">
        <f>C16*C9</f>
        <v>-40039541.257516697</v>
      </c>
    </row>
    <row r="17" spans="1:5" ht="15.75" x14ac:dyDescent="0.25">
      <c r="A17" s="32" t="s">
        <v>173</v>
      </c>
      <c r="B17" s="39">
        <f>'Statewide PAU Revenue'!E52</f>
        <v>1204356030.2500002</v>
      </c>
      <c r="C17" s="78">
        <f>B17/B18</f>
        <v>0.58278981085676851</v>
      </c>
      <c r="D17" s="72">
        <f>C17*C8</f>
        <v>-2.8556700731981657E-3</v>
      </c>
      <c r="E17" s="39">
        <f>C17*C9</f>
        <v>-55930169.692593426</v>
      </c>
    </row>
    <row r="18" spans="1:5" ht="15.75" x14ac:dyDescent="0.25">
      <c r="A18" s="32" t="s">
        <v>66</v>
      </c>
      <c r="B18" s="39">
        <f>SUM(B16:B17)</f>
        <v>2066535838.1600003</v>
      </c>
      <c r="C18" s="78">
        <f>SUM(C16:C17)</f>
        <v>1</v>
      </c>
      <c r="D18" s="78">
        <f>SUM(D16:D17)</f>
        <v>-4.8999999999999998E-3</v>
      </c>
      <c r="E18" s="39">
        <f>SUM(E16:E17)</f>
        <v>-95969710.950110123</v>
      </c>
    </row>
    <row r="20" spans="1:5" x14ac:dyDescent="0.25">
      <c r="A20" s="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61"/>
  <sheetViews>
    <sheetView zoomScaleNormal="100" workbookViewId="0">
      <pane xSplit="2" ySplit="4" topLeftCell="C13" activePane="bottomRight" state="frozen"/>
      <selection pane="topRight" activeCell="C1" sqref="C1"/>
      <selection pane="bottomLeft" activeCell="A5" sqref="A5"/>
      <selection pane="bottomRight" activeCell="N52" sqref="N52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1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223" width="9.28515625" style="9"/>
    <col min="224" max="224" width="11.7109375" style="9" customWidth="1"/>
    <col min="225" max="225" width="28.28515625" style="9" customWidth="1"/>
    <col min="226" max="226" width="25.7109375" style="9" customWidth="1"/>
    <col min="227" max="227" width="16" style="9" customWidth="1"/>
    <col min="228" max="228" width="16.7109375" style="9" customWidth="1"/>
    <col min="229" max="229" width="13.42578125" style="9" customWidth="1"/>
    <col min="230" max="230" width="14.28515625" style="9" customWidth="1"/>
    <col min="231" max="231" width="18.28515625" style="9" customWidth="1"/>
    <col min="232" max="232" width="17.42578125" style="9" bestFit="1" customWidth="1"/>
    <col min="233" max="233" width="18.28515625" style="9" bestFit="1" customWidth="1"/>
    <col min="234" max="479" width="9.28515625" style="9"/>
    <col min="480" max="480" width="11.7109375" style="9" customWidth="1"/>
    <col min="481" max="481" width="28.28515625" style="9" customWidth="1"/>
    <col min="482" max="482" width="25.7109375" style="9" customWidth="1"/>
    <col min="483" max="483" width="16" style="9" customWidth="1"/>
    <col min="484" max="484" width="16.7109375" style="9" customWidth="1"/>
    <col min="485" max="485" width="13.42578125" style="9" customWidth="1"/>
    <col min="486" max="486" width="14.28515625" style="9" customWidth="1"/>
    <col min="487" max="487" width="18.28515625" style="9" customWidth="1"/>
    <col min="488" max="488" width="17.42578125" style="9" bestFit="1" customWidth="1"/>
    <col min="489" max="489" width="18.28515625" style="9" bestFit="1" customWidth="1"/>
    <col min="490" max="735" width="9.28515625" style="9"/>
    <col min="736" max="736" width="11.7109375" style="9" customWidth="1"/>
    <col min="737" max="737" width="28.28515625" style="9" customWidth="1"/>
    <col min="738" max="738" width="25.7109375" style="9" customWidth="1"/>
    <col min="739" max="739" width="16" style="9" customWidth="1"/>
    <col min="740" max="740" width="16.7109375" style="9" customWidth="1"/>
    <col min="741" max="741" width="13.42578125" style="9" customWidth="1"/>
    <col min="742" max="742" width="14.28515625" style="9" customWidth="1"/>
    <col min="743" max="743" width="18.28515625" style="9" customWidth="1"/>
    <col min="744" max="744" width="17.42578125" style="9" bestFit="1" customWidth="1"/>
    <col min="745" max="745" width="18.28515625" style="9" bestFit="1" customWidth="1"/>
    <col min="746" max="991" width="9.28515625" style="9"/>
    <col min="992" max="992" width="11.7109375" style="9" customWidth="1"/>
    <col min="993" max="993" width="28.28515625" style="9" customWidth="1"/>
    <col min="994" max="994" width="25.7109375" style="9" customWidth="1"/>
    <col min="995" max="995" width="16" style="9" customWidth="1"/>
    <col min="996" max="996" width="16.7109375" style="9" customWidth="1"/>
    <col min="997" max="997" width="13.42578125" style="9" customWidth="1"/>
    <col min="998" max="998" width="14.28515625" style="9" customWidth="1"/>
    <col min="999" max="999" width="18.28515625" style="9" customWidth="1"/>
    <col min="1000" max="1000" width="17.42578125" style="9" bestFit="1" customWidth="1"/>
    <col min="1001" max="1001" width="18.28515625" style="9" bestFit="1" customWidth="1"/>
    <col min="1002" max="1247" width="9.28515625" style="9"/>
    <col min="1248" max="1248" width="11.7109375" style="9" customWidth="1"/>
    <col min="1249" max="1249" width="28.28515625" style="9" customWidth="1"/>
    <col min="1250" max="1250" width="25.7109375" style="9" customWidth="1"/>
    <col min="1251" max="1251" width="16" style="9" customWidth="1"/>
    <col min="1252" max="1252" width="16.7109375" style="9" customWidth="1"/>
    <col min="1253" max="1253" width="13.42578125" style="9" customWidth="1"/>
    <col min="1254" max="1254" width="14.28515625" style="9" customWidth="1"/>
    <col min="1255" max="1255" width="18.28515625" style="9" customWidth="1"/>
    <col min="1256" max="1256" width="17.42578125" style="9" bestFit="1" customWidth="1"/>
    <col min="1257" max="1257" width="18.28515625" style="9" bestFit="1" customWidth="1"/>
    <col min="1258" max="1503" width="9.28515625" style="9"/>
    <col min="1504" max="1504" width="11.7109375" style="9" customWidth="1"/>
    <col min="1505" max="1505" width="28.28515625" style="9" customWidth="1"/>
    <col min="1506" max="1506" width="25.7109375" style="9" customWidth="1"/>
    <col min="1507" max="1507" width="16" style="9" customWidth="1"/>
    <col min="1508" max="1508" width="16.7109375" style="9" customWidth="1"/>
    <col min="1509" max="1509" width="13.42578125" style="9" customWidth="1"/>
    <col min="1510" max="1510" width="14.28515625" style="9" customWidth="1"/>
    <col min="1511" max="1511" width="18.28515625" style="9" customWidth="1"/>
    <col min="1512" max="1512" width="17.42578125" style="9" bestFit="1" customWidth="1"/>
    <col min="1513" max="1513" width="18.28515625" style="9" bestFit="1" customWidth="1"/>
    <col min="1514" max="1759" width="9.28515625" style="9"/>
    <col min="1760" max="1760" width="11.7109375" style="9" customWidth="1"/>
    <col min="1761" max="1761" width="28.28515625" style="9" customWidth="1"/>
    <col min="1762" max="1762" width="25.7109375" style="9" customWidth="1"/>
    <col min="1763" max="1763" width="16" style="9" customWidth="1"/>
    <col min="1764" max="1764" width="16.7109375" style="9" customWidth="1"/>
    <col min="1765" max="1765" width="13.42578125" style="9" customWidth="1"/>
    <col min="1766" max="1766" width="14.28515625" style="9" customWidth="1"/>
    <col min="1767" max="1767" width="18.28515625" style="9" customWidth="1"/>
    <col min="1768" max="1768" width="17.42578125" style="9" bestFit="1" customWidth="1"/>
    <col min="1769" max="1769" width="18.28515625" style="9" bestFit="1" customWidth="1"/>
    <col min="1770" max="2015" width="9.28515625" style="9"/>
    <col min="2016" max="2016" width="11.7109375" style="9" customWidth="1"/>
    <col min="2017" max="2017" width="28.28515625" style="9" customWidth="1"/>
    <col min="2018" max="2018" width="25.7109375" style="9" customWidth="1"/>
    <col min="2019" max="2019" width="16" style="9" customWidth="1"/>
    <col min="2020" max="2020" width="16.7109375" style="9" customWidth="1"/>
    <col min="2021" max="2021" width="13.42578125" style="9" customWidth="1"/>
    <col min="2022" max="2022" width="14.28515625" style="9" customWidth="1"/>
    <col min="2023" max="2023" width="18.28515625" style="9" customWidth="1"/>
    <col min="2024" max="2024" width="17.42578125" style="9" bestFit="1" customWidth="1"/>
    <col min="2025" max="2025" width="18.28515625" style="9" bestFit="1" customWidth="1"/>
    <col min="2026" max="2271" width="9.28515625" style="9"/>
    <col min="2272" max="2272" width="11.7109375" style="9" customWidth="1"/>
    <col min="2273" max="2273" width="28.28515625" style="9" customWidth="1"/>
    <col min="2274" max="2274" width="25.7109375" style="9" customWidth="1"/>
    <col min="2275" max="2275" width="16" style="9" customWidth="1"/>
    <col min="2276" max="2276" width="16.7109375" style="9" customWidth="1"/>
    <col min="2277" max="2277" width="13.42578125" style="9" customWidth="1"/>
    <col min="2278" max="2278" width="14.28515625" style="9" customWidth="1"/>
    <col min="2279" max="2279" width="18.28515625" style="9" customWidth="1"/>
    <col min="2280" max="2280" width="17.42578125" style="9" bestFit="1" customWidth="1"/>
    <col min="2281" max="2281" width="18.28515625" style="9" bestFit="1" customWidth="1"/>
    <col min="2282" max="2527" width="9.28515625" style="9"/>
    <col min="2528" max="2528" width="11.7109375" style="9" customWidth="1"/>
    <col min="2529" max="2529" width="28.28515625" style="9" customWidth="1"/>
    <col min="2530" max="2530" width="25.7109375" style="9" customWidth="1"/>
    <col min="2531" max="2531" width="16" style="9" customWidth="1"/>
    <col min="2532" max="2532" width="16.7109375" style="9" customWidth="1"/>
    <col min="2533" max="2533" width="13.42578125" style="9" customWidth="1"/>
    <col min="2534" max="2534" width="14.28515625" style="9" customWidth="1"/>
    <col min="2535" max="2535" width="18.28515625" style="9" customWidth="1"/>
    <col min="2536" max="2536" width="17.42578125" style="9" bestFit="1" customWidth="1"/>
    <col min="2537" max="2537" width="18.28515625" style="9" bestFit="1" customWidth="1"/>
    <col min="2538" max="2783" width="9.28515625" style="9"/>
    <col min="2784" max="2784" width="11.7109375" style="9" customWidth="1"/>
    <col min="2785" max="2785" width="28.28515625" style="9" customWidth="1"/>
    <col min="2786" max="2786" width="25.7109375" style="9" customWidth="1"/>
    <col min="2787" max="2787" width="16" style="9" customWidth="1"/>
    <col min="2788" max="2788" width="16.7109375" style="9" customWidth="1"/>
    <col min="2789" max="2789" width="13.42578125" style="9" customWidth="1"/>
    <col min="2790" max="2790" width="14.28515625" style="9" customWidth="1"/>
    <col min="2791" max="2791" width="18.28515625" style="9" customWidth="1"/>
    <col min="2792" max="2792" width="17.42578125" style="9" bestFit="1" customWidth="1"/>
    <col min="2793" max="2793" width="18.28515625" style="9" bestFit="1" customWidth="1"/>
    <col min="2794" max="3039" width="9.28515625" style="9"/>
    <col min="3040" max="3040" width="11.7109375" style="9" customWidth="1"/>
    <col min="3041" max="3041" width="28.28515625" style="9" customWidth="1"/>
    <col min="3042" max="3042" width="25.7109375" style="9" customWidth="1"/>
    <col min="3043" max="3043" width="16" style="9" customWidth="1"/>
    <col min="3044" max="3044" width="16.7109375" style="9" customWidth="1"/>
    <col min="3045" max="3045" width="13.42578125" style="9" customWidth="1"/>
    <col min="3046" max="3046" width="14.28515625" style="9" customWidth="1"/>
    <col min="3047" max="3047" width="18.28515625" style="9" customWidth="1"/>
    <col min="3048" max="3048" width="17.42578125" style="9" bestFit="1" customWidth="1"/>
    <col min="3049" max="3049" width="18.28515625" style="9" bestFit="1" customWidth="1"/>
    <col min="3050" max="3295" width="9.28515625" style="9"/>
    <col min="3296" max="3296" width="11.7109375" style="9" customWidth="1"/>
    <col min="3297" max="3297" width="28.28515625" style="9" customWidth="1"/>
    <col min="3298" max="3298" width="25.7109375" style="9" customWidth="1"/>
    <col min="3299" max="3299" width="16" style="9" customWidth="1"/>
    <col min="3300" max="3300" width="16.7109375" style="9" customWidth="1"/>
    <col min="3301" max="3301" width="13.42578125" style="9" customWidth="1"/>
    <col min="3302" max="3302" width="14.28515625" style="9" customWidth="1"/>
    <col min="3303" max="3303" width="18.28515625" style="9" customWidth="1"/>
    <col min="3304" max="3304" width="17.42578125" style="9" bestFit="1" customWidth="1"/>
    <col min="3305" max="3305" width="18.28515625" style="9" bestFit="1" customWidth="1"/>
    <col min="3306" max="3551" width="9.28515625" style="9"/>
    <col min="3552" max="3552" width="11.7109375" style="9" customWidth="1"/>
    <col min="3553" max="3553" width="28.28515625" style="9" customWidth="1"/>
    <col min="3554" max="3554" width="25.7109375" style="9" customWidth="1"/>
    <col min="3555" max="3555" width="16" style="9" customWidth="1"/>
    <col min="3556" max="3556" width="16.7109375" style="9" customWidth="1"/>
    <col min="3557" max="3557" width="13.42578125" style="9" customWidth="1"/>
    <col min="3558" max="3558" width="14.28515625" style="9" customWidth="1"/>
    <col min="3559" max="3559" width="18.28515625" style="9" customWidth="1"/>
    <col min="3560" max="3560" width="17.42578125" style="9" bestFit="1" customWidth="1"/>
    <col min="3561" max="3561" width="18.28515625" style="9" bestFit="1" customWidth="1"/>
    <col min="3562" max="3807" width="9.28515625" style="9"/>
    <col min="3808" max="3808" width="11.7109375" style="9" customWidth="1"/>
    <col min="3809" max="3809" width="28.28515625" style="9" customWidth="1"/>
    <col min="3810" max="3810" width="25.7109375" style="9" customWidth="1"/>
    <col min="3811" max="3811" width="16" style="9" customWidth="1"/>
    <col min="3812" max="3812" width="16.7109375" style="9" customWidth="1"/>
    <col min="3813" max="3813" width="13.42578125" style="9" customWidth="1"/>
    <col min="3814" max="3814" width="14.28515625" style="9" customWidth="1"/>
    <col min="3815" max="3815" width="18.28515625" style="9" customWidth="1"/>
    <col min="3816" max="3816" width="17.42578125" style="9" bestFit="1" customWidth="1"/>
    <col min="3817" max="3817" width="18.28515625" style="9" bestFit="1" customWidth="1"/>
    <col min="3818" max="4063" width="9.28515625" style="9"/>
    <col min="4064" max="4064" width="11.7109375" style="9" customWidth="1"/>
    <col min="4065" max="4065" width="28.28515625" style="9" customWidth="1"/>
    <col min="4066" max="4066" width="25.7109375" style="9" customWidth="1"/>
    <col min="4067" max="4067" width="16" style="9" customWidth="1"/>
    <col min="4068" max="4068" width="16.7109375" style="9" customWidth="1"/>
    <col min="4069" max="4069" width="13.42578125" style="9" customWidth="1"/>
    <col min="4070" max="4070" width="14.28515625" style="9" customWidth="1"/>
    <col min="4071" max="4071" width="18.28515625" style="9" customWidth="1"/>
    <col min="4072" max="4072" width="17.42578125" style="9" bestFit="1" customWidth="1"/>
    <col min="4073" max="4073" width="18.28515625" style="9" bestFit="1" customWidth="1"/>
    <col min="4074" max="4319" width="9.28515625" style="9"/>
    <col min="4320" max="4320" width="11.7109375" style="9" customWidth="1"/>
    <col min="4321" max="4321" width="28.28515625" style="9" customWidth="1"/>
    <col min="4322" max="4322" width="25.7109375" style="9" customWidth="1"/>
    <col min="4323" max="4323" width="16" style="9" customWidth="1"/>
    <col min="4324" max="4324" width="16.7109375" style="9" customWidth="1"/>
    <col min="4325" max="4325" width="13.42578125" style="9" customWidth="1"/>
    <col min="4326" max="4326" width="14.28515625" style="9" customWidth="1"/>
    <col min="4327" max="4327" width="18.28515625" style="9" customWidth="1"/>
    <col min="4328" max="4328" width="17.42578125" style="9" bestFit="1" customWidth="1"/>
    <col min="4329" max="4329" width="18.28515625" style="9" bestFit="1" customWidth="1"/>
    <col min="4330" max="4575" width="9.28515625" style="9"/>
    <col min="4576" max="4576" width="11.7109375" style="9" customWidth="1"/>
    <col min="4577" max="4577" width="28.28515625" style="9" customWidth="1"/>
    <col min="4578" max="4578" width="25.7109375" style="9" customWidth="1"/>
    <col min="4579" max="4579" width="16" style="9" customWidth="1"/>
    <col min="4580" max="4580" width="16.7109375" style="9" customWidth="1"/>
    <col min="4581" max="4581" width="13.42578125" style="9" customWidth="1"/>
    <col min="4582" max="4582" width="14.28515625" style="9" customWidth="1"/>
    <col min="4583" max="4583" width="18.28515625" style="9" customWidth="1"/>
    <col min="4584" max="4584" width="17.42578125" style="9" bestFit="1" customWidth="1"/>
    <col min="4585" max="4585" width="18.28515625" style="9" bestFit="1" customWidth="1"/>
    <col min="4586" max="4831" width="9.28515625" style="9"/>
    <col min="4832" max="4832" width="11.7109375" style="9" customWidth="1"/>
    <col min="4833" max="4833" width="28.28515625" style="9" customWidth="1"/>
    <col min="4834" max="4834" width="25.7109375" style="9" customWidth="1"/>
    <col min="4835" max="4835" width="16" style="9" customWidth="1"/>
    <col min="4836" max="4836" width="16.7109375" style="9" customWidth="1"/>
    <col min="4837" max="4837" width="13.42578125" style="9" customWidth="1"/>
    <col min="4838" max="4838" width="14.28515625" style="9" customWidth="1"/>
    <col min="4839" max="4839" width="18.28515625" style="9" customWidth="1"/>
    <col min="4840" max="4840" width="17.42578125" style="9" bestFit="1" customWidth="1"/>
    <col min="4841" max="4841" width="18.28515625" style="9" bestFit="1" customWidth="1"/>
    <col min="4842" max="5087" width="9.28515625" style="9"/>
    <col min="5088" max="5088" width="11.7109375" style="9" customWidth="1"/>
    <col min="5089" max="5089" width="28.28515625" style="9" customWidth="1"/>
    <col min="5090" max="5090" width="25.7109375" style="9" customWidth="1"/>
    <col min="5091" max="5091" width="16" style="9" customWidth="1"/>
    <col min="5092" max="5092" width="16.7109375" style="9" customWidth="1"/>
    <col min="5093" max="5093" width="13.42578125" style="9" customWidth="1"/>
    <col min="5094" max="5094" width="14.28515625" style="9" customWidth="1"/>
    <col min="5095" max="5095" width="18.28515625" style="9" customWidth="1"/>
    <col min="5096" max="5096" width="17.42578125" style="9" bestFit="1" customWidth="1"/>
    <col min="5097" max="5097" width="18.28515625" style="9" bestFit="1" customWidth="1"/>
    <col min="5098" max="5343" width="9.28515625" style="9"/>
    <col min="5344" max="5344" width="11.7109375" style="9" customWidth="1"/>
    <col min="5345" max="5345" width="28.28515625" style="9" customWidth="1"/>
    <col min="5346" max="5346" width="25.7109375" style="9" customWidth="1"/>
    <col min="5347" max="5347" width="16" style="9" customWidth="1"/>
    <col min="5348" max="5348" width="16.7109375" style="9" customWidth="1"/>
    <col min="5349" max="5349" width="13.42578125" style="9" customWidth="1"/>
    <col min="5350" max="5350" width="14.28515625" style="9" customWidth="1"/>
    <col min="5351" max="5351" width="18.28515625" style="9" customWidth="1"/>
    <col min="5352" max="5352" width="17.42578125" style="9" bestFit="1" customWidth="1"/>
    <col min="5353" max="5353" width="18.28515625" style="9" bestFit="1" customWidth="1"/>
    <col min="5354" max="5599" width="9.28515625" style="9"/>
    <col min="5600" max="5600" width="11.7109375" style="9" customWidth="1"/>
    <col min="5601" max="5601" width="28.28515625" style="9" customWidth="1"/>
    <col min="5602" max="5602" width="25.7109375" style="9" customWidth="1"/>
    <col min="5603" max="5603" width="16" style="9" customWidth="1"/>
    <col min="5604" max="5604" width="16.7109375" style="9" customWidth="1"/>
    <col min="5605" max="5605" width="13.42578125" style="9" customWidth="1"/>
    <col min="5606" max="5606" width="14.28515625" style="9" customWidth="1"/>
    <col min="5607" max="5607" width="18.28515625" style="9" customWidth="1"/>
    <col min="5608" max="5608" width="17.42578125" style="9" bestFit="1" customWidth="1"/>
    <col min="5609" max="5609" width="18.28515625" style="9" bestFit="1" customWidth="1"/>
    <col min="5610" max="5855" width="9.28515625" style="9"/>
    <col min="5856" max="5856" width="11.7109375" style="9" customWidth="1"/>
    <col min="5857" max="5857" width="28.28515625" style="9" customWidth="1"/>
    <col min="5858" max="5858" width="25.7109375" style="9" customWidth="1"/>
    <col min="5859" max="5859" width="16" style="9" customWidth="1"/>
    <col min="5860" max="5860" width="16.7109375" style="9" customWidth="1"/>
    <col min="5861" max="5861" width="13.42578125" style="9" customWidth="1"/>
    <col min="5862" max="5862" width="14.28515625" style="9" customWidth="1"/>
    <col min="5863" max="5863" width="18.28515625" style="9" customWidth="1"/>
    <col min="5864" max="5864" width="17.42578125" style="9" bestFit="1" customWidth="1"/>
    <col min="5865" max="5865" width="18.28515625" style="9" bestFit="1" customWidth="1"/>
    <col min="5866" max="6111" width="9.28515625" style="9"/>
    <col min="6112" max="6112" width="11.7109375" style="9" customWidth="1"/>
    <col min="6113" max="6113" width="28.28515625" style="9" customWidth="1"/>
    <col min="6114" max="6114" width="25.7109375" style="9" customWidth="1"/>
    <col min="6115" max="6115" width="16" style="9" customWidth="1"/>
    <col min="6116" max="6116" width="16.7109375" style="9" customWidth="1"/>
    <col min="6117" max="6117" width="13.42578125" style="9" customWidth="1"/>
    <col min="6118" max="6118" width="14.28515625" style="9" customWidth="1"/>
    <col min="6119" max="6119" width="18.28515625" style="9" customWidth="1"/>
    <col min="6120" max="6120" width="17.42578125" style="9" bestFit="1" customWidth="1"/>
    <col min="6121" max="6121" width="18.28515625" style="9" bestFit="1" customWidth="1"/>
    <col min="6122" max="6367" width="9.28515625" style="9"/>
    <col min="6368" max="6368" width="11.7109375" style="9" customWidth="1"/>
    <col min="6369" max="6369" width="28.28515625" style="9" customWidth="1"/>
    <col min="6370" max="6370" width="25.7109375" style="9" customWidth="1"/>
    <col min="6371" max="6371" width="16" style="9" customWidth="1"/>
    <col min="6372" max="6372" width="16.7109375" style="9" customWidth="1"/>
    <col min="6373" max="6373" width="13.42578125" style="9" customWidth="1"/>
    <col min="6374" max="6374" width="14.28515625" style="9" customWidth="1"/>
    <col min="6375" max="6375" width="18.28515625" style="9" customWidth="1"/>
    <col min="6376" max="6376" width="17.42578125" style="9" bestFit="1" customWidth="1"/>
    <col min="6377" max="6377" width="18.28515625" style="9" bestFit="1" customWidth="1"/>
    <col min="6378" max="6623" width="9.28515625" style="9"/>
    <col min="6624" max="6624" width="11.7109375" style="9" customWidth="1"/>
    <col min="6625" max="6625" width="28.28515625" style="9" customWidth="1"/>
    <col min="6626" max="6626" width="25.7109375" style="9" customWidth="1"/>
    <col min="6627" max="6627" width="16" style="9" customWidth="1"/>
    <col min="6628" max="6628" width="16.7109375" style="9" customWidth="1"/>
    <col min="6629" max="6629" width="13.42578125" style="9" customWidth="1"/>
    <col min="6630" max="6630" width="14.28515625" style="9" customWidth="1"/>
    <col min="6631" max="6631" width="18.28515625" style="9" customWidth="1"/>
    <col min="6632" max="6632" width="17.42578125" style="9" bestFit="1" customWidth="1"/>
    <col min="6633" max="6633" width="18.28515625" style="9" bestFit="1" customWidth="1"/>
    <col min="6634" max="6879" width="9.28515625" style="9"/>
    <col min="6880" max="6880" width="11.7109375" style="9" customWidth="1"/>
    <col min="6881" max="6881" width="28.28515625" style="9" customWidth="1"/>
    <col min="6882" max="6882" width="25.7109375" style="9" customWidth="1"/>
    <col min="6883" max="6883" width="16" style="9" customWidth="1"/>
    <col min="6884" max="6884" width="16.7109375" style="9" customWidth="1"/>
    <col min="6885" max="6885" width="13.42578125" style="9" customWidth="1"/>
    <col min="6886" max="6886" width="14.28515625" style="9" customWidth="1"/>
    <col min="6887" max="6887" width="18.28515625" style="9" customWidth="1"/>
    <col min="6888" max="6888" width="17.42578125" style="9" bestFit="1" customWidth="1"/>
    <col min="6889" max="6889" width="18.28515625" style="9" bestFit="1" customWidth="1"/>
    <col min="6890" max="7135" width="9.28515625" style="9"/>
    <col min="7136" max="7136" width="11.7109375" style="9" customWidth="1"/>
    <col min="7137" max="7137" width="28.28515625" style="9" customWidth="1"/>
    <col min="7138" max="7138" width="25.7109375" style="9" customWidth="1"/>
    <col min="7139" max="7139" width="16" style="9" customWidth="1"/>
    <col min="7140" max="7140" width="16.7109375" style="9" customWidth="1"/>
    <col min="7141" max="7141" width="13.42578125" style="9" customWidth="1"/>
    <col min="7142" max="7142" width="14.28515625" style="9" customWidth="1"/>
    <col min="7143" max="7143" width="18.28515625" style="9" customWidth="1"/>
    <col min="7144" max="7144" width="17.42578125" style="9" bestFit="1" customWidth="1"/>
    <col min="7145" max="7145" width="18.28515625" style="9" bestFit="1" customWidth="1"/>
    <col min="7146" max="7391" width="9.28515625" style="9"/>
    <col min="7392" max="7392" width="11.7109375" style="9" customWidth="1"/>
    <col min="7393" max="7393" width="28.28515625" style="9" customWidth="1"/>
    <col min="7394" max="7394" width="25.7109375" style="9" customWidth="1"/>
    <col min="7395" max="7395" width="16" style="9" customWidth="1"/>
    <col min="7396" max="7396" width="16.7109375" style="9" customWidth="1"/>
    <col min="7397" max="7397" width="13.42578125" style="9" customWidth="1"/>
    <col min="7398" max="7398" width="14.28515625" style="9" customWidth="1"/>
    <col min="7399" max="7399" width="18.28515625" style="9" customWidth="1"/>
    <col min="7400" max="7400" width="17.42578125" style="9" bestFit="1" customWidth="1"/>
    <col min="7401" max="7401" width="18.28515625" style="9" bestFit="1" customWidth="1"/>
    <col min="7402" max="7647" width="9.28515625" style="9"/>
    <col min="7648" max="7648" width="11.7109375" style="9" customWidth="1"/>
    <col min="7649" max="7649" width="28.28515625" style="9" customWidth="1"/>
    <col min="7650" max="7650" width="25.7109375" style="9" customWidth="1"/>
    <col min="7651" max="7651" width="16" style="9" customWidth="1"/>
    <col min="7652" max="7652" width="16.7109375" style="9" customWidth="1"/>
    <col min="7653" max="7653" width="13.42578125" style="9" customWidth="1"/>
    <col min="7654" max="7654" width="14.28515625" style="9" customWidth="1"/>
    <col min="7655" max="7655" width="18.28515625" style="9" customWidth="1"/>
    <col min="7656" max="7656" width="17.42578125" style="9" bestFit="1" customWidth="1"/>
    <col min="7657" max="7657" width="18.28515625" style="9" bestFit="1" customWidth="1"/>
    <col min="7658" max="7903" width="9.28515625" style="9"/>
    <col min="7904" max="7904" width="11.7109375" style="9" customWidth="1"/>
    <col min="7905" max="7905" width="28.28515625" style="9" customWidth="1"/>
    <col min="7906" max="7906" width="25.7109375" style="9" customWidth="1"/>
    <col min="7907" max="7907" width="16" style="9" customWidth="1"/>
    <col min="7908" max="7908" width="16.7109375" style="9" customWidth="1"/>
    <col min="7909" max="7909" width="13.42578125" style="9" customWidth="1"/>
    <col min="7910" max="7910" width="14.28515625" style="9" customWidth="1"/>
    <col min="7911" max="7911" width="18.28515625" style="9" customWidth="1"/>
    <col min="7912" max="7912" width="17.42578125" style="9" bestFit="1" customWidth="1"/>
    <col min="7913" max="7913" width="18.28515625" style="9" bestFit="1" customWidth="1"/>
    <col min="7914" max="8159" width="9.28515625" style="9"/>
    <col min="8160" max="8160" width="11.7109375" style="9" customWidth="1"/>
    <col min="8161" max="8161" width="28.28515625" style="9" customWidth="1"/>
    <col min="8162" max="8162" width="25.7109375" style="9" customWidth="1"/>
    <col min="8163" max="8163" width="16" style="9" customWidth="1"/>
    <col min="8164" max="8164" width="16.7109375" style="9" customWidth="1"/>
    <col min="8165" max="8165" width="13.42578125" style="9" customWidth="1"/>
    <col min="8166" max="8166" width="14.28515625" style="9" customWidth="1"/>
    <col min="8167" max="8167" width="18.28515625" style="9" customWidth="1"/>
    <col min="8168" max="8168" width="17.42578125" style="9" bestFit="1" customWidth="1"/>
    <col min="8169" max="8169" width="18.28515625" style="9" bestFit="1" customWidth="1"/>
    <col min="8170" max="8415" width="9.28515625" style="9"/>
    <col min="8416" max="8416" width="11.7109375" style="9" customWidth="1"/>
    <col min="8417" max="8417" width="28.28515625" style="9" customWidth="1"/>
    <col min="8418" max="8418" width="25.7109375" style="9" customWidth="1"/>
    <col min="8419" max="8419" width="16" style="9" customWidth="1"/>
    <col min="8420" max="8420" width="16.7109375" style="9" customWidth="1"/>
    <col min="8421" max="8421" width="13.42578125" style="9" customWidth="1"/>
    <col min="8422" max="8422" width="14.28515625" style="9" customWidth="1"/>
    <col min="8423" max="8423" width="18.28515625" style="9" customWidth="1"/>
    <col min="8424" max="8424" width="17.42578125" style="9" bestFit="1" customWidth="1"/>
    <col min="8425" max="8425" width="18.28515625" style="9" bestFit="1" customWidth="1"/>
    <col min="8426" max="8671" width="9.28515625" style="9"/>
    <col min="8672" max="8672" width="11.7109375" style="9" customWidth="1"/>
    <col min="8673" max="8673" width="28.28515625" style="9" customWidth="1"/>
    <col min="8674" max="8674" width="25.7109375" style="9" customWidth="1"/>
    <col min="8675" max="8675" width="16" style="9" customWidth="1"/>
    <col min="8676" max="8676" width="16.7109375" style="9" customWidth="1"/>
    <col min="8677" max="8677" width="13.42578125" style="9" customWidth="1"/>
    <col min="8678" max="8678" width="14.28515625" style="9" customWidth="1"/>
    <col min="8679" max="8679" width="18.28515625" style="9" customWidth="1"/>
    <col min="8680" max="8680" width="17.42578125" style="9" bestFit="1" customWidth="1"/>
    <col min="8681" max="8681" width="18.28515625" style="9" bestFit="1" customWidth="1"/>
    <col min="8682" max="8927" width="9.28515625" style="9"/>
    <col min="8928" max="8928" width="11.7109375" style="9" customWidth="1"/>
    <col min="8929" max="8929" width="28.28515625" style="9" customWidth="1"/>
    <col min="8930" max="8930" width="25.7109375" style="9" customWidth="1"/>
    <col min="8931" max="8931" width="16" style="9" customWidth="1"/>
    <col min="8932" max="8932" width="16.7109375" style="9" customWidth="1"/>
    <col min="8933" max="8933" width="13.42578125" style="9" customWidth="1"/>
    <col min="8934" max="8934" width="14.28515625" style="9" customWidth="1"/>
    <col min="8935" max="8935" width="18.28515625" style="9" customWidth="1"/>
    <col min="8936" max="8936" width="17.42578125" style="9" bestFit="1" customWidth="1"/>
    <col min="8937" max="8937" width="18.28515625" style="9" bestFit="1" customWidth="1"/>
    <col min="8938" max="9183" width="9.28515625" style="9"/>
    <col min="9184" max="9184" width="11.7109375" style="9" customWidth="1"/>
    <col min="9185" max="9185" width="28.28515625" style="9" customWidth="1"/>
    <col min="9186" max="9186" width="25.7109375" style="9" customWidth="1"/>
    <col min="9187" max="9187" width="16" style="9" customWidth="1"/>
    <col min="9188" max="9188" width="16.7109375" style="9" customWidth="1"/>
    <col min="9189" max="9189" width="13.42578125" style="9" customWidth="1"/>
    <col min="9190" max="9190" width="14.28515625" style="9" customWidth="1"/>
    <col min="9191" max="9191" width="18.28515625" style="9" customWidth="1"/>
    <col min="9192" max="9192" width="17.42578125" style="9" bestFit="1" customWidth="1"/>
    <col min="9193" max="9193" width="18.28515625" style="9" bestFit="1" customWidth="1"/>
    <col min="9194" max="9439" width="9.28515625" style="9"/>
    <col min="9440" max="9440" width="11.7109375" style="9" customWidth="1"/>
    <col min="9441" max="9441" width="28.28515625" style="9" customWidth="1"/>
    <col min="9442" max="9442" width="25.7109375" style="9" customWidth="1"/>
    <col min="9443" max="9443" width="16" style="9" customWidth="1"/>
    <col min="9444" max="9444" width="16.7109375" style="9" customWidth="1"/>
    <col min="9445" max="9445" width="13.42578125" style="9" customWidth="1"/>
    <col min="9446" max="9446" width="14.28515625" style="9" customWidth="1"/>
    <col min="9447" max="9447" width="18.28515625" style="9" customWidth="1"/>
    <col min="9448" max="9448" width="17.42578125" style="9" bestFit="1" customWidth="1"/>
    <col min="9449" max="9449" width="18.28515625" style="9" bestFit="1" customWidth="1"/>
    <col min="9450" max="9695" width="9.28515625" style="9"/>
    <col min="9696" max="9696" width="11.7109375" style="9" customWidth="1"/>
    <col min="9697" max="9697" width="28.28515625" style="9" customWidth="1"/>
    <col min="9698" max="9698" width="25.7109375" style="9" customWidth="1"/>
    <col min="9699" max="9699" width="16" style="9" customWidth="1"/>
    <col min="9700" max="9700" width="16.7109375" style="9" customWidth="1"/>
    <col min="9701" max="9701" width="13.42578125" style="9" customWidth="1"/>
    <col min="9702" max="9702" width="14.28515625" style="9" customWidth="1"/>
    <col min="9703" max="9703" width="18.28515625" style="9" customWidth="1"/>
    <col min="9704" max="9704" width="17.42578125" style="9" bestFit="1" customWidth="1"/>
    <col min="9705" max="9705" width="18.28515625" style="9" bestFit="1" customWidth="1"/>
    <col min="9706" max="9951" width="9.28515625" style="9"/>
    <col min="9952" max="9952" width="11.7109375" style="9" customWidth="1"/>
    <col min="9953" max="9953" width="28.28515625" style="9" customWidth="1"/>
    <col min="9954" max="9954" width="25.7109375" style="9" customWidth="1"/>
    <col min="9955" max="9955" width="16" style="9" customWidth="1"/>
    <col min="9956" max="9956" width="16.7109375" style="9" customWidth="1"/>
    <col min="9957" max="9957" width="13.42578125" style="9" customWidth="1"/>
    <col min="9958" max="9958" width="14.28515625" style="9" customWidth="1"/>
    <col min="9959" max="9959" width="18.28515625" style="9" customWidth="1"/>
    <col min="9960" max="9960" width="17.42578125" style="9" bestFit="1" customWidth="1"/>
    <col min="9961" max="9961" width="18.28515625" style="9" bestFit="1" customWidth="1"/>
    <col min="9962" max="10207" width="9.28515625" style="9"/>
    <col min="10208" max="10208" width="11.7109375" style="9" customWidth="1"/>
    <col min="10209" max="10209" width="28.28515625" style="9" customWidth="1"/>
    <col min="10210" max="10210" width="25.7109375" style="9" customWidth="1"/>
    <col min="10211" max="10211" width="16" style="9" customWidth="1"/>
    <col min="10212" max="10212" width="16.7109375" style="9" customWidth="1"/>
    <col min="10213" max="10213" width="13.42578125" style="9" customWidth="1"/>
    <col min="10214" max="10214" width="14.28515625" style="9" customWidth="1"/>
    <col min="10215" max="10215" width="18.28515625" style="9" customWidth="1"/>
    <col min="10216" max="10216" width="17.42578125" style="9" bestFit="1" customWidth="1"/>
    <col min="10217" max="10217" width="18.28515625" style="9" bestFit="1" customWidth="1"/>
    <col min="10218" max="10463" width="9.28515625" style="9"/>
    <col min="10464" max="10464" width="11.7109375" style="9" customWidth="1"/>
    <col min="10465" max="10465" width="28.28515625" style="9" customWidth="1"/>
    <col min="10466" max="10466" width="25.7109375" style="9" customWidth="1"/>
    <col min="10467" max="10467" width="16" style="9" customWidth="1"/>
    <col min="10468" max="10468" width="16.7109375" style="9" customWidth="1"/>
    <col min="10469" max="10469" width="13.42578125" style="9" customWidth="1"/>
    <col min="10470" max="10470" width="14.28515625" style="9" customWidth="1"/>
    <col min="10471" max="10471" width="18.28515625" style="9" customWidth="1"/>
    <col min="10472" max="10472" width="17.42578125" style="9" bestFit="1" customWidth="1"/>
    <col min="10473" max="10473" width="18.28515625" style="9" bestFit="1" customWidth="1"/>
    <col min="10474" max="10719" width="9.28515625" style="9"/>
    <col min="10720" max="10720" width="11.7109375" style="9" customWidth="1"/>
    <col min="10721" max="10721" width="28.28515625" style="9" customWidth="1"/>
    <col min="10722" max="10722" width="25.7109375" style="9" customWidth="1"/>
    <col min="10723" max="10723" width="16" style="9" customWidth="1"/>
    <col min="10724" max="10724" width="16.7109375" style="9" customWidth="1"/>
    <col min="10725" max="10725" width="13.42578125" style="9" customWidth="1"/>
    <col min="10726" max="10726" width="14.28515625" style="9" customWidth="1"/>
    <col min="10727" max="10727" width="18.28515625" style="9" customWidth="1"/>
    <col min="10728" max="10728" width="17.42578125" style="9" bestFit="1" customWidth="1"/>
    <col min="10729" max="10729" width="18.28515625" style="9" bestFit="1" customWidth="1"/>
    <col min="10730" max="10975" width="9.28515625" style="9"/>
    <col min="10976" max="10976" width="11.7109375" style="9" customWidth="1"/>
    <col min="10977" max="10977" width="28.28515625" style="9" customWidth="1"/>
    <col min="10978" max="10978" width="25.7109375" style="9" customWidth="1"/>
    <col min="10979" max="10979" width="16" style="9" customWidth="1"/>
    <col min="10980" max="10980" width="16.7109375" style="9" customWidth="1"/>
    <col min="10981" max="10981" width="13.42578125" style="9" customWidth="1"/>
    <col min="10982" max="10982" width="14.28515625" style="9" customWidth="1"/>
    <col min="10983" max="10983" width="18.28515625" style="9" customWidth="1"/>
    <col min="10984" max="10984" width="17.42578125" style="9" bestFit="1" customWidth="1"/>
    <col min="10985" max="10985" width="18.28515625" style="9" bestFit="1" customWidth="1"/>
    <col min="10986" max="11231" width="9.28515625" style="9"/>
    <col min="11232" max="11232" width="11.7109375" style="9" customWidth="1"/>
    <col min="11233" max="11233" width="28.28515625" style="9" customWidth="1"/>
    <col min="11234" max="11234" width="25.7109375" style="9" customWidth="1"/>
    <col min="11235" max="11235" width="16" style="9" customWidth="1"/>
    <col min="11236" max="11236" width="16.7109375" style="9" customWidth="1"/>
    <col min="11237" max="11237" width="13.42578125" style="9" customWidth="1"/>
    <col min="11238" max="11238" width="14.28515625" style="9" customWidth="1"/>
    <col min="11239" max="11239" width="18.28515625" style="9" customWidth="1"/>
    <col min="11240" max="11240" width="17.42578125" style="9" bestFit="1" customWidth="1"/>
    <col min="11241" max="11241" width="18.28515625" style="9" bestFit="1" customWidth="1"/>
    <col min="11242" max="11487" width="9.28515625" style="9"/>
    <col min="11488" max="11488" width="11.7109375" style="9" customWidth="1"/>
    <col min="11489" max="11489" width="28.28515625" style="9" customWidth="1"/>
    <col min="11490" max="11490" width="25.7109375" style="9" customWidth="1"/>
    <col min="11491" max="11491" width="16" style="9" customWidth="1"/>
    <col min="11492" max="11492" width="16.7109375" style="9" customWidth="1"/>
    <col min="11493" max="11493" width="13.42578125" style="9" customWidth="1"/>
    <col min="11494" max="11494" width="14.28515625" style="9" customWidth="1"/>
    <col min="11495" max="11495" width="18.28515625" style="9" customWidth="1"/>
    <col min="11496" max="11496" width="17.42578125" style="9" bestFit="1" customWidth="1"/>
    <col min="11497" max="11497" width="18.28515625" style="9" bestFit="1" customWidth="1"/>
    <col min="11498" max="11743" width="9.28515625" style="9"/>
    <col min="11744" max="11744" width="11.7109375" style="9" customWidth="1"/>
    <col min="11745" max="11745" width="28.28515625" style="9" customWidth="1"/>
    <col min="11746" max="11746" width="25.7109375" style="9" customWidth="1"/>
    <col min="11747" max="11747" width="16" style="9" customWidth="1"/>
    <col min="11748" max="11748" width="16.7109375" style="9" customWidth="1"/>
    <col min="11749" max="11749" width="13.42578125" style="9" customWidth="1"/>
    <col min="11750" max="11750" width="14.28515625" style="9" customWidth="1"/>
    <col min="11751" max="11751" width="18.28515625" style="9" customWidth="1"/>
    <col min="11752" max="11752" width="17.42578125" style="9" bestFit="1" customWidth="1"/>
    <col min="11753" max="11753" width="18.28515625" style="9" bestFit="1" customWidth="1"/>
    <col min="11754" max="11999" width="9.28515625" style="9"/>
    <col min="12000" max="12000" width="11.7109375" style="9" customWidth="1"/>
    <col min="12001" max="12001" width="28.28515625" style="9" customWidth="1"/>
    <col min="12002" max="12002" width="25.7109375" style="9" customWidth="1"/>
    <col min="12003" max="12003" width="16" style="9" customWidth="1"/>
    <col min="12004" max="12004" width="16.7109375" style="9" customWidth="1"/>
    <col min="12005" max="12005" width="13.42578125" style="9" customWidth="1"/>
    <col min="12006" max="12006" width="14.28515625" style="9" customWidth="1"/>
    <col min="12007" max="12007" width="18.28515625" style="9" customWidth="1"/>
    <col min="12008" max="12008" width="17.42578125" style="9" bestFit="1" customWidth="1"/>
    <col min="12009" max="12009" width="18.28515625" style="9" bestFit="1" customWidth="1"/>
    <col min="12010" max="12255" width="9.28515625" style="9"/>
    <col min="12256" max="12256" width="11.7109375" style="9" customWidth="1"/>
    <col min="12257" max="12257" width="28.28515625" style="9" customWidth="1"/>
    <col min="12258" max="12258" width="25.7109375" style="9" customWidth="1"/>
    <col min="12259" max="12259" width="16" style="9" customWidth="1"/>
    <col min="12260" max="12260" width="16.7109375" style="9" customWidth="1"/>
    <col min="12261" max="12261" width="13.42578125" style="9" customWidth="1"/>
    <col min="12262" max="12262" width="14.28515625" style="9" customWidth="1"/>
    <col min="12263" max="12263" width="18.28515625" style="9" customWidth="1"/>
    <col min="12264" max="12264" width="17.42578125" style="9" bestFit="1" customWidth="1"/>
    <col min="12265" max="12265" width="18.28515625" style="9" bestFit="1" customWidth="1"/>
    <col min="12266" max="12511" width="9.28515625" style="9"/>
    <col min="12512" max="12512" width="11.7109375" style="9" customWidth="1"/>
    <col min="12513" max="12513" width="28.28515625" style="9" customWidth="1"/>
    <col min="12514" max="12514" width="25.7109375" style="9" customWidth="1"/>
    <col min="12515" max="12515" width="16" style="9" customWidth="1"/>
    <col min="12516" max="12516" width="16.7109375" style="9" customWidth="1"/>
    <col min="12517" max="12517" width="13.42578125" style="9" customWidth="1"/>
    <col min="12518" max="12518" width="14.28515625" style="9" customWidth="1"/>
    <col min="12519" max="12519" width="18.28515625" style="9" customWidth="1"/>
    <col min="12520" max="12520" width="17.42578125" style="9" bestFit="1" customWidth="1"/>
    <col min="12521" max="12521" width="18.28515625" style="9" bestFit="1" customWidth="1"/>
    <col min="12522" max="12767" width="9.28515625" style="9"/>
    <col min="12768" max="12768" width="11.7109375" style="9" customWidth="1"/>
    <col min="12769" max="12769" width="28.28515625" style="9" customWidth="1"/>
    <col min="12770" max="12770" width="25.7109375" style="9" customWidth="1"/>
    <col min="12771" max="12771" width="16" style="9" customWidth="1"/>
    <col min="12772" max="12772" width="16.7109375" style="9" customWidth="1"/>
    <col min="12773" max="12773" width="13.42578125" style="9" customWidth="1"/>
    <col min="12774" max="12774" width="14.28515625" style="9" customWidth="1"/>
    <col min="12775" max="12775" width="18.28515625" style="9" customWidth="1"/>
    <col min="12776" max="12776" width="17.42578125" style="9" bestFit="1" customWidth="1"/>
    <col min="12777" max="12777" width="18.28515625" style="9" bestFit="1" customWidth="1"/>
    <col min="12778" max="13023" width="9.28515625" style="9"/>
    <col min="13024" max="13024" width="11.7109375" style="9" customWidth="1"/>
    <col min="13025" max="13025" width="28.28515625" style="9" customWidth="1"/>
    <col min="13026" max="13026" width="25.7109375" style="9" customWidth="1"/>
    <col min="13027" max="13027" width="16" style="9" customWidth="1"/>
    <col min="13028" max="13028" width="16.7109375" style="9" customWidth="1"/>
    <col min="13029" max="13029" width="13.42578125" style="9" customWidth="1"/>
    <col min="13030" max="13030" width="14.28515625" style="9" customWidth="1"/>
    <col min="13031" max="13031" width="18.28515625" style="9" customWidth="1"/>
    <col min="13032" max="13032" width="17.42578125" style="9" bestFit="1" customWidth="1"/>
    <col min="13033" max="13033" width="18.28515625" style="9" bestFit="1" customWidth="1"/>
    <col min="13034" max="13279" width="9.28515625" style="9"/>
    <col min="13280" max="13280" width="11.7109375" style="9" customWidth="1"/>
    <col min="13281" max="13281" width="28.28515625" style="9" customWidth="1"/>
    <col min="13282" max="13282" width="25.7109375" style="9" customWidth="1"/>
    <col min="13283" max="13283" width="16" style="9" customWidth="1"/>
    <col min="13284" max="13284" width="16.7109375" style="9" customWidth="1"/>
    <col min="13285" max="13285" width="13.42578125" style="9" customWidth="1"/>
    <col min="13286" max="13286" width="14.28515625" style="9" customWidth="1"/>
    <col min="13287" max="13287" width="18.28515625" style="9" customWidth="1"/>
    <col min="13288" max="13288" width="17.42578125" style="9" bestFit="1" customWidth="1"/>
    <col min="13289" max="13289" width="18.28515625" style="9" bestFit="1" customWidth="1"/>
    <col min="13290" max="13535" width="9.28515625" style="9"/>
    <col min="13536" max="13536" width="11.7109375" style="9" customWidth="1"/>
    <col min="13537" max="13537" width="28.28515625" style="9" customWidth="1"/>
    <col min="13538" max="13538" width="25.7109375" style="9" customWidth="1"/>
    <col min="13539" max="13539" width="16" style="9" customWidth="1"/>
    <col min="13540" max="13540" width="16.7109375" style="9" customWidth="1"/>
    <col min="13541" max="13541" width="13.42578125" style="9" customWidth="1"/>
    <col min="13542" max="13542" width="14.28515625" style="9" customWidth="1"/>
    <col min="13543" max="13543" width="18.28515625" style="9" customWidth="1"/>
    <col min="13544" max="13544" width="17.42578125" style="9" bestFit="1" customWidth="1"/>
    <col min="13545" max="13545" width="18.28515625" style="9" bestFit="1" customWidth="1"/>
    <col min="13546" max="13791" width="9.28515625" style="9"/>
    <col min="13792" max="13792" width="11.7109375" style="9" customWidth="1"/>
    <col min="13793" max="13793" width="28.28515625" style="9" customWidth="1"/>
    <col min="13794" max="13794" width="25.7109375" style="9" customWidth="1"/>
    <col min="13795" max="13795" width="16" style="9" customWidth="1"/>
    <col min="13796" max="13796" width="16.7109375" style="9" customWidth="1"/>
    <col min="13797" max="13797" width="13.42578125" style="9" customWidth="1"/>
    <col min="13798" max="13798" width="14.28515625" style="9" customWidth="1"/>
    <col min="13799" max="13799" width="18.28515625" style="9" customWidth="1"/>
    <col min="13800" max="13800" width="17.42578125" style="9" bestFit="1" customWidth="1"/>
    <col min="13801" max="13801" width="18.28515625" style="9" bestFit="1" customWidth="1"/>
    <col min="13802" max="14047" width="9.28515625" style="9"/>
    <col min="14048" max="14048" width="11.7109375" style="9" customWidth="1"/>
    <col min="14049" max="14049" width="28.28515625" style="9" customWidth="1"/>
    <col min="14050" max="14050" width="25.7109375" style="9" customWidth="1"/>
    <col min="14051" max="14051" width="16" style="9" customWidth="1"/>
    <col min="14052" max="14052" width="16.7109375" style="9" customWidth="1"/>
    <col min="14053" max="14053" width="13.42578125" style="9" customWidth="1"/>
    <col min="14054" max="14054" width="14.28515625" style="9" customWidth="1"/>
    <col min="14055" max="14055" width="18.28515625" style="9" customWidth="1"/>
    <col min="14056" max="14056" width="17.42578125" style="9" bestFit="1" customWidth="1"/>
    <col min="14057" max="14057" width="18.28515625" style="9" bestFit="1" customWidth="1"/>
    <col min="14058" max="14303" width="9.28515625" style="9"/>
    <col min="14304" max="14304" width="11.7109375" style="9" customWidth="1"/>
    <col min="14305" max="14305" width="28.28515625" style="9" customWidth="1"/>
    <col min="14306" max="14306" width="25.7109375" style="9" customWidth="1"/>
    <col min="14307" max="14307" width="16" style="9" customWidth="1"/>
    <col min="14308" max="14308" width="16.7109375" style="9" customWidth="1"/>
    <col min="14309" max="14309" width="13.42578125" style="9" customWidth="1"/>
    <col min="14310" max="14310" width="14.28515625" style="9" customWidth="1"/>
    <col min="14311" max="14311" width="18.28515625" style="9" customWidth="1"/>
    <col min="14312" max="14312" width="17.42578125" style="9" bestFit="1" customWidth="1"/>
    <col min="14313" max="14313" width="18.28515625" style="9" bestFit="1" customWidth="1"/>
    <col min="14314" max="14559" width="9.28515625" style="9"/>
    <col min="14560" max="14560" width="11.7109375" style="9" customWidth="1"/>
    <col min="14561" max="14561" width="28.28515625" style="9" customWidth="1"/>
    <col min="14562" max="14562" width="25.7109375" style="9" customWidth="1"/>
    <col min="14563" max="14563" width="16" style="9" customWidth="1"/>
    <col min="14564" max="14564" width="16.7109375" style="9" customWidth="1"/>
    <col min="14565" max="14565" width="13.42578125" style="9" customWidth="1"/>
    <col min="14566" max="14566" width="14.28515625" style="9" customWidth="1"/>
    <col min="14567" max="14567" width="18.28515625" style="9" customWidth="1"/>
    <col min="14568" max="14568" width="17.42578125" style="9" bestFit="1" customWidth="1"/>
    <col min="14569" max="14569" width="18.28515625" style="9" bestFit="1" customWidth="1"/>
    <col min="14570" max="14815" width="9.28515625" style="9"/>
    <col min="14816" max="14816" width="11.7109375" style="9" customWidth="1"/>
    <col min="14817" max="14817" width="28.28515625" style="9" customWidth="1"/>
    <col min="14818" max="14818" width="25.7109375" style="9" customWidth="1"/>
    <col min="14819" max="14819" width="16" style="9" customWidth="1"/>
    <col min="14820" max="14820" width="16.7109375" style="9" customWidth="1"/>
    <col min="14821" max="14821" width="13.42578125" style="9" customWidth="1"/>
    <col min="14822" max="14822" width="14.28515625" style="9" customWidth="1"/>
    <col min="14823" max="14823" width="18.28515625" style="9" customWidth="1"/>
    <col min="14824" max="14824" width="17.42578125" style="9" bestFit="1" customWidth="1"/>
    <col min="14825" max="14825" width="18.28515625" style="9" bestFit="1" customWidth="1"/>
    <col min="14826" max="15071" width="9.28515625" style="9"/>
    <col min="15072" max="15072" width="11.7109375" style="9" customWidth="1"/>
    <col min="15073" max="15073" width="28.28515625" style="9" customWidth="1"/>
    <col min="15074" max="15074" width="25.7109375" style="9" customWidth="1"/>
    <col min="15075" max="15075" width="16" style="9" customWidth="1"/>
    <col min="15076" max="15076" width="16.7109375" style="9" customWidth="1"/>
    <col min="15077" max="15077" width="13.42578125" style="9" customWidth="1"/>
    <col min="15078" max="15078" width="14.28515625" style="9" customWidth="1"/>
    <col min="15079" max="15079" width="18.28515625" style="9" customWidth="1"/>
    <col min="15080" max="15080" width="17.42578125" style="9" bestFit="1" customWidth="1"/>
    <col min="15081" max="15081" width="18.28515625" style="9" bestFit="1" customWidth="1"/>
    <col min="15082" max="15327" width="9.28515625" style="9"/>
    <col min="15328" max="15328" width="11.7109375" style="9" customWidth="1"/>
    <col min="15329" max="15329" width="28.28515625" style="9" customWidth="1"/>
    <col min="15330" max="15330" width="25.7109375" style="9" customWidth="1"/>
    <col min="15331" max="15331" width="16" style="9" customWidth="1"/>
    <col min="15332" max="15332" width="16.7109375" style="9" customWidth="1"/>
    <col min="15333" max="15333" width="13.42578125" style="9" customWidth="1"/>
    <col min="15334" max="15334" width="14.28515625" style="9" customWidth="1"/>
    <col min="15335" max="15335" width="18.28515625" style="9" customWidth="1"/>
    <col min="15336" max="15336" width="17.42578125" style="9" bestFit="1" customWidth="1"/>
    <col min="15337" max="15337" width="18.28515625" style="9" bestFit="1" customWidth="1"/>
    <col min="15338" max="15583" width="9.28515625" style="9"/>
    <col min="15584" max="15584" width="11.7109375" style="9" customWidth="1"/>
    <col min="15585" max="15585" width="28.28515625" style="9" customWidth="1"/>
    <col min="15586" max="15586" width="25.7109375" style="9" customWidth="1"/>
    <col min="15587" max="15587" width="16" style="9" customWidth="1"/>
    <col min="15588" max="15588" width="16.7109375" style="9" customWidth="1"/>
    <col min="15589" max="15589" width="13.42578125" style="9" customWidth="1"/>
    <col min="15590" max="15590" width="14.28515625" style="9" customWidth="1"/>
    <col min="15591" max="15591" width="18.28515625" style="9" customWidth="1"/>
    <col min="15592" max="15592" width="17.42578125" style="9" bestFit="1" customWidth="1"/>
    <col min="15593" max="15593" width="18.28515625" style="9" bestFit="1" customWidth="1"/>
    <col min="15594" max="15839" width="9.28515625" style="9"/>
    <col min="15840" max="15840" width="11.7109375" style="9" customWidth="1"/>
    <col min="15841" max="15841" width="28.28515625" style="9" customWidth="1"/>
    <col min="15842" max="15842" width="25.7109375" style="9" customWidth="1"/>
    <col min="15843" max="15843" width="16" style="9" customWidth="1"/>
    <col min="15844" max="15844" width="16.7109375" style="9" customWidth="1"/>
    <col min="15845" max="15845" width="13.42578125" style="9" customWidth="1"/>
    <col min="15846" max="15846" width="14.28515625" style="9" customWidth="1"/>
    <col min="15847" max="15847" width="18.28515625" style="9" customWidth="1"/>
    <col min="15848" max="15848" width="17.42578125" style="9" bestFit="1" customWidth="1"/>
    <col min="15849" max="15849" width="18.28515625" style="9" bestFit="1" customWidth="1"/>
    <col min="15850" max="16095" width="9.28515625" style="9"/>
    <col min="16096" max="16096" width="11.7109375" style="9" customWidth="1"/>
    <col min="16097" max="16097" width="28.28515625" style="9" customWidth="1"/>
    <col min="16098" max="16098" width="25.7109375" style="9" customWidth="1"/>
    <col min="16099" max="16099" width="16" style="9" customWidth="1"/>
    <col min="16100" max="16100" width="16.7109375" style="9" customWidth="1"/>
    <col min="16101" max="16101" width="13.42578125" style="9" customWidth="1"/>
    <col min="16102" max="16102" width="14.28515625" style="9" customWidth="1"/>
    <col min="16103" max="16103" width="18.28515625" style="9" customWidth="1"/>
    <col min="16104" max="16104" width="17.42578125" style="9" bestFit="1" customWidth="1"/>
    <col min="16105" max="16105" width="18.28515625" style="9" bestFit="1" customWidth="1"/>
    <col min="16106" max="16384" width="9.28515625" style="9"/>
  </cols>
  <sheetData>
    <row r="1" spans="1:14" ht="47.25" customHeight="1" x14ac:dyDescent="0.2">
      <c r="A1" s="14" t="s">
        <v>210</v>
      </c>
      <c r="B1" s="10"/>
      <c r="C1" s="10"/>
      <c r="D1" s="10"/>
      <c r="E1" s="48"/>
      <c r="F1" s="48"/>
      <c r="G1" s="48"/>
      <c r="H1" s="48"/>
      <c r="I1" s="10"/>
      <c r="J1" s="10"/>
      <c r="K1" s="48"/>
    </row>
    <row r="2" spans="1:14" s="55" customFormat="1" ht="76.5" customHeight="1" x14ac:dyDescent="0.2">
      <c r="A2" s="53" t="s">
        <v>57</v>
      </c>
      <c r="B2" s="53" t="s">
        <v>58</v>
      </c>
      <c r="C2" s="53" t="s">
        <v>205</v>
      </c>
      <c r="D2" s="53" t="s">
        <v>206</v>
      </c>
      <c r="E2" s="53" t="s">
        <v>160</v>
      </c>
      <c r="F2" s="53" t="s">
        <v>161</v>
      </c>
      <c r="G2" s="53" t="s">
        <v>162</v>
      </c>
      <c r="H2" s="53" t="s">
        <v>207</v>
      </c>
      <c r="I2" s="53" t="s">
        <v>156</v>
      </c>
      <c r="J2" s="53" t="s">
        <v>126</v>
      </c>
      <c r="K2" s="53" t="s">
        <v>127</v>
      </c>
      <c r="L2" s="53" t="s">
        <v>159</v>
      </c>
      <c r="M2" s="53" t="s">
        <v>158</v>
      </c>
    </row>
    <row r="3" spans="1:14" s="6" customFormat="1" ht="24" x14ac:dyDescent="0.2">
      <c r="A3" s="26" t="s">
        <v>51</v>
      </c>
      <c r="B3" s="26" t="s">
        <v>53</v>
      </c>
      <c r="C3" s="27" t="s">
        <v>62</v>
      </c>
      <c r="D3" s="27" t="s">
        <v>55</v>
      </c>
      <c r="E3" s="27" t="s">
        <v>191</v>
      </c>
      <c r="F3" s="28" t="s">
        <v>172</v>
      </c>
      <c r="G3" s="28" t="s">
        <v>193</v>
      </c>
      <c r="H3" s="27" t="s">
        <v>164</v>
      </c>
      <c r="I3" s="28" t="s">
        <v>192</v>
      </c>
      <c r="J3" s="28" t="s">
        <v>180</v>
      </c>
      <c r="K3" s="28" t="s">
        <v>194</v>
      </c>
      <c r="L3" s="28" t="s">
        <v>181</v>
      </c>
      <c r="M3" s="28" t="s">
        <v>182</v>
      </c>
      <c r="N3" s="98"/>
    </row>
    <row r="4" spans="1:14" ht="15.75" customHeight="1" x14ac:dyDescent="0.2">
      <c r="A4" s="19">
        <v>210001</v>
      </c>
      <c r="B4" s="19" t="s">
        <v>67</v>
      </c>
      <c r="C4" s="20">
        <f>IFERROR(VLOOKUP(A4,[3]Sheet1!$B$5:$R$58,15,0),"")</f>
        <v>424049570.74424231</v>
      </c>
      <c r="D4" s="73">
        <f>IFERROR(VLOOKUP($A4,'PAU Performance'!$A:$F,6,FALSE),"")</f>
        <v>15.941258664498294</v>
      </c>
      <c r="E4" s="52">
        <f>IFERROR(D4/$D$53*Savings!$C$8*Savings!$C$16,"")</f>
        <v>-2.8629988849042305E-3</v>
      </c>
      <c r="F4" s="90">
        <f t="shared" ref="F4:F41" si="0">IFERROR(E4*$C4,"")</f>
        <v>-1214053.4481848832</v>
      </c>
      <c r="G4" s="54">
        <f>IFERROR(F4*Savings!$C$9*Savings!$C$16/$F$53,"")</f>
        <v>-857949.49982392543</v>
      </c>
      <c r="H4" s="21">
        <f>IFERROR(VLOOKUP(A4,'PAU Performance'!A:C,3,FALSE),"")</f>
        <v>5.9924400000000003E-2</v>
      </c>
      <c r="I4" s="22">
        <f>H4/$H$53*Savings!$C$8*Savings!$C$17</f>
        <v>-3.2323284329751926E-3</v>
      </c>
      <c r="J4" s="90">
        <f t="shared" ref="J4:J51" si="1">IFERROR(I4*C4,"")</f>
        <v>-1370667.4845075398</v>
      </c>
      <c r="K4" s="54">
        <f>IFERROR(J4*Savings!$C$9*Savings!$C$17/$J$53,"")</f>
        <v>-1383038.9074614902</v>
      </c>
      <c r="L4" s="90">
        <f t="shared" ref="L4:L51" si="2">IFERROR(G4+K4,"")</f>
        <v>-2240988.4072854156</v>
      </c>
      <c r="M4" s="72">
        <f t="shared" ref="M4:M11" si="3">L4/C4</f>
        <v>-5.2847321678743701E-3</v>
      </c>
    </row>
    <row r="5" spans="1:14" ht="15.75" customHeight="1" x14ac:dyDescent="0.2">
      <c r="A5" s="23">
        <v>210002</v>
      </c>
      <c r="B5" s="23" t="s">
        <v>60</v>
      </c>
      <c r="C5" s="20">
        <f>IFERROR(VLOOKUP(A5,[3]Sheet1!$B$5:$R$58,14,0),"")</f>
        <v>2044937624.2980065</v>
      </c>
      <c r="D5" s="73">
        <f>IFERROR(VLOOKUP($A5,'PAU Performance'!$A:$F,6,FALSE),"")</f>
        <v>24.438463563245715</v>
      </c>
      <c r="E5" s="52">
        <f>IFERROR(D5/$D$53*Savings!$C$8*Savings!$C$16,"")</f>
        <v>-4.3890696087984949E-3</v>
      </c>
      <c r="F5" s="90">
        <f t="shared" si="0"/>
        <v>-8975373.578694975</v>
      </c>
      <c r="G5" s="54">
        <f>IFERROR(F5*Savings!$C$9*Savings!$C$16/$F$53,"")</f>
        <v>-6342733.3319525858</v>
      </c>
      <c r="H5" s="21">
        <f>IFERROR(VLOOKUP(A5,'PAU Performance'!A:C,3,FALSE),"")</f>
        <v>3.7352700000000003E-2</v>
      </c>
      <c r="I5" s="22">
        <f>H5/$H$53*Savings!$C$8*Savings!$C$17</f>
        <v>-2.0148085630960423E-3</v>
      </c>
      <c r="J5" s="90">
        <f t="shared" si="1"/>
        <v>-4120157.8364329012</v>
      </c>
      <c r="K5" s="54">
        <f>IFERROR(J5*Savings!$C$9*Savings!$C$17/$J$53,"")</f>
        <v>-4157345.7144614356</v>
      </c>
      <c r="L5" s="90">
        <f t="shared" si="2"/>
        <v>-10500079.046414021</v>
      </c>
      <c r="M5" s="72">
        <f t="shared" si="3"/>
        <v>-5.1346695965939432E-3</v>
      </c>
    </row>
    <row r="6" spans="1:14" ht="15.75" customHeight="1" x14ac:dyDescent="0.2">
      <c r="A6" s="23">
        <v>210003</v>
      </c>
      <c r="B6" s="23" t="s">
        <v>171</v>
      </c>
      <c r="C6" s="20">
        <f>IFERROR(VLOOKUP(A6,[3]Sheet1!$B$5:$R$58,15,0),"")</f>
        <v>372141533.13710356</v>
      </c>
      <c r="D6" s="73">
        <f>IFERROR(VLOOKUP($A6,'PAU Performance'!$A:$F,6,FALSE),"")</f>
        <v>17.937028174203412</v>
      </c>
      <c r="E6" s="52">
        <f>IFERROR(D6/$D$53*Savings!$C$8*Savings!$C$16,"")</f>
        <v>-3.2214326824522637E-3</v>
      </c>
      <c r="F6" s="90">
        <f t="shared" si="0"/>
        <v>-1198828.8973457576</v>
      </c>
      <c r="G6" s="54">
        <f>IFERROR(F6*Savings!$C$9*Savings!$C$16/$F$53,"")</f>
        <v>-847190.58653472853</v>
      </c>
      <c r="H6" s="21">
        <f>IFERROR(VLOOKUP(A6,'PAU Performance'!A:C,3,FALSE),"")</f>
        <v>5.3868600000000003E-2</v>
      </c>
      <c r="I6" s="22">
        <f>H6/$H$53*Savings!$C$8*Savings!$C$17</f>
        <v>-2.9056779446196787E-3</v>
      </c>
      <c r="J6" s="90">
        <f t="shared" si="1"/>
        <v>-1081323.4451134352</v>
      </c>
      <c r="K6" s="54">
        <f>IFERROR(J6*Savings!$C$9*Savings!$C$17/$J$53,"")</f>
        <v>-1091083.2955809811</v>
      </c>
      <c r="L6" s="90">
        <f t="shared" si="2"/>
        <v>-1938273.8821157096</v>
      </c>
      <c r="M6" s="72">
        <f t="shared" si="3"/>
        <v>-5.208432033308185E-3</v>
      </c>
    </row>
    <row r="7" spans="1:14" ht="15.75" customHeight="1" x14ac:dyDescent="0.2">
      <c r="A7" s="23">
        <v>210004</v>
      </c>
      <c r="B7" s="23" t="s">
        <v>68</v>
      </c>
      <c r="C7" s="20">
        <f>IFERROR(VLOOKUP(A7,[3]Sheet1!$B$5:$R$58,15,0),"")</f>
        <v>561435584.0318073</v>
      </c>
      <c r="D7" s="73">
        <f>IFERROR(VLOOKUP($A7,'PAU Performance'!$A:$F,6,FALSE),"")</f>
        <v>7.8195153308735525</v>
      </c>
      <c r="E7" s="52">
        <f>IFERROR(D7/$D$53*Savings!$C$8*Savings!$C$16,"")</f>
        <v>-1.4043598528791007E-3</v>
      </c>
      <c r="F7" s="90">
        <f t="shared" si="0"/>
        <v>-788457.59419200092</v>
      </c>
      <c r="G7" s="54">
        <f>IFERROR(F7*Savings!$C$9*Savings!$C$16/$F$53,"")</f>
        <v>-557188.64732089452</v>
      </c>
      <c r="H7" s="21">
        <f>IFERROR(VLOOKUP(A7,'PAU Performance'!A:C,3,FALSE),"")</f>
        <v>5.6595899999999998E-2</v>
      </c>
      <c r="I7" s="22">
        <f>H7/$H$53*Savings!$C$8*Savings!$C$17</f>
        <v>-3.0527887932097894E-3</v>
      </c>
      <c r="J7" s="90">
        <f t="shared" si="1"/>
        <v>-1713944.2590414942</v>
      </c>
      <c r="K7" s="54">
        <f>IFERROR(J7*Savings!$C$9*Savings!$C$17/$J$53,"")</f>
        <v>-1729414.0426234079</v>
      </c>
      <c r="L7" s="90">
        <f t="shared" si="2"/>
        <v>-2286602.6899443027</v>
      </c>
      <c r="M7" s="72">
        <f t="shared" si="3"/>
        <v>-4.0727783471144544E-3</v>
      </c>
    </row>
    <row r="8" spans="1:14" ht="15.75" customHeight="1" x14ac:dyDescent="0.2">
      <c r="A8" s="23">
        <v>210005</v>
      </c>
      <c r="B8" s="23" t="s">
        <v>69</v>
      </c>
      <c r="C8" s="20">
        <f>IFERROR(VLOOKUP(A8,[3]Sheet1!$B$5:$R$58,15,0),"")</f>
        <v>400457265.1480509</v>
      </c>
      <c r="D8" s="73">
        <f>IFERROR(VLOOKUP($A8,'PAU Performance'!$A:$F,6,FALSE),"")</f>
        <v>8.4576578549929504</v>
      </c>
      <c r="E8" s="52">
        <f>IFERROR(D8/$D$53*Savings!$C$8*Savings!$C$16,"")</f>
        <v>-1.5189682017814744E-3</v>
      </c>
      <c r="F8" s="90">
        <f t="shared" si="0"/>
        <v>-608281.85193226195</v>
      </c>
      <c r="G8" s="54">
        <f>IFERROR(F8*Savings!$C$9*Savings!$C$16/$F$53,"")</f>
        <v>-429861.7259376056</v>
      </c>
      <c r="H8" s="21">
        <f>IFERROR(VLOOKUP(A8,'PAU Performance'!A:C,3,FALSE),"")</f>
        <v>6.6699300000000003E-2</v>
      </c>
      <c r="I8" s="22">
        <f>H8/$H$53*Savings!$C$8*Savings!$C$17</f>
        <v>-3.5977672508951653E-3</v>
      </c>
      <c r="J8" s="90">
        <f t="shared" si="1"/>
        <v>-1440752.0339326994</v>
      </c>
      <c r="K8" s="54">
        <f>IFERROR(J8*Savings!$C$9*Savings!$C$17/$J$53,"")</f>
        <v>-1453756.0286907349</v>
      </c>
      <c r="L8" s="90">
        <f t="shared" si="2"/>
        <v>-1883617.7546283405</v>
      </c>
      <c r="M8" s="72">
        <f t="shared" si="3"/>
        <v>-4.7036673287272198E-3</v>
      </c>
    </row>
    <row r="9" spans="1:14" ht="15.75" customHeight="1" x14ac:dyDescent="0.2">
      <c r="A9" s="23">
        <v>210006</v>
      </c>
      <c r="B9" s="23" t="s">
        <v>70</v>
      </c>
      <c r="C9" s="20">
        <f>IFERROR(VLOOKUP(A9,[3]Sheet1!$B$5:$R$58,15,0),"")</f>
        <v>115840858.93692619</v>
      </c>
      <c r="D9" s="73">
        <f>IFERROR(VLOOKUP($A9,'PAU Performance'!$A:$F,6,FALSE),"")</f>
        <v>14.310858818951413</v>
      </c>
      <c r="E9" s="52">
        <f>IFERROR(D9/$D$53*Savings!$C$8*Savings!$C$16,"")</f>
        <v>-2.5701843062069935E-3</v>
      </c>
      <c r="F9" s="90">
        <f t="shared" si="0"/>
        <v>-297732.3576572258</v>
      </c>
      <c r="G9" s="54">
        <f>IFERROR(F9*Savings!$C$9*Savings!$C$16/$F$53,"")</f>
        <v>-210402.0442553985</v>
      </c>
      <c r="H9" s="21">
        <f>IFERROR(VLOOKUP(A9,'PAU Performance'!A:C,3,FALSE),"")</f>
        <v>9.2316599999999999E-2</v>
      </c>
      <c r="I9" s="22">
        <f>H9/$H$53*Savings!$C$8*Savings!$C$17</f>
        <v>-4.9795671048120244E-3</v>
      </c>
      <c r="J9" s="90">
        <f t="shared" si="1"/>
        <v>-576837.33055548766</v>
      </c>
      <c r="K9" s="54">
        <f>IFERROR(J9*Savings!$C$9*Savings!$C$17/$J$53,"")</f>
        <v>-582043.77097418159</v>
      </c>
      <c r="L9" s="90">
        <f t="shared" si="2"/>
        <v>-792445.81522958004</v>
      </c>
      <c r="M9" s="72">
        <f t="shared" si="3"/>
        <v>-6.8408143940045909E-3</v>
      </c>
    </row>
    <row r="10" spans="1:14" ht="15.75" customHeight="1" x14ac:dyDescent="0.2">
      <c r="A10" s="23">
        <v>210008</v>
      </c>
      <c r="B10" s="23" t="s">
        <v>71</v>
      </c>
      <c r="C10" s="20">
        <f>IFERROR(VLOOKUP(A10,[3]Sheet1!$B$5:$R$58,15,0),"")</f>
        <v>637769811.37311566</v>
      </c>
      <c r="D10" s="73">
        <f>IFERROR(VLOOKUP($A10,'PAU Performance'!$A:$F,6,FALSE),"")</f>
        <v>23.811720868026946</v>
      </c>
      <c r="E10" s="52">
        <f>IFERROR(D10/$D$53*Savings!$C$8*Savings!$C$16,"")</f>
        <v>-4.276508632573367E-3</v>
      </c>
      <c r="F10" s="90">
        <f t="shared" si="0"/>
        <v>-2727428.1039318172</v>
      </c>
      <c r="G10" s="54">
        <f>IFERROR(F10*Savings!$C$9*Savings!$C$16/$F$53,"")</f>
        <v>-1927423.8552450219</v>
      </c>
      <c r="H10" s="21">
        <f>IFERROR(VLOOKUP(A10,'PAU Performance'!A:C,3,FALSE),"")</f>
        <v>2.7523499999999999E-2</v>
      </c>
      <c r="I10" s="22">
        <f>H10/$H$53*Savings!$C$8*Savings!$C$17</f>
        <v>-1.4846204822241476E-3</v>
      </c>
      <c r="J10" s="90">
        <f t="shared" si="1"/>
        <v>-946846.12490875868</v>
      </c>
      <c r="K10" s="54">
        <f>IFERROR(J10*Savings!$C$9*Savings!$C$17/$J$53,"")</f>
        <v>-955392.20484131342</v>
      </c>
      <c r="L10" s="90">
        <f t="shared" si="2"/>
        <v>-2882816.0600863351</v>
      </c>
      <c r="M10" s="72">
        <f t="shared" si="3"/>
        <v>-4.5201513283917348E-3</v>
      </c>
    </row>
    <row r="11" spans="1:14" ht="15.75" customHeight="1" x14ac:dyDescent="0.2">
      <c r="A11" s="23">
        <v>210009</v>
      </c>
      <c r="B11" s="23" t="s">
        <v>72</v>
      </c>
      <c r="C11" s="20">
        <f>IFERROR(VLOOKUP(A11,[3]Sheet1!$B$5:$R$58,15,0),"")</f>
        <v>2825644173.4415298</v>
      </c>
      <c r="D11" s="73">
        <f>IFERROR(VLOOKUP($A11,'PAU Performance'!$A:$F,6,FALSE),"")</f>
        <v>26.98725080299695</v>
      </c>
      <c r="E11" s="52">
        <f>IFERROR(D11/$D$53*Savings!$C$8*Savings!$C$16,"")</f>
        <v>-4.8468236154828584E-3</v>
      </c>
      <c r="F11" s="90">
        <f t="shared" si="0"/>
        <v>-13695398.908787949</v>
      </c>
      <c r="G11" s="54">
        <f>IFERROR(F11*Savings!$C$9*Savings!$C$16/$F$53,"")</f>
        <v>-9678289.4206601717</v>
      </c>
      <c r="H11" s="21">
        <f>IFERROR(VLOOKUP(A11,'PAU Performance'!A:C,3,FALSE),"")</f>
        <v>4.4941599999999998E-2</v>
      </c>
      <c r="I11" s="22">
        <f>H11/$H$53*Savings!$C$8*Savings!$C$17</f>
        <v>-2.4241546265527545E-3</v>
      </c>
      <c r="J11" s="90">
        <f t="shared" si="1"/>
        <v>-6849798.3960401183</v>
      </c>
      <c r="K11" s="54">
        <f>IFERROR(J11*Savings!$C$9*Savings!$C$17/$J$53,"")</f>
        <v>-6911623.5681292843</v>
      </c>
      <c r="L11" s="90">
        <f t="shared" si="2"/>
        <v>-16589912.988789456</v>
      </c>
      <c r="M11" s="72">
        <f t="shared" si="3"/>
        <v>-5.8711967857522406E-3</v>
      </c>
    </row>
    <row r="12" spans="1:14" ht="15.75" customHeight="1" x14ac:dyDescent="0.2">
      <c r="A12" s="23">
        <v>210010</v>
      </c>
      <c r="B12" s="23" t="s">
        <v>73</v>
      </c>
      <c r="C12" s="20">
        <f>IFERROR(VLOOKUP(A12,[3]Sheet1!$B$5:$R$58,15,0),"")</f>
        <v>17454651.020907674</v>
      </c>
      <c r="D12" s="73">
        <f>IFERROR(VLOOKUP($A12,'PAU Performance'!$A:$F,6,FALSE),"")</f>
        <v>0</v>
      </c>
      <c r="E12" s="52">
        <f>IFERROR(D12/$D$53*Savings!$C$8*Savings!$C$16,"")</f>
        <v>0</v>
      </c>
      <c r="F12" s="90">
        <f t="shared" si="0"/>
        <v>0</v>
      </c>
      <c r="G12" s="54">
        <f>IFERROR(F12*Savings!$C$9*Savings!$C$16/$F$53,"")</f>
        <v>0</v>
      </c>
      <c r="H12" s="21">
        <f>IFERROR(VLOOKUP(A12,'PAU Performance'!A:C,3,FALSE),"")</f>
        <v>0</v>
      </c>
      <c r="I12" s="22">
        <v>0</v>
      </c>
      <c r="J12" s="90">
        <f t="shared" si="1"/>
        <v>0</v>
      </c>
      <c r="K12" s="54">
        <f>IFERROR(J12*Savings!$C$9*Savings!$C$17/$J$53,"")</f>
        <v>0</v>
      </c>
      <c r="L12" s="90">
        <f t="shared" si="2"/>
        <v>0</v>
      </c>
      <c r="M12" s="72"/>
    </row>
    <row r="13" spans="1:14" ht="15.75" customHeight="1" x14ac:dyDescent="0.2">
      <c r="A13" s="23">
        <v>210011</v>
      </c>
      <c r="B13" s="23" t="s">
        <v>74</v>
      </c>
      <c r="C13" s="20">
        <f>IFERROR(VLOOKUP(A13,[3]Sheet1!$B$5:$R$58,15,0),"")</f>
        <v>477836480.38597089</v>
      </c>
      <c r="D13" s="73">
        <f>IFERROR(VLOOKUP($A13,'PAU Performance'!$A:$F,6,FALSE),"")</f>
        <v>12.681135436105819</v>
      </c>
      <c r="E13" s="52">
        <f>IFERROR(D13/$D$53*Savings!$C$8*Savings!$C$16,"")</f>
        <v>-2.2774912180394706E-3</v>
      </c>
      <c r="F13" s="90">
        <f t="shared" si="0"/>
        <v>-1088268.3877379384</v>
      </c>
      <c r="G13" s="54">
        <f>IFERROR(F13*Savings!$C$9*Savings!$C$16/$F$53,"")</f>
        <v>-769059.48443199659</v>
      </c>
      <c r="H13" s="21">
        <f>IFERROR(VLOOKUP(A13,'PAU Performance'!A:C,3,FALSE),"")</f>
        <v>6.30188E-2</v>
      </c>
      <c r="I13" s="22">
        <f>H13/$H$53*Savings!$C$8*Savings!$C$17</f>
        <v>-3.3992406941409014E-3</v>
      </c>
      <c r="J13" s="90">
        <f t="shared" si="1"/>
        <v>-1624281.2092730529</v>
      </c>
      <c r="K13" s="54">
        <f>IFERROR(J13*Savings!$C$9*Savings!$C$17/$J$53,"")</f>
        <v>-1638941.7086744017</v>
      </c>
      <c r="L13" s="90">
        <f t="shared" si="2"/>
        <v>-2408001.1931063985</v>
      </c>
      <c r="M13" s="72">
        <f>L13/C13</f>
        <v>-5.0393833287097362E-3</v>
      </c>
    </row>
    <row r="14" spans="1:14" ht="15.75" customHeight="1" x14ac:dyDescent="0.2">
      <c r="A14" s="23">
        <v>210012</v>
      </c>
      <c r="B14" s="23" t="s">
        <v>75</v>
      </c>
      <c r="C14" s="20">
        <f>IFERROR(VLOOKUP(A14,[3]Sheet1!$B$5:$R$58,15,0),"")</f>
        <v>922531290.94492531</v>
      </c>
      <c r="D14" s="73">
        <f>IFERROR(VLOOKUP($A14,'PAU Performance'!$A:$F,6,FALSE),"")</f>
        <v>14.988517444260975</v>
      </c>
      <c r="E14" s="52">
        <f>IFERROR(D14/$D$53*Savings!$C$8*Savings!$C$16,"")</f>
        <v>-2.6918896200369326E-3</v>
      </c>
      <c r="F14" s="90">
        <f t="shared" si="0"/>
        <v>-2483352.4062539157</v>
      </c>
      <c r="G14" s="54">
        <f>IFERROR(F14*Savings!$C$9*Savings!$C$16/$F$53,"")</f>
        <v>-1754939.9970960999</v>
      </c>
      <c r="H14" s="21">
        <f>IFERROR(VLOOKUP(A14,'PAU Performance'!A:C,3,FALSE),"")</f>
        <v>5.1450200000000001E-2</v>
      </c>
      <c r="I14" s="22">
        <f>H14/$H$53*Savings!$C$8*Savings!$C$17</f>
        <v>-2.7752291944893939E-3</v>
      </c>
      <c r="J14" s="90">
        <f t="shared" si="1"/>
        <v>-2560235.7714603459</v>
      </c>
      <c r="K14" s="54">
        <f>IFERROR(J14*Savings!$C$9*Savings!$C$17/$J$53,"")</f>
        <v>-2583344.0453112787</v>
      </c>
      <c r="L14" s="90">
        <f t="shared" si="2"/>
        <v>-4338284.0424073786</v>
      </c>
      <c r="M14" s="72">
        <f>L14/C14</f>
        <v>-4.7025874189739244E-3</v>
      </c>
    </row>
    <row r="15" spans="1:14" ht="15.75" customHeight="1" x14ac:dyDescent="0.2">
      <c r="A15" s="23">
        <v>210013</v>
      </c>
      <c r="B15" s="23" t="s">
        <v>76</v>
      </c>
      <c r="C15" s="20">
        <f>IFERROR(VLOOKUP(A15,[3]Sheet1!$B$5:$R$58,15,0),"")</f>
        <v>32639338.835503571</v>
      </c>
      <c r="D15" s="73">
        <f>IFERROR(VLOOKUP($A15,'PAU Performance'!$A:$F,6,FALSE),"")</f>
        <v>0</v>
      </c>
      <c r="E15" s="52">
        <f>IFERROR(D15/$D$53*Savings!$C$8*Savings!$C$16,"")</f>
        <v>0</v>
      </c>
      <c r="F15" s="90">
        <f t="shared" si="0"/>
        <v>0</v>
      </c>
      <c r="G15" s="54">
        <f>IFERROR(F15*Savings!$C$9*Savings!$C$16/$F$53,"")</f>
        <v>0</v>
      </c>
      <c r="H15" s="21">
        <f>IFERROR(VLOOKUP(A15,'PAU Performance'!A:C,3,FALSE),"")</f>
        <v>0</v>
      </c>
      <c r="I15" s="22"/>
      <c r="J15" s="90">
        <f t="shared" si="1"/>
        <v>0</v>
      </c>
      <c r="K15" s="54">
        <f>IFERROR(J15*Savings!$C$9*Savings!$C$17/$J$53,"")</f>
        <v>0</v>
      </c>
      <c r="L15" s="90">
        <f t="shared" si="2"/>
        <v>0</v>
      </c>
      <c r="M15" s="72"/>
    </row>
    <row r="16" spans="1:14" ht="15.75" customHeight="1" x14ac:dyDescent="0.2">
      <c r="A16" s="23">
        <v>210015</v>
      </c>
      <c r="B16" s="23" t="s">
        <v>77</v>
      </c>
      <c r="C16" s="20">
        <f>IFERROR(VLOOKUP(A16,[3]Sheet1!$B$5:$R$58,15,0),"")</f>
        <v>620302546.61705399</v>
      </c>
      <c r="D16" s="73">
        <f>IFERROR(VLOOKUP($A16,'PAU Performance'!$A:$F,6,FALSE),"")</f>
        <v>18.529649927235617</v>
      </c>
      <c r="E16" s="52">
        <f>IFERROR(D16/$D$53*Savings!$C$8*Savings!$C$16,"")</f>
        <v>-3.3278656469884799E-3</v>
      </c>
      <c r="F16" s="90">
        <f t="shared" si="0"/>
        <v>-2064283.5356263642</v>
      </c>
      <c r="G16" s="54">
        <f>IFERROR(F16*Savings!$C$9*Savings!$C$16/$F$53,"")</f>
        <v>-1458791.6450740129</v>
      </c>
      <c r="H16" s="21">
        <f>IFERROR(VLOOKUP(A16,'PAU Performance'!A:C,3,FALSE),"")</f>
        <v>6.5347600000000006E-2</v>
      </c>
      <c r="I16" s="22">
        <f>H16/$H$53*Savings!$C$8*Savings!$C$17</f>
        <v>-3.5248564108558396E-3</v>
      </c>
      <c r="J16" s="90">
        <f t="shared" si="1"/>
        <v>-2186477.4081133259</v>
      </c>
      <c r="K16" s="54">
        <f>IFERROR(J16*Savings!$C$9*Savings!$C$17/$J$53,"")</f>
        <v>-2206212.1994473054</v>
      </c>
      <c r="L16" s="90">
        <f t="shared" si="2"/>
        <v>-3665003.8445213186</v>
      </c>
      <c r="M16" s="72">
        <f t="shared" ref="M16:M51" si="4">L16/C16</f>
        <v>-5.9084133452444489E-3</v>
      </c>
    </row>
    <row r="17" spans="1:13" ht="15.75" customHeight="1" x14ac:dyDescent="0.2">
      <c r="A17" s="23">
        <v>210016</v>
      </c>
      <c r="B17" s="23" t="s">
        <v>78</v>
      </c>
      <c r="C17" s="20">
        <f>IFERROR(VLOOKUP(A17,[3]Sheet1!$B$5:$R$58,15,0),"")</f>
        <v>341578603.1094932</v>
      </c>
      <c r="D17" s="73">
        <f>IFERROR(VLOOKUP($A17,'PAU Performance'!$A:$F,6,FALSE),"")</f>
        <v>11.126322174638252</v>
      </c>
      <c r="E17" s="52">
        <f>IFERROR(D17/$D$53*Savings!$C$8*Savings!$C$16,"")</f>
        <v>-1.9982517472108947E-3</v>
      </c>
      <c r="F17" s="90">
        <f t="shared" si="0"/>
        <v>-682560.04047340155</v>
      </c>
      <c r="G17" s="54">
        <f>IFERROR(F17*Savings!$C$9*Savings!$C$16/$F$53,"")</f>
        <v>-482352.77137055196</v>
      </c>
      <c r="H17" s="21">
        <f>IFERROR(VLOOKUP(A17,'PAU Performance'!A:C,3,FALSE),"")</f>
        <v>5.5621299999999999E-2</v>
      </c>
      <c r="I17" s="22">
        <f>H17/$H$53*Savings!$C$8*Savings!$C$17</f>
        <v>-3.0002187667968823E-3</v>
      </c>
      <c r="J17" s="90">
        <f t="shared" si="1"/>
        <v>-1024810.5353853654</v>
      </c>
      <c r="K17" s="54">
        <f>IFERROR(J17*Savings!$C$9*Savings!$C$17/$J$53,"")</f>
        <v>-1034060.3094729675</v>
      </c>
      <c r="L17" s="90">
        <f t="shared" si="2"/>
        <v>-1516413.0808435194</v>
      </c>
      <c r="M17" s="72">
        <f t="shared" si="4"/>
        <v>-4.4394264366653911E-3</v>
      </c>
    </row>
    <row r="18" spans="1:13" ht="15.75" customHeight="1" x14ac:dyDescent="0.2">
      <c r="A18" s="23">
        <v>210017</v>
      </c>
      <c r="B18" s="23" t="s">
        <v>79</v>
      </c>
      <c r="C18" s="20">
        <f>IFERROR(VLOOKUP(A18,[3]Sheet1!$B$5:$R$58,15,0),"")</f>
        <v>76992013.16301389</v>
      </c>
      <c r="D18" s="73">
        <f>IFERROR(VLOOKUP($A18,'PAU Performance'!$A:$F,6,FALSE),"")</f>
        <v>9.7876704982902556</v>
      </c>
      <c r="E18" s="52">
        <f>IFERROR(D18/$D$53*Savings!$C$8*Savings!$C$16,"")</f>
        <v>-1.7578342031938259E-3</v>
      </c>
      <c r="F18" s="90">
        <f t="shared" si="0"/>
        <v>-135339.19411069507</v>
      </c>
      <c r="G18" s="54">
        <f>IFERROR(F18*Savings!$C$9*Savings!$C$16/$F$53,"")</f>
        <v>-95641.747953885351</v>
      </c>
      <c r="H18" s="21">
        <f>IFERROR(VLOOKUP(A18,'PAU Performance'!A:C,3,FALSE),"")</f>
        <v>1.8453500000000001E-2</v>
      </c>
      <c r="I18" s="22">
        <f>H18/$H$53*Savings!$C$8*Savings!$C$17</f>
        <v>-9.9538372913049976E-4</v>
      </c>
      <c r="J18" s="90">
        <f t="shared" si="1"/>
        <v>-76636.597175465286</v>
      </c>
      <c r="K18" s="54">
        <f>IFERROR(J18*Savings!$C$9*Savings!$C$17/$J$53,"")</f>
        <v>-77328.30670248442</v>
      </c>
      <c r="L18" s="90">
        <f t="shared" si="2"/>
        <v>-172970.05465636979</v>
      </c>
      <c r="M18" s="72">
        <f t="shared" si="4"/>
        <v>-2.2465973748490406E-3</v>
      </c>
    </row>
    <row r="19" spans="1:13" ht="15.75" customHeight="1" x14ac:dyDescent="0.2">
      <c r="A19" s="23">
        <v>210018</v>
      </c>
      <c r="B19" s="23" t="s">
        <v>80</v>
      </c>
      <c r="C19" s="20">
        <f>IFERROR(VLOOKUP(A19,[3]Sheet1!$B$5:$R$58,15,0),"")</f>
        <v>202663894.9411726</v>
      </c>
      <c r="D19" s="73">
        <f>IFERROR(VLOOKUP($A19,'PAU Performance'!$A:$F,6,FALSE),"")</f>
        <v>6.7162003680383302</v>
      </c>
      <c r="E19" s="52">
        <f>IFERROR(D19/$D$53*Savings!$C$8*Savings!$C$16,"")</f>
        <v>-1.2062080271810385E-3</v>
      </c>
      <c r="F19" s="90">
        <f t="shared" si="0"/>
        <v>-244454.81689781704</v>
      </c>
      <c r="G19" s="54">
        <f>IFERROR(F19*Savings!$C$9*Savings!$C$16/$F$53,"")</f>
        <v>-172751.77480908777</v>
      </c>
      <c r="H19" s="21">
        <f>IFERROR(VLOOKUP(A19,'PAU Performance'!A:C,3,FALSE),"")</f>
        <v>5.85969E-2</v>
      </c>
      <c r="I19" s="22">
        <f>H19/$H$53*Savings!$C$8*Savings!$C$17</f>
        <v>-3.160722943478851E-3</v>
      </c>
      <c r="J19" s="90">
        <f t="shared" si="1"/>
        <v>-640564.42255535163</v>
      </c>
      <c r="K19" s="54">
        <f>IFERROR(J19*Savings!$C$9*Savings!$C$17/$J$53,"")</f>
        <v>-646346.05339598726</v>
      </c>
      <c r="L19" s="90">
        <f t="shared" si="2"/>
        <v>-819097.828205075</v>
      </c>
      <c r="M19" s="72">
        <f t="shared" si="4"/>
        <v>-4.0416564008247998E-3</v>
      </c>
    </row>
    <row r="20" spans="1:13" ht="15.75" customHeight="1" x14ac:dyDescent="0.2">
      <c r="A20" s="23">
        <v>210019</v>
      </c>
      <c r="B20" s="23" t="s">
        <v>61</v>
      </c>
      <c r="C20" s="20">
        <f>IFERROR(VLOOKUP(A20,[3]Sheet1!$B$5:$R$58,15,0),"")</f>
        <v>535162304.0418486</v>
      </c>
      <c r="D20" s="73">
        <f>IFERROR(VLOOKUP($A20,'PAU Performance'!$A:$F,6,FALSE),"")</f>
        <v>8.641033688926667</v>
      </c>
      <c r="E20" s="52">
        <f>IFERROR(D20/$D$53*Savings!$C$8*Savings!$C$16,"")</f>
        <v>-1.5519019129218512E-3</v>
      </c>
      <c r="F20" s="90">
        <f t="shared" si="0"/>
        <v>-830519.40336621017</v>
      </c>
      <c r="G20" s="54">
        <f>IFERROR(F20*Savings!$C$9*Savings!$C$16/$F$53,"")</f>
        <v>-586912.96316271799</v>
      </c>
      <c r="H20" s="21">
        <f>IFERROR(VLOOKUP(A20,'PAU Performance'!A:C,3,FALSE),"")</f>
        <v>5.80928E-2</v>
      </c>
      <c r="I20" s="22">
        <f>H20/$H$53*Savings!$C$8*Savings!$C$17</f>
        <v>-3.1335317365070196E-3</v>
      </c>
      <c r="J20" s="90">
        <f t="shared" si="1"/>
        <v>-1676948.0638973515</v>
      </c>
      <c r="K20" s="54">
        <f>IFERROR(J20*Savings!$C$9*Savings!$C$17/$J$53,"")</f>
        <v>-1692083.9258075333</v>
      </c>
      <c r="L20" s="90">
        <f t="shared" si="2"/>
        <v>-2278996.8889702512</v>
      </c>
      <c r="M20" s="72">
        <f t="shared" si="4"/>
        <v>-4.2585153546092032E-3</v>
      </c>
    </row>
    <row r="21" spans="1:13" ht="15.75" customHeight="1" x14ac:dyDescent="0.2">
      <c r="A21" s="23">
        <v>210022</v>
      </c>
      <c r="B21" s="23" t="s">
        <v>81</v>
      </c>
      <c r="C21" s="20">
        <f>IFERROR(VLOOKUP(A21,[3]Sheet1!$B$5:$R$58,15,0),"")</f>
        <v>395048811.69120657</v>
      </c>
      <c r="D21" s="73">
        <f>IFERROR(VLOOKUP($A21,'PAU Performance'!$A:$F,6,FALSE),"")</f>
        <v>5.0392411284579861</v>
      </c>
      <c r="E21" s="52">
        <f>IFERROR(D21/$D$53*Savings!$C$8*Savings!$C$16,"")</f>
        <v>-9.0503153077046007E-4</v>
      </c>
      <c r="F21" s="90">
        <f t="shared" si="0"/>
        <v>-357531.63077394391</v>
      </c>
      <c r="G21" s="54">
        <f>IFERROR(F21*Savings!$C$9*Savings!$C$16/$F$53,"")</f>
        <v>-252661.10339075024</v>
      </c>
      <c r="H21" s="21">
        <f>IFERROR(VLOOKUP(A21,'PAU Performance'!A:C,3,FALSE),"")</f>
        <v>5.4947900000000001E-2</v>
      </c>
      <c r="I21" s="22">
        <f>H21/$H$53*Savings!$C$8*Savings!$C$17</f>
        <v>-2.9638955000346697E-3</v>
      </c>
      <c r="J21" s="90">
        <f t="shared" si="1"/>
        <v>-1170883.3952656109</v>
      </c>
      <c r="K21" s="54">
        <f>IFERROR(J21*Savings!$C$9*Savings!$C$17/$J$53,"")</f>
        <v>-1181451.5993532657</v>
      </c>
      <c r="L21" s="90">
        <f t="shared" si="2"/>
        <v>-1434112.702744016</v>
      </c>
      <c r="M21" s="72">
        <f t="shared" si="4"/>
        <v>-3.6302164702244513E-3</v>
      </c>
    </row>
    <row r="22" spans="1:13" ht="15.75" customHeight="1" x14ac:dyDescent="0.2">
      <c r="A22" s="23">
        <v>210023</v>
      </c>
      <c r="B22" s="23" t="s">
        <v>82</v>
      </c>
      <c r="C22" s="20">
        <f>IFERROR(VLOOKUP(A22,[3]Sheet1!$B$5:$R$58,15,0),"")</f>
        <v>730204814.8364867</v>
      </c>
      <c r="D22" s="73">
        <f>IFERROR(VLOOKUP($A22,'PAU Performance'!$A:$F,6,FALSE),"")</f>
        <v>9.1986815208000028</v>
      </c>
      <c r="E22" s="52">
        <f>IFERROR(D22/$D$53*Savings!$C$8*Savings!$C$16,"")</f>
        <v>-1.6520536734837808E-3</v>
      </c>
      <c r="F22" s="90">
        <f t="shared" si="0"/>
        <v>-1206337.5467461618</v>
      </c>
      <c r="G22" s="54">
        <f>IFERROR(F22*Savings!$C$9*Savings!$C$16/$F$53,"")</f>
        <v>-852496.81255555293</v>
      </c>
      <c r="H22" s="21">
        <f>IFERROR(VLOOKUP(A22,'PAU Performance'!A:C,3,FALSE),"")</f>
        <v>4.9646900000000001E-2</v>
      </c>
      <c r="I22" s="22">
        <f>H22/$H$53*Savings!$C$8*Savings!$C$17</f>
        <v>-2.6779590029950414E-3</v>
      </c>
      <c r="J22" s="90">
        <f t="shared" si="1"/>
        <v>-1955458.5579216967</v>
      </c>
      <c r="K22" s="54">
        <f>IFERROR(J22*Savings!$C$9*Savings!$C$17/$J$53,"")</f>
        <v>-1973108.2104905422</v>
      </c>
      <c r="L22" s="90">
        <f t="shared" si="2"/>
        <v>-2825605.0230460949</v>
      </c>
      <c r="M22" s="72">
        <f t="shared" si="4"/>
        <v>-3.8696061236994542E-3</v>
      </c>
    </row>
    <row r="23" spans="1:13" ht="15.75" customHeight="1" x14ac:dyDescent="0.2">
      <c r="A23" s="23">
        <v>210024</v>
      </c>
      <c r="B23" s="23" t="s">
        <v>83</v>
      </c>
      <c r="C23" s="20">
        <f>IFERROR(VLOOKUP(A23,[3]Sheet1!$B$5:$R$58,15,0),"")</f>
        <v>478377594.77993202</v>
      </c>
      <c r="D23" s="73">
        <f>IFERROR(VLOOKUP($A23,'PAU Performance'!$A:$F,6,FALSE),"")</f>
        <v>20.044808305207841</v>
      </c>
      <c r="E23" s="52">
        <f>IFERROR(D23/$D$53*Savings!$C$8*Savings!$C$16,"")</f>
        <v>-3.5999832280329686E-3</v>
      </c>
      <c r="F23" s="90">
        <f t="shared" si="0"/>
        <v>-1722151.317874507</v>
      </c>
      <c r="G23" s="54">
        <f>IFERROR(F23*Savings!$C$9*Savings!$C$16/$F$53,"")</f>
        <v>-1217013.0268980896</v>
      </c>
      <c r="H23" s="21">
        <f>IFERROR(VLOOKUP(A23,'PAU Performance'!A:C,3,FALSE),"")</f>
        <v>5.52763E-2</v>
      </c>
      <c r="I23" s="22">
        <f>H23/$H$53*Savings!$C$8*Savings!$C$17</f>
        <v>-2.9816094305435952E-3</v>
      </c>
      <c r="J23" s="90">
        <f t="shared" si="1"/>
        <v>-1426335.1479566079</v>
      </c>
      <c r="K23" s="54">
        <f>IFERROR(J23*Savings!$C$9*Savings!$C$17/$J$53,"")</f>
        <v>-1439209.0182343409</v>
      </c>
      <c r="L23" s="90">
        <f t="shared" si="2"/>
        <v>-2656222.0451324303</v>
      </c>
      <c r="M23" s="72">
        <f t="shared" si="4"/>
        <v>-5.5525636528909175E-3</v>
      </c>
    </row>
    <row r="24" spans="1:13" ht="15.75" customHeight="1" x14ac:dyDescent="0.2">
      <c r="A24" s="23">
        <v>210027</v>
      </c>
      <c r="B24" s="23" t="s">
        <v>84</v>
      </c>
      <c r="C24" s="20">
        <f>IFERROR(VLOOKUP(A24,[3]Sheet1!$B$5:$R$58,15,0),"")</f>
        <v>366860862.72486395</v>
      </c>
      <c r="D24" s="73">
        <f>IFERROR(VLOOKUP($A24,'PAU Performance'!$A:$F,6,FALSE),"")</f>
        <v>13.800050902614984</v>
      </c>
      <c r="E24" s="52">
        <f>IFERROR(D24/$D$53*Savings!$C$8*Savings!$C$16,"")</f>
        <v>-2.4784448441199525E-3</v>
      </c>
      <c r="F24" s="90">
        <f t="shared" si="0"/>
        <v>-909244.4137298367</v>
      </c>
      <c r="G24" s="54">
        <f>IFERROR(F24*Savings!$C$9*Savings!$C$16/$F$53,"")</f>
        <v>-642546.49673250271</v>
      </c>
      <c r="H24" s="21">
        <f>IFERROR(VLOOKUP(A24,'PAU Performance'!A:C,3,FALSE),"")</f>
        <v>5.0596700000000001E-2</v>
      </c>
      <c r="I24" s="22">
        <f>H24/$H$53*Savings!$C$8*Savings!$C$17</f>
        <v>-2.7291913148019156E-3</v>
      </c>
      <c r="J24" s="90">
        <f t="shared" si="1"/>
        <v>-1001233.4802894365</v>
      </c>
      <c r="K24" s="54">
        <f>IFERROR(J24*Savings!$C$9*Savings!$C$17/$J$53,"")</f>
        <v>-1010270.4516922905</v>
      </c>
      <c r="L24" s="90">
        <f t="shared" si="2"/>
        <v>-1652816.9484247933</v>
      </c>
      <c r="M24" s="72">
        <f t="shared" si="4"/>
        <v>-4.5052964662092142E-3</v>
      </c>
    </row>
    <row r="25" spans="1:13" ht="15.75" customHeight="1" x14ac:dyDescent="0.2">
      <c r="A25" s="23">
        <v>210028</v>
      </c>
      <c r="B25" s="23" t="s">
        <v>85</v>
      </c>
      <c r="C25" s="20">
        <f>IFERROR(VLOOKUP(A25,[3]Sheet1!$B$5:$R$58,15,0),"")</f>
        <v>212649862.79057142</v>
      </c>
      <c r="D25" s="73">
        <f>IFERROR(VLOOKUP($A25,'PAU Performance'!$A:$F,6,FALSE),"")</f>
        <v>12.885234849840522</v>
      </c>
      <c r="E25" s="52">
        <f>IFERROR(D25/$D$53*Savings!$C$8*Savings!$C$16,"")</f>
        <v>-2.3141468175896739E-3</v>
      </c>
      <c r="F25" s="90">
        <f t="shared" si="0"/>
        <v>-492103.0032376817</v>
      </c>
      <c r="G25" s="54">
        <f>IFERROR(F25*Savings!$C$9*Savings!$C$16/$F$53,"")</f>
        <v>-347760.24574605521</v>
      </c>
      <c r="H25" s="21">
        <f>IFERROR(VLOOKUP(A25,'PAU Performance'!A:C,3,FALSE),"")</f>
        <v>4.8371699999999997E-2</v>
      </c>
      <c r="I25" s="22">
        <f>H25/$H$53*Savings!$C$8*Savings!$C$17</f>
        <v>-2.6091745809944879E-3</v>
      </c>
      <c r="J25" s="90">
        <f t="shared" si="1"/>
        <v>-554840.61664512451</v>
      </c>
      <c r="K25" s="54">
        <f>IFERROR(J25*Savings!$C$9*Savings!$C$17/$J$53,"")</f>
        <v>-559848.51828292676</v>
      </c>
      <c r="L25" s="90">
        <f t="shared" si="2"/>
        <v>-907608.76402898203</v>
      </c>
      <c r="M25" s="72">
        <f t="shared" si="4"/>
        <v>-4.268090052439122E-3</v>
      </c>
    </row>
    <row r="26" spans="1:13" ht="15.75" customHeight="1" x14ac:dyDescent="0.2">
      <c r="A26" s="23">
        <v>210029</v>
      </c>
      <c r="B26" s="23" t="s">
        <v>110</v>
      </c>
      <c r="C26" s="20">
        <f>IFERROR(VLOOKUP(A26,[3]Sheet1!$B$5:$R$58,15,0),"")</f>
        <v>767133008.17096496</v>
      </c>
      <c r="D26" s="73">
        <f>IFERROR(VLOOKUP($A26,'PAU Performance'!$A:$F,6,FALSE),"")</f>
        <v>21.679871059018915</v>
      </c>
      <c r="E26" s="52">
        <f>IFERROR(D26/$D$53*Savings!$C$8*Savings!$C$16,"")</f>
        <v>-3.8936352500865776E-3</v>
      </c>
      <c r="F26" s="90">
        <f t="shared" si="0"/>
        <v>-2986936.1221194239</v>
      </c>
      <c r="G26" s="54">
        <f>IFERROR(F26*Savings!$C$9*Savings!$C$16/$F$53,"")</f>
        <v>-2110813.4537319988</v>
      </c>
      <c r="H26" s="21">
        <f>IFERROR(VLOOKUP(A26,'PAU Performance'!A:C,3,FALSE),"")</f>
        <v>4.9924000000000003E-2</v>
      </c>
      <c r="I26" s="22">
        <f>H26/$H$53*Savings!$C$8*Savings!$C$17</f>
        <v>-2.692905806113261E-3</v>
      </c>
      <c r="J26" s="90">
        <f t="shared" si="1"/>
        <v>-2065816.9317647233</v>
      </c>
      <c r="K26" s="54">
        <f>IFERROR(J26*Savings!$C$9*Savings!$C$17/$J$53,"")</f>
        <v>-2084462.66116092</v>
      </c>
      <c r="L26" s="90">
        <f t="shared" si="2"/>
        <v>-4195276.1148929186</v>
      </c>
      <c r="M26" s="72">
        <f t="shared" si="4"/>
        <v>-5.4687727815225882E-3</v>
      </c>
    </row>
    <row r="27" spans="1:13" ht="15.75" customHeight="1" x14ac:dyDescent="0.2">
      <c r="A27" s="23">
        <v>210030</v>
      </c>
      <c r="B27" s="23" t="s">
        <v>86</v>
      </c>
      <c r="C27" s="20">
        <f>IFERROR(VLOOKUP(A27,[3]Sheet1!$B$5:$R$58,15,0),"")</f>
        <v>55956345.969881617</v>
      </c>
      <c r="D27" s="73">
        <f>IFERROR(VLOOKUP($A27,'PAU Performance'!$A:$F,6,FALSE),"")</f>
        <v>5.675631387511574</v>
      </c>
      <c r="E27" s="52">
        <f>IFERROR(D27/$D$53*Savings!$C$8*Savings!$C$16,"")</f>
        <v>-1.019325178491763E-3</v>
      </c>
      <c r="F27" s="90">
        <f t="shared" si="0"/>
        <v>-57037.712343496423</v>
      </c>
      <c r="G27" s="54">
        <f>IFERROR(F27*Savings!$C$9*Savings!$C$16/$F$53,"")</f>
        <v>-40307.514343265975</v>
      </c>
      <c r="H27" s="21">
        <f>IFERROR(VLOOKUP(A27,'PAU Performance'!A:C,3,FALSE),"")</f>
        <v>2.0138E-2</v>
      </c>
      <c r="I27" s="22">
        <f>H27/$H$53*Savings!$C$8*Savings!$C$17</f>
        <v>-1.0862458361411114E-3</v>
      </c>
      <c r="J27" s="90">
        <f t="shared" si="1"/>
        <v>-60782.347815455367</v>
      </c>
      <c r="K27" s="54">
        <f>IFERROR(J27*Savings!$C$9*Savings!$C$17/$J$53,"")</f>
        <v>-61330.959452820709</v>
      </c>
      <c r="L27" s="90">
        <f t="shared" si="2"/>
        <v>-101638.47379608668</v>
      </c>
      <c r="M27" s="72">
        <f t="shared" si="4"/>
        <v>-1.8163886871882837E-3</v>
      </c>
    </row>
    <row r="28" spans="1:13" ht="15.75" customHeight="1" x14ac:dyDescent="0.2">
      <c r="A28" s="23">
        <v>210032</v>
      </c>
      <c r="B28" s="23" t="s">
        <v>87</v>
      </c>
      <c r="C28" s="20">
        <f>IFERROR(VLOOKUP(A28,[3]Sheet1!$B$5:$R$58,15,0),"")</f>
        <v>187132983.95749941</v>
      </c>
      <c r="D28" s="73">
        <f>IFERROR(VLOOKUP($A28,'PAU Performance'!$A:$F,6,FALSE),"")</f>
        <v>16.280287559957806</v>
      </c>
      <c r="E28" s="52">
        <f>IFERROR(D28/$D$53*Savings!$C$8*Savings!$C$16,"")</f>
        <v>-2.9238873862502718E-3</v>
      </c>
      <c r="F28" s="90">
        <f t="shared" si="0"/>
        <v>-547155.771344707</v>
      </c>
      <c r="G28" s="54">
        <f>IFERROR(F28*Savings!$C$9*Savings!$C$16/$F$53,"")</f>
        <v>-386665.03608453792</v>
      </c>
      <c r="H28" s="21">
        <f>IFERROR(VLOOKUP(A28,'PAU Performance'!A:C,3,FALSE),"")</f>
        <v>5.2362300000000001E-2</v>
      </c>
      <c r="I28" s="22">
        <f>H28/$H$53*Savings!$C$8*Savings!$C$17</f>
        <v>-2.8244279643346768E-3</v>
      </c>
      <c r="J28" s="90">
        <f t="shared" si="1"/>
        <v>-528543.63293895382</v>
      </c>
      <c r="K28" s="54">
        <f>IFERROR(J28*Savings!$C$9*Savings!$C$17/$J$53,"")</f>
        <v>-533314.18225643074</v>
      </c>
      <c r="L28" s="90">
        <f t="shared" si="2"/>
        <v>-919979.21834096871</v>
      </c>
      <c r="M28" s="72">
        <f t="shared" si="4"/>
        <v>-4.9161788525207781E-3</v>
      </c>
    </row>
    <row r="29" spans="1:13" ht="15.75" customHeight="1" x14ac:dyDescent="0.2">
      <c r="A29" s="23">
        <v>210033</v>
      </c>
      <c r="B29" s="23" t="s">
        <v>88</v>
      </c>
      <c r="C29" s="20">
        <f>IFERROR(VLOOKUP(A29,[3]Sheet1!$B$5:$R$58,15,0),"")</f>
        <v>258462355.28291667</v>
      </c>
      <c r="D29" s="73">
        <f>IFERROR(VLOOKUP($A29,'PAU Performance'!$A:$F,6,FALSE),"")</f>
        <v>10.995527842601872</v>
      </c>
      <c r="E29" s="52">
        <f>IFERROR(D29/$D$53*Savings!$C$8*Savings!$C$16,"")</f>
        <v>-1.9747615050253204E-3</v>
      </c>
      <c r="F29" s="90">
        <f t="shared" si="0"/>
        <v>-510401.50971088157</v>
      </c>
      <c r="G29" s="54">
        <f>IFERROR(F29*Savings!$C$9*Savings!$C$16/$F$53,"")</f>
        <v>-360691.46759603085</v>
      </c>
      <c r="H29" s="21">
        <f>IFERROR(VLOOKUP(A29,'PAU Performance'!A:C,3,FALSE),"")</f>
        <v>6.7264199999999996E-2</v>
      </c>
      <c r="I29" s="22">
        <f>H29/$H$53*Savings!$C$8*Savings!$C$17</f>
        <v>-3.6282380162559816E-3</v>
      </c>
      <c r="J29" s="90">
        <f t="shared" si="1"/>
        <v>-937762.94320853823</v>
      </c>
      <c r="K29" s="54">
        <f>IFERROR(J29*Savings!$C$9*Savings!$C$17/$J$53,"")</f>
        <v>-946227.03981264099</v>
      </c>
      <c r="L29" s="90">
        <f t="shared" si="2"/>
        <v>-1306918.5074086718</v>
      </c>
      <c r="M29" s="72">
        <f t="shared" si="4"/>
        <v>-5.0565139591725056E-3</v>
      </c>
    </row>
    <row r="30" spans="1:13" ht="15.75" customHeight="1" x14ac:dyDescent="0.2">
      <c r="A30" s="23">
        <v>210034</v>
      </c>
      <c r="B30" s="23" t="s">
        <v>89</v>
      </c>
      <c r="C30" s="20">
        <f>IFERROR(VLOOKUP(A30,[3]Sheet1!$B$5:$R$58,15,0),"")</f>
        <v>205365570.31165394</v>
      </c>
      <c r="D30" s="73">
        <f>IFERROR(VLOOKUP($A30,'PAU Performance'!$A:$F,6,FALSE),"")</f>
        <v>21.726674389815706</v>
      </c>
      <c r="E30" s="52">
        <f>IFERROR(D30/$D$53*Savings!$C$8*Savings!$C$16,"")</f>
        <v>-3.9020409780595794E-3</v>
      </c>
      <c r="F30" s="90">
        <f t="shared" si="0"/>
        <v>-801344.87083864945</v>
      </c>
      <c r="G30" s="54">
        <f>IFERROR(F30*Savings!$C$9*Savings!$C$16/$F$53,"")</f>
        <v>-566295.85143090738</v>
      </c>
      <c r="H30" s="21">
        <f>IFERROR(VLOOKUP(A30,'PAU Performance'!A:C,3,FALSE),"")</f>
        <v>7.2403999999999996E-2</v>
      </c>
      <c r="I30" s="22">
        <f>H30/$H$53*Savings!$C$8*Savings!$C$17</f>
        <v>-3.905479368356393E-3</v>
      </c>
      <c r="J30" s="90">
        <f t="shared" si="1"/>
        <v>-802050.99782290868</v>
      </c>
      <c r="K30" s="54">
        <f>IFERROR(J30*Savings!$C$9*Savings!$C$17/$J$53,"")</f>
        <v>-809290.1803648877</v>
      </c>
      <c r="L30" s="90">
        <f t="shared" si="2"/>
        <v>-1375586.0317957951</v>
      </c>
      <c r="M30" s="72">
        <f t="shared" si="4"/>
        <v>-6.6982310116942435E-3</v>
      </c>
    </row>
    <row r="31" spans="1:13" ht="15.75" customHeight="1" x14ac:dyDescent="0.2">
      <c r="A31" s="23">
        <v>210035</v>
      </c>
      <c r="B31" s="23" t="s">
        <v>90</v>
      </c>
      <c r="C31" s="20">
        <f>IFERROR(VLOOKUP(A31,[3]Sheet1!$B$5:$R$58,15,0),"")</f>
        <v>176390354.73159721</v>
      </c>
      <c r="D31" s="73">
        <f>IFERROR(VLOOKUP($A31,'PAU Performance'!$A:$F,6,FALSE),"")</f>
        <v>8.8961095893060431</v>
      </c>
      <c r="E31" s="52">
        <f>IFERROR(D31/$D$53*Savings!$C$8*Savings!$C$16,"")</f>
        <v>-1.5977127258395573E-3</v>
      </c>
      <c r="F31" s="90">
        <f t="shared" si="0"/>
        <v>-281821.11447002663</v>
      </c>
      <c r="G31" s="54">
        <f>IFERROR(F31*Savings!$C$9*Savings!$C$16/$F$53,"")</f>
        <v>-199157.85796817706</v>
      </c>
      <c r="H31" s="21">
        <f>IFERROR(VLOOKUP(A31,'PAU Performance'!A:C,3,FALSE),"")</f>
        <v>5.6241399999999997E-2</v>
      </c>
      <c r="I31" s="22">
        <f>H31/$H$53*Savings!$C$8*Savings!$C$17</f>
        <v>-3.0336670259582242E-3</v>
      </c>
      <c r="J31" s="90">
        <f t="shared" si="1"/>
        <v>-535109.60284632072</v>
      </c>
      <c r="K31" s="54">
        <f>IFERROR(J31*Savings!$C$9*Savings!$C$17/$J$53,"")</f>
        <v>-539939.41554586892</v>
      </c>
      <c r="L31" s="90">
        <f t="shared" si="2"/>
        <v>-739097.27351404598</v>
      </c>
      <c r="M31" s="72">
        <f t="shared" si="4"/>
        <v>-4.1901229499690428E-3</v>
      </c>
    </row>
    <row r="32" spans="1:13" ht="15.75" customHeight="1" x14ac:dyDescent="0.2">
      <c r="A32" s="23">
        <v>210037</v>
      </c>
      <c r="B32" s="23" t="s">
        <v>91</v>
      </c>
      <c r="C32" s="20">
        <f>IFERROR(VLOOKUP(A32,[3]Sheet1!$B$5:$R$58,15,0),"")</f>
        <v>271566249.41912937</v>
      </c>
      <c r="D32" s="73">
        <f>IFERROR(VLOOKUP($A32,'PAU Performance'!$A:$F,6,FALSE),"")</f>
        <v>6.7040444229355645</v>
      </c>
      <c r="E32" s="52">
        <f>IFERROR(D32/$D$53*Savings!$C$8*Savings!$C$16,"")</f>
        <v>-1.2040248584610123E-3</v>
      </c>
      <c r="F32" s="90">
        <f t="shared" si="0"/>
        <v>-326972.51501965523</v>
      </c>
      <c r="G32" s="54">
        <f>IFERROR(F32*Savings!$C$9*Savings!$C$16/$F$53,"")</f>
        <v>-231065.53186492331</v>
      </c>
      <c r="H32" s="21">
        <f>IFERROR(VLOOKUP(A32,'PAU Performance'!A:C,3,FALSE),"")</f>
        <v>4.6976200000000003E-2</v>
      </c>
      <c r="I32" s="22">
        <f>H32/$H$53*Savings!$C$8*Savings!$C$17</f>
        <v>-2.5339011643525718E-3</v>
      </c>
      <c r="J32" s="90">
        <f t="shared" si="1"/>
        <v>-688122.03560199286</v>
      </c>
      <c r="K32" s="54">
        <f>IFERROR(J32*Savings!$C$9*Savings!$C$17/$J$53,"")</f>
        <v>-694332.91376360925</v>
      </c>
      <c r="L32" s="90">
        <f t="shared" si="2"/>
        <v>-925398.44562853256</v>
      </c>
      <c r="M32" s="72">
        <f t="shared" si="4"/>
        <v>-3.4076342240905383E-3</v>
      </c>
    </row>
    <row r="33" spans="1:13" ht="15.75" customHeight="1" x14ac:dyDescent="0.2">
      <c r="A33" s="23">
        <v>210038</v>
      </c>
      <c r="B33" s="23" t="s">
        <v>92</v>
      </c>
      <c r="C33" s="20">
        <f>IFERROR(VLOOKUP(A33,[3]Sheet1!$B$5:$R$58,15,0),"")</f>
        <v>259893947.87238368</v>
      </c>
      <c r="D33" s="73">
        <f>IFERROR(VLOOKUP($A33,'PAU Performance'!$A:$F,6,FALSE),"")</f>
        <v>24.911141841508808</v>
      </c>
      <c r="E33" s="52">
        <f>IFERROR(D33/$D$53*Savings!$C$8*Savings!$C$16,"")</f>
        <v>-4.4739611102832229E-3</v>
      </c>
      <c r="F33" s="90">
        <f t="shared" si="0"/>
        <v>-1162755.4155790198</v>
      </c>
      <c r="G33" s="54">
        <f>IFERROR(F33*Savings!$C$9*Savings!$C$16/$F$53,"")</f>
        <v>-821698.11280142469</v>
      </c>
      <c r="H33" s="21">
        <f>IFERROR(VLOOKUP(A33,'PAU Performance'!A:C,3,FALSE),"")</f>
        <v>4.4627699999999999E-2</v>
      </c>
      <c r="I33" s="22">
        <f>H33/$H$53*Savings!$C$8*Savings!$C$17</f>
        <v>-2.4072228275675181E-3</v>
      </c>
      <c r="J33" s="90">
        <f t="shared" si="1"/>
        <v>-625622.64406504459</v>
      </c>
      <c r="K33" s="54">
        <f>IFERROR(J33*Savings!$C$9*Savings!$C$17/$J$53,"")</f>
        <v>-631269.4128304671</v>
      </c>
      <c r="L33" s="90">
        <f t="shared" si="2"/>
        <v>-1452967.5256318918</v>
      </c>
      <c r="M33" s="72">
        <f t="shared" si="4"/>
        <v>-5.5906170094632054E-3</v>
      </c>
    </row>
    <row r="34" spans="1:13" ht="15.75" customHeight="1" x14ac:dyDescent="0.2">
      <c r="A34" s="23">
        <v>210039</v>
      </c>
      <c r="B34" s="23" t="s">
        <v>93</v>
      </c>
      <c r="C34" s="20">
        <f>IFERROR(VLOOKUP(A34,[3]Sheet1!$B$5:$R$58,15,0),"")</f>
        <v>173244367.97349474</v>
      </c>
      <c r="D34" s="73">
        <f>IFERROR(VLOOKUP($A34,'PAU Performance'!$A:$F,6,FALSE),"")</f>
        <v>8.4105640718809092</v>
      </c>
      <c r="E34" s="52">
        <f>IFERROR(D34/$D$53*Savings!$C$8*Savings!$C$16,"")</f>
        <v>-1.5105103095050029E-3</v>
      </c>
      <c r="F34" s="90">
        <f t="shared" si="0"/>
        <v>-261687.40388764214</v>
      </c>
      <c r="G34" s="54">
        <f>IFERROR(F34*Savings!$C$9*Savings!$C$16/$F$53,"")</f>
        <v>-184929.7307390323</v>
      </c>
      <c r="H34" s="21">
        <f>IFERROR(VLOOKUP(A34,'PAU Performance'!A:C,3,FALSE),"")</f>
        <v>4.8958099999999997E-2</v>
      </c>
      <c r="I34" s="22">
        <f>H34/$H$53*Savings!$C$8*Savings!$C$17</f>
        <v>-2.6408050586145672E-3</v>
      </c>
      <c r="J34" s="90">
        <f t="shared" si="1"/>
        <v>-457504.60332088842</v>
      </c>
      <c r="K34" s="54">
        <f>IFERROR(J34*Savings!$C$9*Savings!$C$17/$J$53,"")</f>
        <v>-461633.96585048514</v>
      </c>
      <c r="L34" s="90">
        <f t="shared" si="2"/>
        <v>-646563.69658951741</v>
      </c>
      <c r="M34" s="72">
        <f t="shared" si="4"/>
        <v>-3.7320907118229521E-3</v>
      </c>
    </row>
    <row r="35" spans="1:13" ht="15.75" customHeight="1" x14ac:dyDescent="0.2">
      <c r="A35" s="23">
        <v>210040</v>
      </c>
      <c r="B35" s="23" t="s">
        <v>94</v>
      </c>
      <c r="C35" s="20">
        <f>IFERROR(VLOOKUP(A35,[3]Sheet1!$B$5:$R$58,15,0),"")</f>
        <v>296783941.08329624</v>
      </c>
      <c r="D35" s="73">
        <f>IFERROR(VLOOKUP($A35,'PAU Performance'!$A:$F,6,FALSE),"")</f>
        <v>14.154278672487591</v>
      </c>
      <c r="E35" s="52">
        <f>IFERROR(D35/$D$53*Savings!$C$8*Savings!$C$16,"")</f>
        <v>-2.5420630145223896E-3</v>
      </c>
      <c r="F35" s="90">
        <f t="shared" si="0"/>
        <v>-754443.47993203928</v>
      </c>
      <c r="G35" s="54">
        <f>IFERROR(F35*Savings!$C$9*Savings!$C$16/$F$53,"")</f>
        <v>-533151.4911644517</v>
      </c>
      <c r="H35" s="21">
        <f>IFERROR(VLOOKUP(A35,'PAU Performance'!A:C,3,FALSE),"")</f>
        <v>7.3670399999999997E-2</v>
      </c>
      <c r="I35" s="22">
        <f>H35/$H$53*Savings!$C$8*Savings!$C$17</f>
        <v>-3.9737891174322247E-3</v>
      </c>
      <c r="J35" s="90">
        <f t="shared" si="1"/>
        <v>-1179356.795305449</v>
      </c>
      <c r="K35" s="54">
        <f>IFERROR(J35*Savings!$C$9*Savings!$C$17/$J$53,"")</f>
        <v>-1190001.4789309467</v>
      </c>
      <c r="L35" s="90">
        <f t="shared" si="2"/>
        <v>-1723152.9700953984</v>
      </c>
      <c r="M35" s="72">
        <f t="shared" si="4"/>
        <v>-5.8060856116597401E-3</v>
      </c>
    </row>
    <row r="36" spans="1:13" ht="15.75" customHeight="1" x14ac:dyDescent="0.2">
      <c r="A36" s="23">
        <v>210043</v>
      </c>
      <c r="B36" s="23" t="s">
        <v>95</v>
      </c>
      <c r="C36" s="20">
        <f>IFERROR(VLOOKUP(A36,[3]Sheet1!$B$5:$R$58,15,0),"")</f>
        <v>495962534.30975765</v>
      </c>
      <c r="D36" s="73">
        <f>IFERROR(VLOOKUP($A36,'PAU Performance'!$A:$F,6,FALSE),"")</f>
        <v>11.696239435968057</v>
      </c>
      <c r="E36" s="52">
        <f>IFERROR(D36/$D$53*Savings!$C$8*Savings!$C$16,"")</f>
        <v>-2.100607057918492E-3</v>
      </c>
      <c r="F36" s="90">
        <f t="shared" si="0"/>
        <v>-1041822.4000342191</v>
      </c>
      <c r="G36" s="54">
        <f>IFERROR(F36*Savings!$C$9*Savings!$C$16/$F$53,"")</f>
        <v>-736236.94932960009</v>
      </c>
      <c r="H36" s="21">
        <f>IFERROR(VLOOKUP(A36,'PAU Performance'!A:C,3,FALSE),"")</f>
        <v>7.4106000000000005E-2</v>
      </c>
      <c r="I36" s="22">
        <f>H36/$H$53*Savings!$C$8*Savings!$C$17</f>
        <v>-3.9972854272059396E-3</v>
      </c>
      <c r="J36" s="90">
        <f t="shared" si="1"/>
        <v>-1982503.81083652</v>
      </c>
      <c r="K36" s="54">
        <f>IFERROR(J36*Savings!$C$9*Savings!$C$17/$J$53,"")</f>
        <v>-2000397.5694825049</v>
      </c>
      <c r="L36" s="90">
        <f t="shared" si="2"/>
        <v>-2736634.5188121051</v>
      </c>
      <c r="M36" s="72">
        <f t="shared" si="4"/>
        <v>-5.5178250966491683E-3</v>
      </c>
    </row>
    <row r="37" spans="1:13" ht="15.75" customHeight="1" x14ac:dyDescent="0.2">
      <c r="A37" s="23">
        <v>210044</v>
      </c>
      <c r="B37" s="23" t="s">
        <v>96</v>
      </c>
      <c r="C37" s="20">
        <f>IFERROR(VLOOKUP(A37,[3]Sheet1!$B$5:$R$58,15,0),"")</f>
        <v>475235322.40285361</v>
      </c>
      <c r="D37" s="73">
        <f>IFERROR(VLOOKUP($A37,'PAU Performance'!$A:$F,6,FALSE),"")</f>
        <v>8.7702915483771822</v>
      </c>
      <c r="E37" s="52">
        <f>IFERROR(D37/$D$53*Savings!$C$8*Savings!$C$16,"")</f>
        <v>-1.5751162095630619E-3</v>
      </c>
      <c r="F37" s="90">
        <f t="shared" si="0"/>
        <v>-748550.85967366246</v>
      </c>
      <c r="G37" s="54">
        <f>IFERROR(F37*Savings!$C$9*Savings!$C$16/$F$53,"")</f>
        <v>-528987.2835582007</v>
      </c>
      <c r="H37" s="21">
        <f>IFERROR(VLOOKUP(A37,'PAU Performance'!A:C,3,FALSE),"")</f>
        <v>4.6764100000000003E-2</v>
      </c>
      <c r="I37" s="22">
        <f>H37/$H$53*Savings!$C$8*Savings!$C$17</f>
        <v>-2.5224604680646814E-3</v>
      </c>
      <c r="J37" s="90">
        <f t="shared" si="1"/>
        <v>-1198762.3137891719</v>
      </c>
      <c r="K37" s="54">
        <f>IFERROR(J37*Savings!$C$9*Savings!$C$17/$J$53,"")</f>
        <v>-1209582.1484848715</v>
      </c>
      <c r="L37" s="90">
        <f t="shared" si="2"/>
        <v>-1738569.4320430723</v>
      </c>
      <c r="M37" s="72">
        <f t="shared" si="4"/>
        <v>-3.6583337771540882E-3</v>
      </c>
    </row>
    <row r="38" spans="1:13" ht="15.75" customHeight="1" x14ac:dyDescent="0.2">
      <c r="A38" s="23">
        <v>210045</v>
      </c>
      <c r="B38" s="23" t="s">
        <v>198</v>
      </c>
      <c r="C38" s="20">
        <f>IFERROR(VLOOKUP(A38,[3]Sheet1!$B$5:$R$58,15,0),"")</f>
        <v>0</v>
      </c>
      <c r="D38" s="73">
        <f>IFERROR(VLOOKUP($A38,'PAU Performance'!$A:$F,6,FALSE),"")</f>
        <v>0</v>
      </c>
      <c r="E38" s="52">
        <f>IFERROR(D38/$D$53*Savings!$C$8*Savings!$C$16,"")</f>
        <v>0</v>
      </c>
      <c r="F38" s="90">
        <f t="shared" si="0"/>
        <v>0</v>
      </c>
      <c r="G38" s="54">
        <f>IFERROR(F38*Savings!$C$9*Savings!$C$16/$F$53,"")</f>
        <v>0</v>
      </c>
      <c r="H38" s="21">
        <f>IFERROR(VLOOKUP(A38,'PAU Performance'!A:C,3,FALSE),"")</f>
        <v>0</v>
      </c>
      <c r="I38" s="22">
        <f>H38/$H$53*Savings!$C$8*Savings!$C$17</f>
        <v>0</v>
      </c>
      <c r="J38" s="90">
        <f t="shared" si="1"/>
        <v>0</v>
      </c>
      <c r="K38" s="54">
        <f>IFERROR(J38*Savings!$C$9*Savings!$C$17/$J$53,"")</f>
        <v>0</v>
      </c>
      <c r="L38" s="90">
        <f t="shared" si="2"/>
        <v>0</v>
      </c>
      <c r="M38" s="72">
        <v>0</v>
      </c>
    </row>
    <row r="39" spans="1:13" ht="15.75" customHeight="1" x14ac:dyDescent="0.2">
      <c r="A39" s="23">
        <v>210048</v>
      </c>
      <c r="B39" s="23" t="s">
        <v>98</v>
      </c>
      <c r="C39" s="20">
        <f>IFERROR(VLOOKUP(A39,[3]Sheet1!$B$5:$R$58,15,0),"")</f>
        <v>345192158.44903171</v>
      </c>
      <c r="D39" s="73">
        <f>IFERROR(VLOOKUP($A39,'PAU Performance'!$A:$F,6,FALSE),"")</f>
        <v>6.9848682784954876</v>
      </c>
      <c r="E39" s="52">
        <f>IFERROR(D39/$D$53*Savings!$C$8*Savings!$C$16,"")</f>
        <v>-1.2544599214785327E-3</v>
      </c>
      <c r="F39" s="90">
        <f t="shared" si="0"/>
        <v>-433029.72798297752</v>
      </c>
      <c r="G39" s="54">
        <f>IFERROR(F39*Savings!$C$9*Savings!$C$16/$F$53,"")</f>
        <v>-306014.23610083858</v>
      </c>
      <c r="H39" s="21">
        <f>IFERROR(VLOOKUP(A39,'PAU Performance'!A:C,3,FALSE),"")</f>
        <v>7.0407399999999995E-2</v>
      </c>
      <c r="I39" s="22">
        <f>H39/$H$53*Savings!$C$8*Savings!$C$17</f>
        <v>-3.7977825545496917E-3</v>
      </c>
      <c r="J39" s="90">
        <f t="shared" si="1"/>
        <v>-1310964.7573250856</v>
      </c>
      <c r="K39" s="54">
        <f>IFERROR(J39*Savings!$C$9*Savings!$C$17/$J$53,"")</f>
        <v>-1322797.3131228315</v>
      </c>
      <c r="L39" s="90">
        <f t="shared" si="2"/>
        <v>-1628811.54922367</v>
      </c>
      <c r="M39" s="72">
        <f t="shared" si="4"/>
        <v>-4.7185647453349298E-3</v>
      </c>
    </row>
    <row r="40" spans="1:13" ht="15.75" customHeight="1" x14ac:dyDescent="0.2">
      <c r="A40" s="23">
        <v>210049</v>
      </c>
      <c r="B40" s="23" t="s">
        <v>99</v>
      </c>
      <c r="C40" s="20">
        <f>IFERROR(VLOOKUP(A40,[3]Sheet1!$B$5:$R$58,15,0),"")</f>
        <v>359771686.28065044</v>
      </c>
      <c r="D40" s="73">
        <f>IFERROR(VLOOKUP($A40,'PAU Performance'!$A:$F,6,FALSE),"")</f>
        <v>10.280060464200396</v>
      </c>
      <c r="E40" s="52">
        <f>IFERROR(D40/$D$53*Savings!$C$8*Savings!$C$16,"")</f>
        <v>-1.8462658605056944E-3</v>
      </c>
      <c r="F40" s="90">
        <f t="shared" si="0"/>
        <v>-664234.18195652985</v>
      </c>
      <c r="G40" s="54">
        <f>IFERROR(F40*Savings!$C$9*Savings!$C$16/$F$53,"")</f>
        <v>-469402.22032858524</v>
      </c>
      <c r="H40" s="21">
        <f>IFERROR(VLOOKUP(A40,'PAU Performance'!A:C,3,FALSE),"")</f>
        <v>6.6703100000000001E-2</v>
      </c>
      <c r="I40" s="22">
        <f>H40/$H$53*Savings!$C$8*Savings!$C$17</f>
        <v>-3.5979722232944772E-3</v>
      </c>
      <c r="J40" s="90">
        <f t="shared" si="1"/>
        <v>-1294448.5339655951</v>
      </c>
      <c r="K40" s="54">
        <f>IFERROR(J40*Savings!$C$9*Savings!$C$17/$J$53,"")</f>
        <v>-1306132.0170034692</v>
      </c>
      <c r="L40" s="90">
        <f t="shared" si="2"/>
        <v>-1775534.2373320544</v>
      </c>
      <c r="M40" s="72">
        <f t="shared" si="4"/>
        <v>-4.935169456183934E-3</v>
      </c>
    </row>
    <row r="41" spans="1:13" s="10" customFormat="1" ht="15.75" customHeight="1" x14ac:dyDescent="0.2">
      <c r="A41" s="23">
        <v>210051</v>
      </c>
      <c r="B41" s="23" t="s">
        <v>100</v>
      </c>
      <c r="C41" s="20">
        <f>IFERROR(VLOOKUP(A41,[3]Sheet1!$B$5:$R$58,15,0),"")</f>
        <v>284623898.71129984</v>
      </c>
      <c r="D41" s="73">
        <f>IFERROR(VLOOKUP($A41,'PAU Performance'!$A:$F,6,FALSE),"")</f>
        <v>12.540257537257073</v>
      </c>
      <c r="E41" s="52">
        <f>IFERROR(D41/$D$53*Savings!$C$8*Savings!$C$16,"")</f>
        <v>-2.2521899996225175E-3</v>
      </c>
      <c r="F41" s="90">
        <f t="shared" si="0"/>
        <v>-641027.09833116189</v>
      </c>
      <c r="G41" s="54">
        <f>IFERROR(F41*Savings!$C$9*Savings!$C$16/$F$53,"")</f>
        <v>-453002.19624519377</v>
      </c>
      <c r="H41" s="21">
        <f>IFERROR(VLOOKUP(A41,'PAU Performance'!A:C,3,FALSE),"")</f>
        <v>6.5849199999999997E-2</v>
      </c>
      <c r="I41" s="22">
        <f>H41/$H$53*Savings!$C$8*Savings!$C$17</f>
        <v>-3.5519127675649655E-3</v>
      </c>
      <c r="J41" s="90">
        <f t="shared" si="1"/>
        <v>-1010959.2597867835</v>
      </c>
      <c r="K41" s="54">
        <f>IFERROR(J41*Savings!$C$9*Savings!$C$17/$J$53,"")</f>
        <v>-1020084.0145018401</v>
      </c>
      <c r="L41" s="90">
        <f t="shared" si="2"/>
        <v>-1473086.2107470338</v>
      </c>
      <c r="M41" s="72">
        <f t="shared" si="4"/>
        <v>-5.1755534844992656E-3</v>
      </c>
    </row>
    <row r="42" spans="1:13" s="10" customFormat="1" ht="15.75" customHeight="1" x14ac:dyDescent="0.2">
      <c r="A42" s="23">
        <v>210055</v>
      </c>
      <c r="B42" s="23" t="s">
        <v>168</v>
      </c>
      <c r="C42" s="20">
        <f>IFERROR(VLOOKUP(A42,[3]Sheet1!$B$5:$R$58,15,0),"")</f>
        <v>40123623.90449968</v>
      </c>
      <c r="D42" s="73">
        <f>IFERROR(VLOOKUP($A42,'PAU Performance'!$A:$F,6,FALSE),"")</f>
        <v>0</v>
      </c>
      <c r="E42" s="52">
        <f>IFERROR(D42/$D$53*Savings!$C$8*Savings!$C$16,"")</f>
        <v>0</v>
      </c>
      <c r="F42" s="90"/>
      <c r="G42" s="54">
        <f>IFERROR(F42*Savings!$C$9*Savings!$C$16/$F$53,"")</f>
        <v>0</v>
      </c>
      <c r="H42" s="21"/>
      <c r="I42" s="22"/>
      <c r="J42" s="90">
        <f t="shared" si="1"/>
        <v>0</v>
      </c>
      <c r="K42" s="54">
        <f>IFERROR(J42*Savings!$C$9*Savings!$C$17/$J$53,"")</f>
        <v>0</v>
      </c>
      <c r="L42" s="90">
        <f t="shared" si="2"/>
        <v>0</v>
      </c>
      <c r="M42" s="72">
        <f t="shared" si="4"/>
        <v>0</v>
      </c>
    </row>
    <row r="43" spans="1:13" ht="15.75" customHeight="1" x14ac:dyDescent="0.2">
      <c r="A43" s="23">
        <v>210056</v>
      </c>
      <c r="B43" s="23" t="s">
        <v>101</v>
      </c>
      <c r="C43" s="20">
        <f>IFERROR(VLOOKUP(A43,[3]Sheet1!$B$5:$R$58,15,0),"")</f>
        <v>302419601.44013321</v>
      </c>
      <c r="D43" s="73">
        <f>IFERROR(VLOOKUP($A43,'PAU Performance'!$A:$F,6,FALSE),"")</f>
        <v>17.898684229798661</v>
      </c>
      <c r="E43" s="52">
        <f>IFERROR(D43/$D$53*Savings!$C$8*Savings!$C$16,"")</f>
        <v>-3.2145462331207497E-3</v>
      </c>
      <c r="F43" s="90">
        <f t="shared" ref="F43:F51" si="5">IFERROR(E43*$C43,"")</f>
        <v>-972141.79063125863</v>
      </c>
      <c r="G43" s="54">
        <f>IFERROR(F43*Savings!$C$9*Savings!$C$16/$F$53,"")</f>
        <v>-686994.92948765948</v>
      </c>
      <c r="H43" s="21">
        <f>IFERROR(VLOOKUP(A43,'PAU Performance'!A:C,3,FALSE),"")</f>
        <v>8.4979799999999994E-2</v>
      </c>
      <c r="I43" s="22">
        <f>H43/$H$53*Savings!$C$8*Savings!$C$17</f>
        <v>-4.5838193418464811E-3</v>
      </c>
      <c r="J43" s="90">
        <f t="shared" si="1"/>
        <v>-1386236.8184347865</v>
      </c>
      <c r="K43" s="54">
        <f>IFERROR(J43*Savings!$C$9*Savings!$C$17/$J$53,"")</f>
        <v>-1398748.7676777914</v>
      </c>
      <c r="L43" s="90">
        <f t="shared" si="2"/>
        <v>-2085743.697165451</v>
      </c>
      <c r="M43" s="72">
        <f t="shared" si="4"/>
        <v>-6.8968535347347301E-3</v>
      </c>
    </row>
    <row r="44" spans="1:13" ht="15.75" customHeight="1" x14ac:dyDescent="0.2">
      <c r="A44" s="23">
        <v>210057</v>
      </c>
      <c r="B44" s="23" t="s">
        <v>102</v>
      </c>
      <c r="C44" s="20">
        <f>IFERROR(VLOOKUP(A44,[3]Sheet1!$B$5:$R$58,15,0),"")</f>
        <v>503223249.26444393</v>
      </c>
      <c r="D44" s="73">
        <f>IFERROR(VLOOKUP($A44,'PAU Performance'!$A:$F,6,FALSE),"")</f>
        <v>6.7198515414980982</v>
      </c>
      <c r="E44" s="52">
        <f>IFERROR(D44/$D$53*Savings!$C$8*Savings!$C$16,"")</f>
        <v>-1.2068637662141918E-3</v>
      </c>
      <c r="F44" s="90">
        <f t="shared" si="5"/>
        <v>-607321.90585382981</v>
      </c>
      <c r="G44" s="54">
        <f>IFERROR(F44*Savings!$C$9*Savings!$C$16/$F$53,"")</f>
        <v>-429183.34949620574</v>
      </c>
      <c r="H44" s="21">
        <f>IFERROR(VLOOKUP(A44,'PAU Performance'!A:C,3,FALSE),"")</f>
        <v>5.3292300000000001E-2</v>
      </c>
      <c r="I44" s="22">
        <f>H44/$H$53*Savings!$C$8*Savings!$C$17</f>
        <v>-2.8745922620609281E-3</v>
      </c>
      <c r="J44" s="90">
        <f t="shared" si="1"/>
        <v>-1446561.6584247281</v>
      </c>
      <c r="K44" s="54">
        <f>IFERROR(J44*Savings!$C$9*Savings!$C$17/$J$53,"")</f>
        <v>-1459618.0899134856</v>
      </c>
      <c r="L44" s="90">
        <f t="shared" si="2"/>
        <v>-1888801.4394096914</v>
      </c>
      <c r="M44" s="72">
        <f t="shared" si="4"/>
        <v>-3.7534065490227894E-3</v>
      </c>
    </row>
    <row r="45" spans="1:13" ht="15.75" customHeight="1" x14ac:dyDescent="0.2">
      <c r="A45" s="23">
        <v>210058</v>
      </c>
      <c r="B45" s="23" t="s">
        <v>103</v>
      </c>
      <c r="C45" s="20">
        <f>IFERROR(VLOOKUP(A45,[3]Sheet1!$B$5:$R$58,15,0),"")</f>
        <v>135447342.40460068</v>
      </c>
      <c r="D45" s="73">
        <f>IFERROR(VLOOKUP($A45,'PAU Performance'!$A:$F,6,FALSE),"")</f>
        <v>0</v>
      </c>
      <c r="E45" s="52">
        <f>IFERROR(D45/$D$53*Savings!$C$8*Savings!$C$16,"")</f>
        <v>0</v>
      </c>
      <c r="F45" s="90">
        <f t="shared" si="5"/>
        <v>0</v>
      </c>
      <c r="G45" s="54">
        <f>IFERROR(F45*Savings!$C$9*Savings!$C$16/$F$53,"")</f>
        <v>0</v>
      </c>
      <c r="H45" s="21">
        <f>IFERROR(VLOOKUP(A45,'PAU Performance'!A:C,3,FALSE),"")</f>
        <v>3.0334699999999999E-2</v>
      </c>
      <c r="I45" s="22">
        <f>H45/$H$53*Savings!$C$8*Savings!$C$17</f>
        <v>-1.6362569056306375E-3</v>
      </c>
      <c r="J45" s="90">
        <f t="shared" si="1"/>
        <v>-221626.64935884534</v>
      </c>
      <c r="K45" s="54">
        <f>IFERROR(J45*Savings!$C$9*Savings!$C$17/$J$53,"")</f>
        <v>-223627.01563883355</v>
      </c>
      <c r="L45" s="90">
        <f t="shared" si="2"/>
        <v>-223627.01563883355</v>
      </c>
      <c r="M45" s="72">
        <f t="shared" si="4"/>
        <v>-1.6510254957297539E-3</v>
      </c>
    </row>
    <row r="46" spans="1:13" ht="15.75" customHeight="1" x14ac:dyDescent="0.2">
      <c r="A46" s="23">
        <v>210060</v>
      </c>
      <c r="B46" s="23" t="s">
        <v>104</v>
      </c>
      <c r="C46" s="20">
        <f>IFERROR(VLOOKUP(A46,[3]Sheet1!$B$5:$R$58,15,0),"")</f>
        <v>64203514.644460686</v>
      </c>
      <c r="D46" s="73">
        <f>IFERROR(VLOOKUP($A46,'PAU Performance'!$A:$F,6,FALSE),"")</f>
        <v>13.862709147067253</v>
      </c>
      <c r="E46" s="52">
        <f>IFERROR(D46/$D$53*Savings!$C$8*Savings!$C$16,"")</f>
        <v>-2.489698063691404E-3</v>
      </c>
      <c r="F46" s="90">
        <f t="shared" si="5"/>
        <v>-159847.36609249646</v>
      </c>
      <c r="G46" s="54">
        <f>IFERROR(F46*Savings!$C$9*Savings!$C$16/$F$53,"")</f>
        <v>-112961.22752442826</v>
      </c>
      <c r="H46" s="21">
        <f>IFERROR(VLOOKUP(A46,'PAU Performance'!A:C,3,FALSE),"")</f>
        <v>4.2449500000000001E-2</v>
      </c>
      <c r="I46" s="22">
        <f>H46/$H$53*Savings!$C$8*Savings!$C$17</f>
        <v>-2.2897304906779278E-3</v>
      </c>
      <c r="J46" s="90">
        <f t="shared" si="1"/>
        <v>-147008.74509010848</v>
      </c>
      <c r="K46" s="54">
        <f>IFERROR(J46*Savings!$C$9*Savings!$C$17/$J$53,"")</f>
        <v>-148335.62223864801</v>
      </c>
      <c r="L46" s="90">
        <f t="shared" si="2"/>
        <v>-261296.84976307629</v>
      </c>
      <c r="M46" s="72">
        <f t="shared" si="4"/>
        <v>-4.0698215854701701E-3</v>
      </c>
    </row>
    <row r="47" spans="1:13" ht="15.75" customHeight="1" x14ac:dyDescent="0.2">
      <c r="A47" s="23">
        <v>210061</v>
      </c>
      <c r="B47" s="23" t="s">
        <v>105</v>
      </c>
      <c r="C47" s="20">
        <f>IFERROR(VLOOKUP(A47,[3]Sheet1!$B$5:$R$58,15,0),"")</f>
        <v>122689621.17843871</v>
      </c>
      <c r="D47" s="73">
        <f>IFERROR(VLOOKUP($A47,'PAU Performance'!$A:$F,6,FALSE),"")</f>
        <v>11.087098802414689</v>
      </c>
      <c r="E47" s="52">
        <f>IFERROR(D47/$D$53*Savings!$C$8*Savings!$C$16,"")</f>
        <v>-1.9912073554660737E-3</v>
      </c>
      <c r="F47" s="90">
        <f t="shared" si="5"/>
        <v>-244300.47612985334</v>
      </c>
      <c r="G47" s="54">
        <f>IFERROR(F47*Savings!$C$9*Savings!$C$16/$F$53,"")</f>
        <v>-172642.70499434866</v>
      </c>
      <c r="H47" s="21">
        <f>IFERROR(VLOOKUP(A47,'PAU Performance'!A:C,3,FALSE),"")</f>
        <v>3.5684899999999999E-2</v>
      </c>
      <c r="I47" s="22">
        <f>H47/$H$53*Savings!$C$8*Savings!$C$17</f>
        <v>-1.9248472558402996E-3</v>
      </c>
      <c r="J47" s="90">
        <f t="shared" si="1"/>
        <v>-236158.78064540366</v>
      </c>
      <c r="K47" s="54">
        <f>IFERROR(J47*Savings!$C$9*Savings!$C$17/$J$53,"")</f>
        <v>-238290.31159122105</v>
      </c>
      <c r="L47" s="90">
        <f t="shared" si="2"/>
        <v>-410933.01658556971</v>
      </c>
      <c r="M47" s="72">
        <f t="shared" si="4"/>
        <v>-3.3493706528599705E-3</v>
      </c>
    </row>
    <row r="48" spans="1:13" ht="15.75" customHeight="1" x14ac:dyDescent="0.2">
      <c r="A48" s="23">
        <v>210062</v>
      </c>
      <c r="B48" s="23" t="s">
        <v>106</v>
      </c>
      <c r="C48" s="20">
        <f>IFERROR(VLOOKUP(A48,[3]Sheet1!$B$5:$R$58,15,0),"")</f>
        <v>309171742.64515758</v>
      </c>
      <c r="D48" s="73">
        <f>IFERROR(VLOOKUP($A48,'PAU Performance'!$A:$F,6,FALSE),"")</f>
        <v>12.584143030891543</v>
      </c>
      <c r="E48" s="52">
        <f>IFERROR(D48/$D$53*Savings!$C$8*Savings!$C$16,"")</f>
        <v>-2.2600716934073864E-3</v>
      </c>
      <c r="F48" s="90">
        <f t="shared" si="5"/>
        <v>-698750.3039537539</v>
      </c>
      <c r="G48" s="54">
        <f>IFERROR(F48*Savings!$C$9*Savings!$C$16/$F$53,"")</f>
        <v>-493794.13622623711</v>
      </c>
      <c r="H48" s="21">
        <f>IFERROR(VLOOKUP(A48,'PAU Performance'!A:C,3,FALSE),"")</f>
        <v>6.8709999999999993E-2</v>
      </c>
      <c r="I48" s="22">
        <f>H48/$H$53*Savings!$C$8*Savings!$C$17</f>
        <v>-3.7062246201835223E-3</v>
      </c>
      <c r="J48" s="90">
        <f t="shared" si="1"/>
        <v>-1145859.9244565268</v>
      </c>
      <c r="K48" s="54">
        <f>IFERROR(J48*Savings!$C$9*Savings!$C$17/$J$53,"")</f>
        <v>-1156202.2707452232</v>
      </c>
      <c r="L48" s="90">
        <f t="shared" si="2"/>
        <v>-1649996.4069714602</v>
      </c>
      <c r="M48" s="72">
        <f t="shared" si="4"/>
        <v>-5.3368279806385579E-3</v>
      </c>
    </row>
    <row r="49" spans="1:14" ht="15.75" customHeight="1" x14ac:dyDescent="0.2">
      <c r="A49" s="23">
        <v>210063</v>
      </c>
      <c r="B49" s="23" t="s">
        <v>107</v>
      </c>
      <c r="C49" s="20">
        <f>IFERROR(VLOOKUP(A49,[3]Sheet1!$B$5:$R$58,15,0),"")</f>
        <v>448957803.14797795</v>
      </c>
      <c r="D49" s="73">
        <f>IFERROR(VLOOKUP($A49,'PAU Performance'!$A:$F,6,FALSE),"")</f>
        <v>10.20327755825787</v>
      </c>
      <c r="E49" s="52">
        <f>IFERROR(D49/$D$53*Savings!$C$8*Savings!$C$16,"")</f>
        <v>-1.8324758970705783E-3</v>
      </c>
      <c r="F49" s="90">
        <f t="shared" si="5"/>
        <v>-822704.35307042697</v>
      </c>
      <c r="G49" s="54">
        <f>IFERROR(F49*Savings!$C$9*Savings!$C$16/$F$53,"")</f>
        <v>-581390.20919962809</v>
      </c>
      <c r="H49" s="21">
        <f>IFERROR(VLOOKUP(A49,'PAU Performance'!A:C,3,FALSE),"")</f>
        <v>5.8604200000000002E-2</v>
      </c>
      <c r="I49" s="22">
        <f>H49/$H$53*Savings!$C$8*Savings!$C$17</f>
        <v>-3.1611167062459496E-3</v>
      </c>
      <c r="J49" s="90">
        <f t="shared" si="1"/>
        <v>-1419208.0119305535</v>
      </c>
      <c r="K49" s="54">
        <f>IFERROR(J49*Savings!$C$9*Savings!$C$17/$J$53,"")</f>
        <v>-1432017.5538316194</v>
      </c>
      <c r="L49" s="90">
        <f t="shared" si="2"/>
        <v>-2013407.7630312475</v>
      </c>
      <c r="M49" s="72">
        <f t="shared" si="4"/>
        <v>-4.4846258354654805E-3</v>
      </c>
    </row>
    <row r="50" spans="1:14" s="11" customFormat="1" ht="15.75" customHeight="1" x14ac:dyDescent="0.2">
      <c r="A50" s="23">
        <v>210064</v>
      </c>
      <c r="B50" s="23" t="s">
        <v>108</v>
      </c>
      <c r="C50" s="20">
        <f>IFERROR(VLOOKUP(A50,[3]Sheet1!$B$5:$R$58,15,0),"")</f>
        <v>68694680.668564409</v>
      </c>
      <c r="D50" s="73">
        <f>IFERROR(VLOOKUP($A50,'PAU Performance'!$A:$F,6,FALSE),"")</f>
        <v>0</v>
      </c>
      <c r="E50" s="52">
        <f>IFERROR(D50/$D$53*Savings!$C$8*Savings!$C$16,"")</f>
        <v>0</v>
      </c>
      <c r="F50" s="90">
        <f t="shared" si="5"/>
        <v>0</v>
      </c>
      <c r="G50" s="54">
        <f>IFERROR(F50*Savings!$C$9*Savings!$C$16/$F$53,"")</f>
        <v>0</v>
      </c>
      <c r="H50" s="21">
        <f>IFERROR(VLOOKUP(A50,'PAU Performance'!A:C,3,FALSE),"")</f>
        <v>9.6350599999999995E-2</v>
      </c>
      <c r="I50" s="22">
        <f>H50/$H$53*Savings!$C$8*Savings!$C$17</f>
        <v>-5.1971614887127704E-3</v>
      </c>
      <c r="J50" s="90">
        <f t="shared" si="1"/>
        <v>-357017.34885008459</v>
      </c>
      <c r="K50" s="54">
        <f>IFERROR(J50*Savings!$C$9*Savings!$C$17/$J$53,"")</f>
        <v>-360239.72967872833</v>
      </c>
      <c r="L50" s="90">
        <f t="shared" si="2"/>
        <v>-360239.72967872833</v>
      </c>
      <c r="M50" s="72">
        <f t="shared" si="4"/>
        <v>-5.2440702274576378E-3</v>
      </c>
      <c r="N50" s="110"/>
    </row>
    <row r="51" spans="1:14" ht="15.75" customHeight="1" x14ac:dyDescent="0.2">
      <c r="A51" s="23">
        <v>210065</v>
      </c>
      <c r="B51" s="23" t="s">
        <v>109</v>
      </c>
      <c r="C51" s="20">
        <f>IFERROR(VLOOKUP(A51,[3]Sheet1!$B$5:$R$58,15,0),"")</f>
        <v>136210072.20605242</v>
      </c>
      <c r="D51" s="73">
        <f>IFERROR(VLOOKUP($A51,'PAU Performance'!$A:$F,6,FALSE),"")</f>
        <v>8.6877080418348882</v>
      </c>
      <c r="E51" s="52">
        <f>IFERROR(D51/$D$53*Savings!$C$8*Savings!$C$16,"")</f>
        <v>-1.5602844768800824E-3</v>
      </c>
      <c r="F51" s="90">
        <f t="shared" si="5"/>
        <v>-212526.46125781877</v>
      </c>
      <c r="G51" s="54">
        <f>IFERROR(F51*Savings!$C$9*Savings!$C$16/$F$53,"")</f>
        <v>-150188.58634939371</v>
      </c>
      <c r="H51" s="21">
        <f>IFERROR(VLOOKUP(A51,'PAU Performance'!A:C,3,FALSE),"")</f>
        <v>5.3469099999999999E-2</v>
      </c>
      <c r="I51" s="22">
        <f>H51/$H$53*Savings!$C$8*Savings!$C$17</f>
        <v>-2.8841288726394235E-3</v>
      </c>
      <c r="J51" s="90">
        <f t="shared" si="1"/>
        <v>-392847.40199377644</v>
      </c>
      <c r="K51" s="54">
        <f>IFERROR(J51*Savings!$C$9*Savings!$C$17/$J$53,"")</f>
        <v>-396393.17908512673</v>
      </c>
      <c r="L51" s="90">
        <f t="shared" si="2"/>
        <v>-546581.76543452044</v>
      </c>
      <c r="M51" s="72">
        <f t="shared" si="4"/>
        <v>-4.0127852263940975E-3</v>
      </c>
    </row>
    <row r="52" spans="1:14" ht="12" customHeight="1" x14ac:dyDescent="0.2">
      <c r="A52" s="120"/>
      <c r="B52" s="120"/>
      <c r="C52" s="20" t="str">
        <f>IFERROR(VLOOKUP(A52,[3]Sheet1!$B$5:$R$58,15,0),"")</f>
        <v/>
      </c>
      <c r="D52" s="73"/>
      <c r="E52" s="24"/>
      <c r="F52" s="91"/>
      <c r="G52" s="29"/>
      <c r="H52" s="21"/>
      <c r="I52" s="22"/>
      <c r="J52" s="25"/>
      <c r="K52" s="49"/>
      <c r="L52" s="15"/>
      <c r="M52" s="72"/>
    </row>
    <row r="53" spans="1:14" s="71" customFormat="1" ht="18.75" customHeight="1" x14ac:dyDescent="0.25">
      <c r="A53" s="79" t="s">
        <v>152</v>
      </c>
      <c r="B53" s="79" t="s">
        <v>152</v>
      </c>
      <c r="C53" s="118">
        <f>IFERROR(VLOOKUP(A53,[3]Sheet1!$B$5:$R$58,15,0),"")</f>
        <v>19585655295.940842</v>
      </c>
      <c r="D53" s="84">
        <f>IFERROR(VLOOKUP($A53,'PAU Performance'!$A:$F,6,FALSE),"")</f>
        <v>11.382886780206706</v>
      </c>
      <c r="E53" s="85">
        <f>IFERROR($D53/$D53*Savings!$C$8*Savings!$C$16,"")</f>
        <v>-2.0443299268018342E-3</v>
      </c>
      <c r="F53" s="87">
        <f>SUM(F4:F51)</f>
        <v>-56658513.277768865</v>
      </c>
      <c r="G53" s="87">
        <f>SUM(G4:G51)</f>
        <v>-40039541.257516697</v>
      </c>
      <c r="H53" s="88">
        <f>IFERROR(VLOOKUP(A53,'PAU Performance'!A:C,3,FALSE),"")</f>
        <v>5.2941500000000002E-2</v>
      </c>
      <c r="I53" s="85">
        <f>H53/$H$53*Savings!$C$8*Savings!$C$17</f>
        <v>-2.8556700731981657E-3</v>
      </c>
      <c r="J53" s="80">
        <f>SUM(J4:J51)</f>
        <v>-55429868.666049413</v>
      </c>
      <c r="K53" s="81">
        <f>SUM(K4:K51)</f>
        <v>-55930169.69259344</v>
      </c>
      <c r="L53" s="80">
        <f>SUM(L4:L51)</f>
        <v>-95969710.950110137</v>
      </c>
      <c r="M53" s="82">
        <f>L53/C53</f>
        <v>-4.9000000000000007E-3</v>
      </c>
    </row>
    <row r="54" spans="1:14" ht="21.75" customHeight="1" x14ac:dyDescent="0.2">
      <c r="C54" s="65"/>
      <c r="D54" s="12"/>
      <c r="E54" s="16"/>
      <c r="F54" s="16"/>
      <c r="G54" s="95"/>
      <c r="H54" s="16"/>
      <c r="I54" s="16"/>
      <c r="J54" s="16"/>
      <c r="K54" s="50"/>
      <c r="L54" s="15"/>
    </row>
    <row r="55" spans="1:14" x14ac:dyDescent="0.2">
      <c r="A55" s="114" t="s">
        <v>199</v>
      </c>
      <c r="C55" s="12"/>
      <c r="D55" s="18"/>
      <c r="E55" s="16"/>
      <c r="F55" s="16"/>
      <c r="G55" s="18"/>
      <c r="H55" s="16"/>
      <c r="I55" s="16"/>
      <c r="J55" s="16"/>
      <c r="K55" s="70"/>
    </row>
    <row r="56" spans="1:14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70"/>
    </row>
    <row r="57" spans="1:14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50"/>
    </row>
    <row r="58" spans="1:14" x14ac:dyDescent="0.2">
      <c r="A58" s="7" t="s">
        <v>59</v>
      </c>
      <c r="G58" s="15"/>
    </row>
    <row r="59" spans="1:14" x14ac:dyDescent="0.2">
      <c r="A59" s="7" t="s">
        <v>201</v>
      </c>
      <c r="G59" s="15"/>
    </row>
    <row r="60" spans="1:14" s="71" customFormat="1" x14ac:dyDescent="0.2">
      <c r="A60" s="9"/>
      <c r="B60" s="9"/>
      <c r="C60" s="9"/>
      <c r="D60" s="9"/>
      <c r="K60" s="83"/>
    </row>
    <row r="61" spans="1:14" x14ac:dyDescent="0.2">
      <c r="G61" s="15"/>
      <c r="J61" s="47"/>
    </row>
  </sheetData>
  <autoFilter ref="A3:WUK51" xr:uid="{00000000-0009-0000-0000-000001000000}">
    <sortState xmlns:xlrd2="http://schemas.microsoft.com/office/spreadsheetml/2017/richdata2" ref="A4:WUK51">
      <sortCondition ref="A3:A51"/>
    </sortState>
  </autoFilter>
  <pageMargins left="0.25" right="0.25" top="0.5" bottom="0.5" header="0.3" footer="0.3"/>
  <pageSetup fitToHeight="0" orientation="landscape" r:id="rId1"/>
  <headerFooter alignWithMargins="0"/>
  <ignoredErrors>
    <ignoredError sqref="C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F55"/>
  <sheetViews>
    <sheetView zoomScaleNormal="100" workbookViewId="0">
      <pane ySplit="4" topLeftCell="A20" activePane="bottomLeft" state="frozen"/>
      <selection pane="bottomLeft" activeCell="F21" sqref="F21"/>
    </sheetView>
  </sheetViews>
  <sheetFormatPr defaultColWidth="9.140625" defaultRowHeight="15" x14ac:dyDescent="0.25"/>
  <cols>
    <col min="1" max="1" width="13" customWidth="1"/>
    <col min="2" max="2" width="23" customWidth="1"/>
    <col min="3" max="3" width="18" customWidth="1"/>
    <col min="4" max="5" width="8.7109375"/>
    <col min="6" max="6" width="15.28515625" customWidth="1"/>
    <col min="7" max="11" width="8.7109375" customWidth="1"/>
  </cols>
  <sheetData>
    <row r="1" spans="1:6" ht="19.5" customHeight="1" x14ac:dyDescent="0.3">
      <c r="A1" s="58" t="s">
        <v>203</v>
      </c>
    </row>
    <row r="2" spans="1:6" x14ac:dyDescent="0.25">
      <c r="A2" s="121"/>
      <c r="B2" s="121"/>
      <c r="C2" s="121"/>
    </row>
    <row r="3" spans="1:6" ht="60" x14ac:dyDescent="0.25">
      <c r="A3" s="59" t="s">
        <v>130</v>
      </c>
      <c r="B3" s="59" t="s">
        <v>58</v>
      </c>
      <c r="C3" s="60" t="s">
        <v>204</v>
      </c>
      <c r="D3" s="60" t="s">
        <v>186</v>
      </c>
      <c r="E3" s="60" t="s">
        <v>187</v>
      </c>
      <c r="F3" s="60" t="s">
        <v>185</v>
      </c>
    </row>
    <row r="4" spans="1:6" ht="45" x14ac:dyDescent="0.25">
      <c r="A4" s="61" t="s">
        <v>51</v>
      </c>
      <c r="B4" s="61" t="s">
        <v>53</v>
      </c>
      <c r="C4" s="62" t="s">
        <v>62</v>
      </c>
      <c r="D4" s="60" t="s">
        <v>55</v>
      </c>
      <c r="E4" s="60" t="s">
        <v>188</v>
      </c>
      <c r="F4" s="60" t="s">
        <v>189</v>
      </c>
    </row>
    <row r="5" spans="1:6" x14ac:dyDescent="0.25">
      <c r="A5" s="63">
        <v>210001</v>
      </c>
      <c r="B5" s="63" t="s">
        <v>67</v>
      </c>
      <c r="C5" s="86">
        <f>VLOOKUP(A5, '[4]4. PAU Readmissions Performance'!$A$9:$I$53,9,FALSE)</f>
        <v>5.9924400000000003E-2</v>
      </c>
      <c r="D5" s="97">
        <f>VLOOKUP($A5, '[4]3.Summary'!$A$8:$E$52,4,FALSE)</f>
        <v>16.046195999999998</v>
      </c>
      <c r="E5" s="97">
        <f>VLOOKUP($A5, '[4]3.Summary'!$A$8:$E$52,5,FALSE)</f>
        <v>1.1002267999999999</v>
      </c>
      <c r="F5" s="94">
        <f>(D5*'Statewide PAU Revenue'!$C$53)+(E5*'Statewide PAU Revenue'!$D$53)</f>
        <v>15.941258664498294</v>
      </c>
    </row>
    <row r="6" spans="1:6" x14ac:dyDescent="0.25">
      <c r="A6" s="63">
        <v>210002</v>
      </c>
      <c r="B6" s="63" t="s">
        <v>60</v>
      </c>
      <c r="C6" s="86">
        <f>VLOOKUP(A6, '[4]4. PAU Readmissions Performance'!$A$9:$I$53,9,FALSE)</f>
        <v>3.7352700000000003E-2</v>
      </c>
      <c r="D6" s="97">
        <f>VLOOKUP($A6, '[4]3.Summary'!$A$8:$E$52,4,FALSE)</f>
        <v>24.589509</v>
      </c>
      <c r="E6" s="97">
        <f>VLOOKUP($A6, '[4]3.Summary'!$A$8:$E$52,5,FALSE)</f>
        <v>3.0764752</v>
      </c>
      <c r="F6" s="94">
        <f>(D6*'Statewide PAU Revenue'!$C$53)+(E6*'Statewide PAU Revenue'!$D$53)</f>
        <v>24.438463563245715</v>
      </c>
    </row>
    <row r="7" spans="1:6" x14ac:dyDescent="0.25">
      <c r="A7" s="63">
        <v>210003</v>
      </c>
      <c r="B7" s="63" t="s">
        <v>131</v>
      </c>
      <c r="C7" s="86">
        <f>VLOOKUP(A7, '[4]4. PAU Readmissions Performance'!$A$9:$I$53,9,FALSE)</f>
        <v>5.3868600000000003E-2</v>
      </c>
      <c r="D7" s="97">
        <f>VLOOKUP($A7, '[4]3.Summary'!$A$8:$E$52,4,FALSE)</f>
        <v>18.063549999999999</v>
      </c>
      <c r="E7" s="97">
        <f>VLOOKUP($A7, '[4]3.Summary'!$A$8:$E$52,5,FALSE)</f>
        <v>4.3354400000000001E-2</v>
      </c>
      <c r="F7" s="94">
        <f>(D7*'Statewide PAU Revenue'!$C$53)+(E7*'Statewide PAU Revenue'!$D$53)</f>
        <v>17.937028174203412</v>
      </c>
    </row>
    <row r="8" spans="1:6" x14ac:dyDescent="0.25">
      <c r="A8" s="63">
        <v>210004</v>
      </c>
      <c r="B8" s="63" t="s">
        <v>68</v>
      </c>
      <c r="C8" s="86">
        <f>VLOOKUP(A8, '[4]4. PAU Readmissions Performance'!$A$9:$I$53,9,FALSE)</f>
        <v>5.6595899999999998E-2</v>
      </c>
      <c r="D8" s="97">
        <f>VLOOKUP($A8, '[4]3.Summary'!$A$8:$E$52,4,FALSE)</f>
        <v>7.8730732000000003</v>
      </c>
      <c r="E8" s="97">
        <f>VLOOKUP($A8, '[4]3.Summary'!$A$8:$E$52,5,FALSE)</f>
        <v>0.24495629999999999</v>
      </c>
      <c r="F8" s="94">
        <f>(D8*'Statewide PAU Revenue'!$C$53)+(E8*'Statewide PAU Revenue'!$D$53)</f>
        <v>7.8195153308735525</v>
      </c>
    </row>
    <row r="9" spans="1:6" x14ac:dyDescent="0.25">
      <c r="A9" s="63">
        <v>210005</v>
      </c>
      <c r="B9" s="63" t="s">
        <v>69</v>
      </c>
      <c r="C9" s="86">
        <f>VLOOKUP(A9, '[4]4. PAU Readmissions Performance'!$A$9:$I$53,9,FALSE)</f>
        <v>6.6699300000000003E-2</v>
      </c>
      <c r="D9" s="97">
        <f>VLOOKUP($A9, '[4]3.Summary'!$A$8:$E$52,4,FALSE)</f>
        <v>8.5145029999999995</v>
      </c>
      <c r="E9" s="97">
        <f>VLOOKUP($A9, '[4]3.Summary'!$A$8:$E$52,5,FALSE)</f>
        <v>0.41818739999999999</v>
      </c>
      <c r="F9" s="94">
        <f>(D9*'Statewide PAU Revenue'!$C$53)+(E9*'Statewide PAU Revenue'!$D$53)</f>
        <v>8.4576578549929504</v>
      </c>
    </row>
    <row r="10" spans="1:6" x14ac:dyDescent="0.25">
      <c r="A10" s="63">
        <v>210006</v>
      </c>
      <c r="B10" s="63" t="s">
        <v>70</v>
      </c>
      <c r="C10" s="86">
        <f>VLOOKUP(A10, '[4]4. PAU Readmissions Performance'!$A$9:$I$53,9,FALSE)</f>
        <v>9.2316599999999999E-2</v>
      </c>
      <c r="D10" s="97">
        <f>VLOOKUP($A10, '[4]3.Summary'!$A$8:$E$52,4,FALSE)</f>
        <v>14.405504000000001</v>
      </c>
      <c r="E10" s="97">
        <f>VLOOKUP($A10, '[4]3.Summary'!$A$8:$E$52,5,FALSE)</f>
        <v>0.9254213</v>
      </c>
      <c r="F10" s="94">
        <f>(D10*'Statewide PAU Revenue'!$C$53)+(E10*'Statewide PAU Revenue'!$D$53)</f>
        <v>14.310858818951413</v>
      </c>
    </row>
    <row r="11" spans="1:6" x14ac:dyDescent="0.25">
      <c r="A11" s="63">
        <v>210008</v>
      </c>
      <c r="B11" s="63" t="s">
        <v>71</v>
      </c>
      <c r="C11" s="86">
        <f>VLOOKUP(A11, '[4]4. PAU Readmissions Performance'!$A$9:$I$53,9,FALSE)</f>
        <v>2.7523499999999999E-2</v>
      </c>
      <c r="D11" s="97">
        <f>VLOOKUP($A11, '[4]3.Summary'!$A$8:$E$52,4,FALSE)</f>
        <v>23.961337</v>
      </c>
      <c r="E11" s="97">
        <f>VLOOKUP($A11, '[4]3.Summary'!$A$8:$E$52,5,FALSE)</f>
        <v>2.6518755999999999</v>
      </c>
      <c r="F11" s="94">
        <f>(D11*'Statewide PAU Revenue'!$C$53)+(E11*'Statewide PAU Revenue'!$D$53)</f>
        <v>23.811720868026946</v>
      </c>
    </row>
    <row r="12" spans="1:6" x14ac:dyDescent="0.25">
      <c r="A12" s="63">
        <v>210009</v>
      </c>
      <c r="B12" s="63" t="s">
        <v>72</v>
      </c>
      <c r="C12" s="86">
        <f>VLOOKUP(A12, '[4]4. PAU Readmissions Performance'!$A$9:$I$53,9,FALSE)</f>
        <v>4.4941599999999998E-2</v>
      </c>
      <c r="D12" s="97">
        <f>VLOOKUP($A12, '[4]3.Summary'!$A$8:$E$52,4,FALSE)</f>
        <v>27.155301000000001</v>
      </c>
      <c r="E12" s="97">
        <f>VLOOKUP($A12, '[4]3.Summary'!$A$8:$E$52,5,FALSE)</f>
        <v>3.2203206</v>
      </c>
      <c r="F12" s="94">
        <f>(D12*'Statewide PAU Revenue'!$C$53)+(E12*'Statewide PAU Revenue'!$D$53)</f>
        <v>26.98725080299695</v>
      </c>
    </row>
    <row r="13" spans="1:6" x14ac:dyDescent="0.25">
      <c r="A13" s="63">
        <v>210010</v>
      </c>
      <c r="B13" s="63" t="s">
        <v>73</v>
      </c>
      <c r="C13" s="86"/>
      <c r="D13" s="97"/>
      <c r="E13" s="97"/>
      <c r="F13" s="94">
        <v>0</v>
      </c>
    </row>
    <row r="14" spans="1:6" x14ac:dyDescent="0.25">
      <c r="A14" s="63">
        <v>210011</v>
      </c>
      <c r="B14" s="63" t="s">
        <v>132</v>
      </c>
      <c r="C14" s="86">
        <f>VLOOKUP(A14, '[4]4. PAU Readmissions Performance'!$A$9:$I$53,9,FALSE)</f>
        <v>6.30188E-2</v>
      </c>
      <c r="D14" s="97">
        <f>VLOOKUP($A14, '[4]3.Summary'!$A$8:$E$52,4,FALSE)</f>
        <v>12.759494999999999</v>
      </c>
      <c r="E14" s="97">
        <f>VLOOKUP($A14, '[4]3.Summary'!$A$8:$E$52,5,FALSE)</f>
        <v>1.5989331</v>
      </c>
      <c r="F14" s="94">
        <f>(D14*'Statewide PAU Revenue'!$C$53)+(E14*'Statewide PAU Revenue'!$D$53)</f>
        <v>12.681135436105819</v>
      </c>
    </row>
    <row r="15" spans="1:6" x14ac:dyDescent="0.25">
      <c r="A15" s="63">
        <v>210012</v>
      </c>
      <c r="B15" s="63" t="s">
        <v>75</v>
      </c>
      <c r="C15" s="86">
        <f>VLOOKUP(A15, '[4]4. PAU Readmissions Performance'!$A$9:$I$53,9,FALSE)</f>
        <v>5.1450200000000001E-2</v>
      </c>
      <c r="D15" s="97">
        <f>VLOOKUP($A15, '[4]3.Summary'!$A$8:$E$52,4,FALSE)</f>
        <v>15.083527</v>
      </c>
      <c r="E15" s="97">
        <f>VLOOKUP($A15, '[4]3.Summary'!$A$8:$E$52,5,FALSE)</f>
        <v>1.5515473</v>
      </c>
      <c r="F15" s="94">
        <f>(D15*'Statewide PAU Revenue'!$C$53)+(E15*'Statewide PAU Revenue'!$D$53)</f>
        <v>14.988517444260975</v>
      </c>
    </row>
    <row r="16" spans="1:6" x14ac:dyDescent="0.25">
      <c r="A16" s="63">
        <v>210013</v>
      </c>
      <c r="B16" s="63" t="s">
        <v>76</v>
      </c>
      <c r="C16" s="86"/>
      <c r="D16" s="97"/>
      <c r="E16" s="97"/>
      <c r="F16" s="94">
        <v>0</v>
      </c>
    </row>
    <row r="17" spans="1:6" x14ac:dyDescent="0.25">
      <c r="A17" s="63">
        <v>210015</v>
      </c>
      <c r="B17" s="63" t="s">
        <v>133</v>
      </c>
      <c r="C17" s="86">
        <f>VLOOKUP(A17, '[4]4. PAU Readmissions Performance'!$A$9:$I$53,9,FALSE)</f>
        <v>6.5347600000000006E-2</v>
      </c>
      <c r="D17" s="97">
        <f>VLOOKUP($A17, '[4]3.Summary'!$A$8:$E$52,4,FALSE)</f>
        <v>18.654485999999999</v>
      </c>
      <c r="E17" s="97">
        <f>VLOOKUP($A17, '[4]3.Summary'!$A$8:$E$52,5,FALSE)</f>
        <v>0.8743881</v>
      </c>
      <c r="F17" s="94">
        <f>(D17*'Statewide PAU Revenue'!$C$53)+(E17*'Statewide PAU Revenue'!$D$53)</f>
        <v>18.529649927235617</v>
      </c>
    </row>
    <row r="18" spans="1:6" x14ac:dyDescent="0.25">
      <c r="A18" s="63">
        <v>210016</v>
      </c>
      <c r="B18" s="63" t="s">
        <v>134</v>
      </c>
      <c r="C18" s="86">
        <f>VLOOKUP(A18, '[4]4. PAU Readmissions Performance'!$A$9:$I$53,9,FALSE)</f>
        <v>5.5621299999999999E-2</v>
      </c>
      <c r="D18" s="97">
        <f>VLOOKUP($A18, '[4]3.Summary'!$A$8:$E$52,4,FALSE)</f>
        <v>11.204295999999999</v>
      </c>
      <c r="E18" s="97">
        <f>VLOOKUP($A18, '[4]3.Summary'!$A$8:$E$52,5,FALSE)</f>
        <v>9.8673899999999995E-2</v>
      </c>
      <c r="F18" s="94">
        <f>(D18*'Statewide PAU Revenue'!$C$53)+(E18*'Statewide PAU Revenue'!$D$53)</f>
        <v>11.126322174638252</v>
      </c>
    </row>
    <row r="19" spans="1:6" x14ac:dyDescent="0.25">
      <c r="A19" s="63">
        <v>210017</v>
      </c>
      <c r="B19" s="63" t="s">
        <v>79</v>
      </c>
      <c r="C19" s="86">
        <f>VLOOKUP(A19, '[4]4. PAU Readmissions Performance'!$A$9:$I$53,9,FALSE)</f>
        <v>1.8453500000000001E-2</v>
      </c>
      <c r="D19" s="97">
        <f>VLOOKUP($A19, '[4]3.Summary'!$A$8:$E$52,4,FALSE)</f>
        <v>9.8487370999999992</v>
      </c>
      <c r="E19" s="97">
        <f>VLOOKUP($A19, '[4]3.Summary'!$A$8:$E$52,5,FALSE)</f>
        <v>1.1511697000000001</v>
      </c>
      <c r="F19" s="94">
        <f>(D19*'Statewide PAU Revenue'!$C$53)+(E19*'Statewide PAU Revenue'!$D$53)</f>
        <v>9.7876704982902556</v>
      </c>
    </row>
    <row r="20" spans="1:6" x14ac:dyDescent="0.25">
      <c r="A20" s="63">
        <v>210018</v>
      </c>
      <c r="B20" s="63" t="s">
        <v>135</v>
      </c>
      <c r="C20" s="86">
        <f>VLOOKUP(A20, '[4]4. PAU Readmissions Performance'!$A$9:$I$53,9,FALSE)</f>
        <v>5.85969E-2</v>
      </c>
      <c r="D20" s="97">
        <f>VLOOKUP($A20, '[4]3.Summary'!$A$8:$E$52,4,FALSE)</f>
        <v>6.7606638999999999</v>
      </c>
      <c r="E20" s="97">
        <f>VLOOKUP($A20, '[4]3.Summary'!$A$8:$E$52,5,FALSE)</f>
        <v>0.42783130000000003</v>
      </c>
      <c r="F20" s="94">
        <f>(D20*'Statewide PAU Revenue'!$C$53)+(E20*'Statewide PAU Revenue'!$D$53)</f>
        <v>6.7162003680383302</v>
      </c>
    </row>
    <row r="21" spans="1:6" x14ac:dyDescent="0.25">
      <c r="A21" s="63">
        <v>210019</v>
      </c>
      <c r="B21" s="63" t="s">
        <v>136</v>
      </c>
      <c r="C21" s="86">
        <f>VLOOKUP(A21, '[4]4. PAU Readmissions Performance'!$A$9:$I$53,9,FALSE)</f>
        <v>5.80928E-2</v>
      </c>
      <c r="D21" s="97">
        <f>VLOOKUP($A21, '[4]3.Summary'!$A$8:$E$52,4,FALSE)</f>
        <v>8.6956735999999992</v>
      </c>
      <c r="E21" s="97">
        <f>VLOOKUP($A21, '[4]3.Summary'!$A$8:$E$52,5,FALSE)</f>
        <v>0.91344409999999998</v>
      </c>
      <c r="F21" s="94">
        <f>(D21*'Statewide PAU Revenue'!$C$53)+(E21*'Statewide PAU Revenue'!$D$53)</f>
        <v>8.641033688926667</v>
      </c>
    </row>
    <row r="22" spans="1:6" x14ac:dyDescent="0.25">
      <c r="A22" s="63">
        <v>210022</v>
      </c>
      <c r="B22" s="63" t="s">
        <v>81</v>
      </c>
      <c r="C22" s="86">
        <f>VLOOKUP(A22, '[4]4. PAU Readmissions Performance'!$A$9:$I$53,9,FALSE)</f>
        <v>5.4947900000000001E-2</v>
      </c>
      <c r="D22" s="97">
        <f>VLOOKUP($A22, '[4]3.Summary'!$A$8:$E$52,4,FALSE)</f>
        <v>5.0734056000000001</v>
      </c>
      <c r="E22" s="97">
        <f>VLOOKUP($A22, '[4]3.Summary'!$A$8:$E$52,5,FALSE)</f>
        <v>0.20744309999999999</v>
      </c>
      <c r="F22" s="94">
        <f>(D22*'Statewide PAU Revenue'!$C$53)+(E22*'Statewide PAU Revenue'!$D$53)</f>
        <v>5.0392411284579861</v>
      </c>
    </row>
    <row r="23" spans="1:6" x14ac:dyDescent="0.25">
      <c r="A23" s="63">
        <v>210023</v>
      </c>
      <c r="B23" s="63" t="s">
        <v>137</v>
      </c>
      <c r="C23" s="86">
        <f>VLOOKUP(A23, '[4]4. PAU Readmissions Performance'!$A$9:$I$53,9,FALSE)</f>
        <v>4.9646900000000001E-2</v>
      </c>
      <c r="D23" s="97">
        <f>VLOOKUP($A23, '[4]3.Summary'!$A$8:$E$52,4,FALSE)</f>
        <v>9.2599551000000009</v>
      </c>
      <c r="E23" s="97">
        <f>VLOOKUP($A23, '[4]3.Summary'!$A$8:$E$52,5,FALSE)</f>
        <v>0.53290839999999995</v>
      </c>
      <c r="F23" s="94">
        <f>(D23*'Statewide PAU Revenue'!$C$53)+(E23*'Statewide PAU Revenue'!$D$53)</f>
        <v>9.1986815208000028</v>
      </c>
    </row>
    <row r="24" spans="1:6" x14ac:dyDescent="0.25">
      <c r="A24" s="63">
        <v>210024</v>
      </c>
      <c r="B24" s="63" t="s">
        <v>138</v>
      </c>
      <c r="C24" s="86">
        <f>VLOOKUP(A24, '[4]4. PAU Readmissions Performance'!$A$9:$I$53,9,FALSE)</f>
        <v>5.52763E-2</v>
      </c>
      <c r="D24" s="97">
        <f>VLOOKUP($A24, '[4]3.Summary'!$A$8:$E$52,4,FALSE)</f>
        <v>20.167708000000001</v>
      </c>
      <c r="E24" s="97">
        <f>VLOOKUP($A24, '[4]3.Summary'!$A$8:$E$52,5,FALSE)</f>
        <v>2.6634036999999999</v>
      </c>
      <c r="F24" s="94">
        <f>(D24*'Statewide PAU Revenue'!$C$53)+(E24*'Statewide PAU Revenue'!$D$53)</f>
        <v>20.044808305207841</v>
      </c>
    </row>
    <row r="25" spans="1:6" x14ac:dyDescent="0.25">
      <c r="A25" s="63">
        <v>210027</v>
      </c>
      <c r="B25" s="63" t="s">
        <v>139</v>
      </c>
      <c r="C25" s="86">
        <f>VLOOKUP(A25, '[4]4. PAU Readmissions Performance'!$A$9:$I$53,9,FALSE)</f>
        <v>5.0596700000000001E-2</v>
      </c>
      <c r="D25" s="97">
        <f>VLOOKUP($A25, '[4]3.Summary'!$A$8:$E$52,4,FALSE)</f>
        <v>13.896895000000001</v>
      </c>
      <c r="E25" s="97">
        <f>VLOOKUP($A25, '[4]3.Summary'!$A$8:$E$52,5,FALSE)</f>
        <v>0.103626</v>
      </c>
      <c r="F25" s="94">
        <f>(D25*'Statewide PAU Revenue'!$C$53)+(E25*'Statewide PAU Revenue'!$D$53)</f>
        <v>13.800050902614984</v>
      </c>
    </row>
    <row r="26" spans="1:6" x14ac:dyDescent="0.25">
      <c r="A26" s="63">
        <v>210028</v>
      </c>
      <c r="B26" s="63" t="s">
        <v>140</v>
      </c>
      <c r="C26" s="86">
        <f>VLOOKUP(A26, '[4]4. PAU Readmissions Performance'!$A$9:$I$53,9,FALSE)</f>
        <v>4.8371699999999997E-2</v>
      </c>
      <c r="D26" s="97">
        <f>VLOOKUP($A26, '[4]3.Summary'!$A$8:$E$52,4,FALSE)</f>
        <v>12.974968000000001</v>
      </c>
      <c r="E26" s="97">
        <f>VLOOKUP($A26, '[4]3.Summary'!$A$8:$E$52,5,FALSE)</f>
        <v>0.1944939</v>
      </c>
      <c r="F26" s="94">
        <f>(D26*'Statewide PAU Revenue'!$C$53)+(E26*'Statewide PAU Revenue'!$D$53)</f>
        <v>12.885234849840522</v>
      </c>
    </row>
    <row r="27" spans="1:6" x14ac:dyDescent="0.25">
      <c r="A27" s="63">
        <v>210029</v>
      </c>
      <c r="B27" s="63" t="s">
        <v>141</v>
      </c>
      <c r="C27" s="86">
        <f>VLOOKUP(A27, '[4]4. PAU Readmissions Performance'!$A$9:$I$53,9,FALSE)</f>
        <v>4.9924000000000003E-2</v>
      </c>
      <c r="D27" s="97">
        <f>VLOOKUP($A27, '[4]3.Summary'!$A$8:$E$52,4,FALSE)</f>
        <v>21.822783000000001</v>
      </c>
      <c r="E27" s="97">
        <f>VLOOKUP($A27, '[4]3.Summary'!$A$8:$E$52,5,FALSE)</f>
        <v>1.4681831999999999</v>
      </c>
      <c r="F27" s="94">
        <f>(D27*'Statewide PAU Revenue'!$C$53)+(E27*'Statewide PAU Revenue'!$D$53)</f>
        <v>21.679871059018915</v>
      </c>
    </row>
    <row r="28" spans="1:6" x14ac:dyDescent="0.25">
      <c r="A28" s="63">
        <v>210030</v>
      </c>
      <c r="B28" s="63" t="s">
        <v>86</v>
      </c>
      <c r="C28" s="86">
        <f>VLOOKUP(A28, '[4]4. PAU Readmissions Performance'!$A$9:$I$53,9,FALSE)</f>
        <v>2.0138E-2</v>
      </c>
      <c r="D28" s="97">
        <f>VLOOKUP($A28, '[4]3.Summary'!$A$8:$E$52,4,FALSE)</f>
        <v>5.7157624</v>
      </c>
      <c r="E28" s="97">
        <f>VLOOKUP($A28, '[4]3.Summary'!$A$8:$E$52,5,FALSE)</f>
        <v>0</v>
      </c>
      <c r="F28" s="94">
        <f>(D28*'Statewide PAU Revenue'!$C$53)+(E28*'Statewide PAU Revenue'!$D$53)</f>
        <v>5.675631387511574</v>
      </c>
    </row>
    <row r="29" spans="1:6" x14ac:dyDescent="0.25">
      <c r="A29" s="63">
        <v>210032</v>
      </c>
      <c r="B29" s="63" t="s">
        <v>87</v>
      </c>
      <c r="C29" s="86">
        <f>VLOOKUP(A29, '[4]4. PAU Readmissions Performance'!$A$9:$I$53,9,FALSE)</f>
        <v>5.2362300000000001E-2</v>
      </c>
      <c r="D29" s="97">
        <f>VLOOKUP($A29, '[4]3.Summary'!$A$8:$E$52,4,FALSE)</f>
        <v>16.394926000000002</v>
      </c>
      <c r="E29" s="97">
        <f>VLOOKUP($A29, '[4]3.Summary'!$A$8:$E$52,5,FALSE)</f>
        <v>6.7252099999999995E-2</v>
      </c>
      <c r="F29" s="94">
        <f>(D29*'Statewide PAU Revenue'!$C$53)+(E29*'Statewide PAU Revenue'!$D$53)</f>
        <v>16.280287559957806</v>
      </c>
    </row>
    <row r="30" spans="1:6" x14ac:dyDescent="0.25">
      <c r="A30" s="63">
        <v>210033</v>
      </c>
      <c r="B30" s="63" t="s">
        <v>88</v>
      </c>
      <c r="C30" s="86">
        <f>VLOOKUP(A30, '[4]4. PAU Readmissions Performance'!$A$9:$I$53,9,FALSE)</f>
        <v>6.7264199999999996E-2</v>
      </c>
      <c r="D30" s="97">
        <f>VLOOKUP($A30, '[4]3.Summary'!$A$8:$E$52,4,FALSE)</f>
        <v>11.068963999999999</v>
      </c>
      <c r="E30" s="97">
        <f>VLOOKUP($A30, '[4]3.Summary'!$A$8:$E$52,5,FALSE)</f>
        <v>0.60963089999999998</v>
      </c>
      <c r="F30" s="94">
        <f>(D30*'Statewide PAU Revenue'!$C$53)+(E30*'Statewide PAU Revenue'!$D$53)</f>
        <v>10.995527842601872</v>
      </c>
    </row>
    <row r="31" spans="1:6" x14ac:dyDescent="0.25">
      <c r="A31" s="63">
        <v>210034</v>
      </c>
      <c r="B31" s="63" t="s">
        <v>142</v>
      </c>
      <c r="C31" s="86">
        <f>VLOOKUP(A31, '[4]4. PAU Readmissions Performance'!$A$9:$I$53,9,FALSE)</f>
        <v>7.2403999999999996E-2</v>
      </c>
      <c r="D31" s="97">
        <f>VLOOKUP($A31, '[4]3.Summary'!$A$8:$E$52,4,FALSE)</f>
        <v>21.86889</v>
      </c>
      <c r="E31" s="97">
        <f>VLOOKUP($A31, '[4]3.Summary'!$A$8:$E$52,5,FALSE)</f>
        <v>1.6134668999999999</v>
      </c>
      <c r="F31" s="94">
        <f>(D31*'Statewide PAU Revenue'!$C$53)+(E31*'Statewide PAU Revenue'!$D$53)</f>
        <v>21.726674389815706</v>
      </c>
    </row>
    <row r="32" spans="1:6" x14ac:dyDescent="0.25">
      <c r="A32" s="63">
        <v>210035</v>
      </c>
      <c r="B32" s="63" t="s">
        <v>143</v>
      </c>
      <c r="C32" s="86">
        <f>VLOOKUP(A32, '[4]4. PAU Readmissions Performance'!$A$9:$I$53,9,FALSE)</f>
        <v>5.6241399999999997E-2</v>
      </c>
      <c r="D32" s="97">
        <f>VLOOKUP($A32, '[4]3.Summary'!$A$8:$E$52,4,FALSE)</f>
        <v>8.9580787999999991</v>
      </c>
      <c r="E32" s="97">
        <f>VLOOKUP($A32, '[4]3.Summary'!$A$8:$E$52,5,FALSE)</f>
        <v>0.13195499999999999</v>
      </c>
      <c r="F32" s="94">
        <f>(D32*'Statewide PAU Revenue'!$C$53)+(E32*'Statewide PAU Revenue'!$D$53)</f>
        <v>8.8961095893060431</v>
      </c>
    </row>
    <row r="33" spans="1:6" x14ac:dyDescent="0.25">
      <c r="A33" s="63">
        <v>210037</v>
      </c>
      <c r="B33" s="63" t="s">
        <v>91</v>
      </c>
      <c r="C33" s="86">
        <f>VLOOKUP(A33, '[4]4. PAU Readmissions Performance'!$A$9:$I$53,9,FALSE)</f>
        <v>4.6976200000000003E-2</v>
      </c>
      <c r="D33" s="97">
        <f>VLOOKUP($A33, '[4]3.Summary'!$A$8:$E$52,4,FALSE)</f>
        <v>6.7487589000000003</v>
      </c>
      <c r="E33" s="97">
        <f>VLOOKUP($A33, '[4]3.Summary'!$A$8:$E$52,5,FALSE)</f>
        <v>0.38018479999999999</v>
      </c>
      <c r="F33" s="94">
        <f>(D33*'Statewide PAU Revenue'!$C$53)+(E33*'Statewide PAU Revenue'!$D$53)</f>
        <v>6.7040444229355645</v>
      </c>
    </row>
    <row r="34" spans="1:6" x14ac:dyDescent="0.25">
      <c r="A34" s="63">
        <v>210038</v>
      </c>
      <c r="B34" s="63" t="s">
        <v>92</v>
      </c>
      <c r="C34" s="86">
        <f>VLOOKUP(A34, '[4]4. PAU Readmissions Performance'!$A$9:$I$53,9,FALSE)</f>
        <v>4.4627699999999999E-2</v>
      </c>
      <c r="D34" s="97">
        <f>VLOOKUP($A34, '[4]3.Summary'!$A$8:$E$52,4,FALSE)</f>
        <v>25.0641</v>
      </c>
      <c r="E34" s="97">
        <f>VLOOKUP($A34, '[4]3.Summary'!$A$8:$E$52,5,FALSE)</f>
        <v>3.2786419000000002</v>
      </c>
      <c r="F34" s="94">
        <f>(D34*'Statewide PAU Revenue'!$C$53)+(E34*'Statewide PAU Revenue'!$D$53)</f>
        <v>24.911141841508808</v>
      </c>
    </row>
    <row r="35" spans="1:6" x14ac:dyDescent="0.25">
      <c r="A35" s="63">
        <v>210039</v>
      </c>
      <c r="B35" s="63" t="s">
        <v>93</v>
      </c>
      <c r="C35" s="86">
        <f>VLOOKUP(A35, '[4]4. PAU Readmissions Performance'!$A$9:$I$53,9,FALSE)</f>
        <v>4.8958099999999997E-2</v>
      </c>
      <c r="D35" s="97">
        <f>VLOOKUP($A35, '[4]3.Summary'!$A$8:$E$52,4,FALSE)</f>
        <v>8.4653451999999998</v>
      </c>
      <c r="E35" s="97">
        <f>VLOOKUP($A35, '[4]3.Summary'!$A$8:$E$52,5,FALSE)</f>
        <v>0.66300250000000005</v>
      </c>
      <c r="F35" s="94">
        <f>(D35*'Statewide PAU Revenue'!$C$53)+(E35*'Statewide PAU Revenue'!$D$53)</f>
        <v>8.4105640718809092</v>
      </c>
    </row>
    <row r="36" spans="1:6" x14ac:dyDescent="0.25">
      <c r="A36" s="63">
        <v>210040</v>
      </c>
      <c r="B36" s="63" t="s">
        <v>94</v>
      </c>
      <c r="C36" s="86">
        <f>VLOOKUP(A36, '[4]4. PAU Readmissions Performance'!$A$9:$I$53,9,FALSE)</f>
        <v>7.3670399999999997E-2</v>
      </c>
      <c r="D36" s="97">
        <f>VLOOKUP($A36, '[4]3.Summary'!$A$8:$E$52,4,FALSE)</f>
        <v>14.245392000000001</v>
      </c>
      <c r="E36" s="97">
        <f>VLOOKUP($A36, '[4]3.Summary'!$A$8:$E$52,5,FALSE)</f>
        <v>1.2683426</v>
      </c>
      <c r="F36" s="94">
        <f>(D36*'Statewide PAU Revenue'!$C$53)+(E36*'Statewide PAU Revenue'!$D$53)</f>
        <v>14.154278672487591</v>
      </c>
    </row>
    <row r="37" spans="1:6" x14ac:dyDescent="0.25">
      <c r="A37" s="63">
        <v>210043</v>
      </c>
      <c r="B37" s="63" t="s">
        <v>95</v>
      </c>
      <c r="C37" s="86">
        <f>VLOOKUP(A37, '[4]4. PAU Readmissions Performance'!$A$9:$I$53,9,FALSE)</f>
        <v>7.4106000000000005E-2</v>
      </c>
      <c r="D37" s="97">
        <f>VLOOKUP($A37, '[4]3.Summary'!$A$8:$E$52,4,FALSE)</f>
        <v>11.770927</v>
      </c>
      <c r="E37" s="97">
        <f>VLOOKUP($A37, '[4]3.Summary'!$A$8:$E$52,5,FALSE)</f>
        <v>1.1333591000000001</v>
      </c>
      <c r="F37" s="94">
        <f>(D37*'Statewide PAU Revenue'!$C$53)+(E37*'Statewide PAU Revenue'!$D$53)</f>
        <v>11.696239435968057</v>
      </c>
    </row>
    <row r="38" spans="1:6" x14ac:dyDescent="0.25">
      <c r="A38" s="63">
        <v>210044</v>
      </c>
      <c r="B38" s="63" t="s">
        <v>96</v>
      </c>
      <c r="C38" s="86">
        <f>VLOOKUP(A38, '[4]4. PAU Readmissions Performance'!$A$9:$I$53,9,FALSE)</f>
        <v>4.6764100000000003E-2</v>
      </c>
      <c r="D38" s="97">
        <f>VLOOKUP($A38, '[4]3.Summary'!$A$8:$E$52,4,FALSE)</f>
        <v>8.8242823000000001</v>
      </c>
      <c r="E38" s="97">
        <f>VLOOKUP($A38, '[4]3.Summary'!$A$8:$E$52,5,FALSE)</f>
        <v>1.134511</v>
      </c>
      <c r="F38" s="94">
        <f>(D38*'Statewide PAU Revenue'!$C$53)+(E38*'Statewide PAU Revenue'!$D$53)</f>
        <v>8.7702915483771822</v>
      </c>
    </row>
    <row r="39" spans="1:6" x14ac:dyDescent="0.25">
      <c r="A39" s="63">
        <v>210045</v>
      </c>
      <c r="B39" s="63" t="s">
        <v>97</v>
      </c>
      <c r="C39" s="86"/>
      <c r="D39" s="97"/>
      <c r="E39" s="97"/>
      <c r="F39" s="94">
        <v>0</v>
      </c>
    </row>
    <row r="40" spans="1:6" x14ac:dyDescent="0.25">
      <c r="A40" s="63">
        <v>210048</v>
      </c>
      <c r="B40" s="63" t="s">
        <v>144</v>
      </c>
      <c r="C40" s="86">
        <f>VLOOKUP(A40, '[4]4. PAU Readmissions Performance'!$A$9:$I$53,9,FALSE)</f>
        <v>7.0407399999999995E-2</v>
      </c>
      <c r="D40" s="97">
        <f>VLOOKUP($A40, '[4]3.Summary'!$A$8:$E$52,4,FALSE)</f>
        <v>7.0319121999999998</v>
      </c>
      <c r="E40" s="97">
        <f>VLOOKUP($A40, '[4]3.Summary'!$A$8:$E$52,5,FALSE)</f>
        <v>0.33156099999999999</v>
      </c>
      <c r="F40" s="94">
        <f>(D40*'Statewide PAU Revenue'!$C$53)+(E40*'Statewide PAU Revenue'!$D$53)</f>
        <v>6.9848682784954876</v>
      </c>
    </row>
    <row r="41" spans="1:6" x14ac:dyDescent="0.25">
      <c r="A41" s="63">
        <v>210049</v>
      </c>
      <c r="B41" s="63" t="s">
        <v>145</v>
      </c>
      <c r="C41" s="86">
        <f>VLOOKUP(A41, '[4]4. PAU Readmissions Performance'!$A$9:$I$53,9,FALSE)</f>
        <v>6.6703100000000001E-2</v>
      </c>
      <c r="D41" s="97">
        <f>VLOOKUP($A41, '[4]3.Summary'!$A$8:$E$52,4,FALSE)</f>
        <v>10.346336000000001</v>
      </c>
      <c r="E41" s="97">
        <f>VLOOKUP($A41, '[4]3.Summary'!$A$8:$E$52,5,FALSE)</f>
        <v>0.90687280000000003</v>
      </c>
      <c r="F41" s="94">
        <f>(D41*'Statewide PAU Revenue'!$C$53)+(E41*'Statewide PAU Revenue'!$D$53)</f>
        <v>10.280060464200396</v>
      </c>
    </row>
    <row r="42" spans="1:6" x14ac:dyDescent="0.25">
      <c r="A42" s="63">
        <v>210051</v>
      </c>
      <c r="B42" s="63" t="s">
        <v>100</v>
      </c>
      <c r="C42" s="86">
        <f>VLOOKUP(A42, '[4]4. PAU Readmissions Performance'!$A$9:$I$53,9,FALSE)</f>
        <v>6.5849199999999997E-2</v>
      </c>
      <c r="D42" s="97">
        <f>VLOOKUP($A42, '[4]3.Summary'!$A$8:$E$52,4,FALSE)</f>
        <v>12.628335999999999</v>
      </c>
      <c r="E42" s="97">
        <f>VLOOKUP($A42, '[4]3.Summary'!$A$8:$E$52,5,FALSE)</f>
        <v>8.3534999999999998E-2</v>
      </c>
      <c r="F42" s="94">
        <f>(D42*'Statewide PAU Revenue'!$C$53)+(E42*'Statewide PAU Revenue'!$D$53)</f>
        <v>12.540257537257073</v>
      </c>
    </row>
    <row r="43" spans="1:6" x14ac:dyDescent="0.25">
      <c r="A43" s="63">
        <v>210055</v>
      </c>
      <c r="B43" s="63" t="s">
        <v>146</v>
      </c>
      <c r="C43" s="86"/>
      <c r="D43" s="97"/>
      <c r="E43" s="97"/>
      <c r="F43" s="94">
        <v>0</v>
      </c>
    </row>
    <row r="44" spans="1:6" x14ac:dyDescent="0.25">
      <c r="A44" s="63">
        <v>210056</v>
      </c>
      <c r="B44" s="63" t="s">
        <v>147</v>
      </c>
      <c r="C44" s="86">
        <f>VLOOKUP(A44, '[4]4. PAU Readmissions Performance'!$A$9:$I$53,9,FALSE)</f>
        <v>8.4979799999999994E-2</v>
      </c>
      <c r="D44" s="97">
        <f>VLOOKUP($A44, '[4]3.Summary'!$A$8:$E$52,4,FALSE)</f>
        <v>18.014951</v>
      </c>
      <c r="E44" s="97">
        <f>VLOOKUP($A44, '[4]3.Summary'!$A$8:$E$52,5,FALSE)</f>
        <v>1.4553579999999999</v>
      </c>
      <c r="F44" s="94">
        <f>(D44*'Statewide PAU Revenue'!$C$53)+(E44*'Statewide PAU Revenue'!$D$53)</f>
        <v>17.898684229798661</v>
      </c>
    </row>
    <row r="45" spans="1:6" x14ac:dyDescent="0.25">
      <c r="A45" s="63">
        <v>210057</v>
      </c>
      <c r="B45" s="63" t="s">
        <v>102</v>
      </c>
      <c r="C45" s="86">
        <f>VLOOKUP(A45, '[4]4. PAU Readmissions Performance'!$A$9:$I$53,9,FALSE)</f>
        <v>5.3292300000000001E-2</v>
      </c>
      <c r="D45" s="97">
        <f>VLOOKUP($A45, '[4]3.Summary'!$A$8:$E$52,4,FALSE)</f>
        <v>6.7634292</v>
      </c>
      <c r="E45" s="97">
        <f>VLOOKUP($A45, '[4]3.Summary'!$A$8:$E$52,5,FALSE)</f>
        <v>0.55676939999999997</v>
      </c>
      <c r="F45" s="94">
        <f>(D45*'Statewide PAU Revenue'!$C$53)+(E45*'Statewide PAU Revenue'!$D$53)</f>
        <v>6.7198515414980982</v>
      </c>
    </row>
    <row r="46" spans="1:6" x14ac:dyDescent="0.25">
      <c r="A46" s="63">
        <v>210058</v>
      </c>
      <c r="B46" s="63" t="s">
        <v>103</v>
      </c>
      <c r="C46" s="86">
        <f>VLOOKUP(A46, '[4]4. PAU Readmissions Performance'!$A$9:$I$53,9,FALSE)</f>
        <v>3.0334699999999999E-2</v>
      </c>
      <c r="D46" s="97" t="str">
        <f>VLOOKUP($A46, '[4]3.Summary'!$A$8:$E$52,4,FALSE)</f>
        <v>.</v>
      </c>
      <c r="E46" s="97" t="str">
        <f>VLOOKUP($A46, '[4]3.Summary'!$A$8:$E$52,5,FALSE)</f>
        <v>.</v>
      </c>
      <c r="F46" s="94">
        <v>0</v>
      </c>
    </row>
    <row r="47" spans="1:6" x14ac:dyDescent="0.25">
      <c r="A47" s="63">
        <v>210060</v>
      </c>
      <c r="B47" s="63" t="s">
        <v>148</v>
      </c>
      <c r="C47" s="86">
        <f>VLOOKUP(A47, '[4]4. PAU Readmissions Performance'!$A$9:$I$53,9,FALSE)</f>
        <v>4.2449500000000001E-2</v>
      </c>
      <c r="D47" s="97">
        <f>VLOOKUP($A47, '[4]3.Summary'!$A$8:$E$52,4,FALSE)</f>
        <v>13.960729000000001</v>
      </c>
      <c r="E47" s="97">
        <f>VLOOKUP($A47, '[4]3.Summary'!$A$8:$E$52,5,FALSE)</f>
        <v>0</v>
      </c>
      <c r="F47" s="94">
        <f>(D47*'Statewide PAU Revenue'!$C$53)+(E47*'Statewide PAU Revenue'!$D$53)</f>
        <v>13.862709147067253</v>
      </c>
    </row>
    <row r="48" spans="1:6" x14ac:dyDescent="0.25">
      <c r="A48" s="63">
        <v>210061</v>
      </c>
      <c r="B48" s="63" t="s">
        <v>105</v>
      </c>
      <c r="C48" s="86">
        <f>VLOOKUP(A48, '[4]4. PAU Readmissions Performance'!$A$9:$I$53,9,FALSE)</f>
        <v>3.5684899999999999E-2</v>
      </c>
      <c r="D48" s="97">
        <f>VLOOKUP($A48, '[4]3.Summary'!$A$8:$E$52,4,FALSE)</f>
        <v>11.162163</v>
      </c>
      <c r="E48" s="97">
        <f>VLOOKUP($A48, '[4]3.Summary'!$A$8:$E$52,5,FALSE)</f>
        <v>0.47095209999999998</v>
      </c>
      <c r="F48" s="94">
        <f>(D48*'Statewide PAU Revenue'!$C$53)+(E48*'Statewide PAU Revenue'!$D$53)</f>
        <v>11.087098802414689</v>
      </c>
    </row>
    <row r="49" spans="1:6" x14ac:dyDescent="0.25">
      <c r="A49" s="63">
        <v>210062</v>
      </c>
      <c r="B49" s="63" t="s">
        <v>149</v>
      </c>
      <c r="C49" s="86">
        <f>VLOOKUP(A49, '[4]4. PAU Readmissions Performance'!$A$9:$I$53,9,FALSE)</f>
        <v>6.8709999999999993E-2</v>
      </c>
      <c r="D49" s="97">
        <f>VLOOKUP($A49, '[4]3.Summary'!$A$8:$E$52,4,FALSE)</f>
        <v>12.672867</v>
      </c>
      <c r="E49" s="97">
        <f>VLOOKUP($A49, '[4]3.Summary'!$A$8:$E$52,5,FALSE)</f>
        <v>3.6128100000000003E-2</v>
      </c>
      <c r="F49" s="94">
        <f>(D49*'Statewide PAU Revenue'!$C$53)+(E49*'Statewide PAU Revenue'!$D$53)</f>
        <v>12.584143030891543</v>
      </c>
    </row>
    <row r="50" spans="1:6" x14ac:dyDescent="0.25">
      <c r="A50" s="63">
        <v>210063</v>
      </c>
      <c r="B50" s="63" t="s">
        <v>150</v>
      </c>
      <c r="C50" s="86">
        <f>VLOOKUP(A50, '[4]4. PAU Readmissions Performance'!$A$9:$I$53,9,FALSE)</f>
        <v>5.8604200000000002E-2</v>
      </c>
      <c r="D50" s="97">
        <f>VLOOKUP($A50, '[4]3.Summary'!$A$8:$E$52,4,FALSE)</f>
        <v>10.268079999999999</v>
      </c>
      <c r="E50" s="97">
        <f>VLOOKUP($A50, '[4]3.Summary'!$A$8:$E$52,5,FALSE)</f>
        <v>1.0384260000000001</v>
      </c>
      <c r="F50" s="94">
        <f>(D50*'Statewide PAU Revenue'!$C$53)+(E50*'Statewide PAU Revenue'!$D$53)</f>
        <v>10.20327755825787</v>
      </c>
    </row>
    <row r="51" spans="1:6" x14ac:dyDescent="0.25">
      <c r="A51" s="63">
        <v>210064</v>
      </c>
      <c r="B51" s="63" t="s">
        <v>108</v>
      </c>
      <c r="C51" s="86">
        <f>VLOOKUP(A51, '[4]4. PAU Readmissions Performance'!$A$9:$I$53,9,FALSE)</f>
        <v>9.6350599999999995E-2</v>
      </c>
      <c r="D51" s="97" t="str">
        <f>VLOOKUP($A51, '[4]3.Summary'!$A$8:$E$52,4,FALSE)</f>
        <v>.</v>
      </c>
      <c r="E51" s="97" t="str">
        <f>VLOOKUP($A51, '[4]3.Summary'!$A$8:$E$52,5,FALSE)</f>
        <v>.</v>
      </c>
      <c r="F51" s="94">
        <v>0</v>
      </c>
    </row>
    <row r="52" spans="1:6" x14ac:dyDescent="0.25">
      <c r="A52" s="63">
        <v>210065</v>
      </c>
      <c r="B52" s="63" t="s">
        <v>109</v>
      </c>
      <c r="C52" s="86">
        <f>VLOOKUP(A52, '[4]4. PAU Readmissions Performance'!$A$9:$I$53,9,FALSE)</f>
        <v>5.3469099999999999E-2</v>
      </c>
      <c r="D52" s="97">
        <f>VLOOKUP($A52, '[4]3.Summary'!$A$8:$E$52,4,FALSE)</f>
        <v>8.7469695000000005</v>
      </c>
      <c r="E52" s="97">
        <f>VLOOKUP($A52, '[4]3.Summary'!$A$8:$E$52,5,FALSE)</f>
        <v>0.30650430000000001</v>
      </c>
      <c r="F52" s="94">
        <f>(D52*'Statewide PAU Revenue'!$C$53)+(E52*'Statewide PAU Revenue'!$D$53)</f>
        <v>8.6877080418348882</v>
      </c>
    </row>
    <row r="53" spans="1:6" x14ac:dyDescent="0.25">
      <c r="A53" s="64" t="s">
        <v>151</v>
      </c>
      <c r="B53" s="64" t="s">
        <v>152</v>
      </c>
      <c r="C53" s="111">
        <f>VLOOKUP(A53, '[4]4. PAU Readmissions Performance'!$A$9:$I$53,9,FALSE)</f>
        <v>5.2941500000000002E-2</v>
      </c>
      <c r="D53" s="112">
        <f>VLOOKUP($A53, '[4]3.Summary'!$A$8:$E$52,4,FALSE)</f>
        <v>11.458326</v>
      </c>
      <c r="E53" s="112">
        <f>VLOOKUP($A53, '[4]3.Summary'!$A$8:$E$52,5,FALSE)</f>
        <v>0.71370160000000005</v>
      </c>
      <c r="F53" s="113">
        <f>(D53*'Statewide PAU Revenue'!$C$53)+(E53*'Statewide PAU Revenue'!$D$53)</f>
        <v>11.382886780206706</v>
      </c>
    </row>
    <row r="54" spans="1:6" x14ac:dyDescent="0.25">
      <c r="A54" s="89"/>
      <c r="B54" s="89"/>
      <c r="C54" s="89"/>
      <c r="D54" s="63"/>
      <c r="E54" s="63"/>
      <c r="F54" s="63"/>
    </row>
    <row r="55" spans="1:6" x14ac:dyDescent="0.25">
      <c r="F55" s="117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E5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4" sqref="A44:XFD44"/>
    </sheetView>
  </sheetViews>
  <sheetFormatPr defaultColWidth="9.140625" defaultRowHeight="15" x14ac:dyDescent="0.25"/>
  <cols>
    <col min="1" max="1" width="13" customWidth="1"/>
    <col min="2" max="2" width="23" customWidth="1"/>
    <col min="3" max="3" width="20" customWidth="1"/>
    <col min="4" max="4" width="12.140625" customWidth="1"/>
    <col min="5" max="5" width="27" customWidth="1"/>
    <col min="6" max="6" width="18" bestFit="1" customWidth="1"/>
    <col min="7" max="7" width="18" customWidth="1"/>
    <col min="8" max="8" width="16.28515625" bestFit="1" customWidth="1"/>
    <col min="10" max="10" width="9.140625" customWidth="1"/>
    <col min="12" max="13" width="20.42578125" bestFit="1" customWidth="1"/>
  </cols>
  <sheetData>
    <row r="1" spans="1:13" x14ac:dyDescent="0.25">
      <c r="A1" t="s">
        <v>202</v>
      </c>
    </row>
    <row r="2" spans="1:13" ht="30" x14ac:dyDescent="0.25">
      <c r="A2" s="101" t="s">
        <v>130</v>
      </c>
      <c r="B2" s="101" t="s">
        <v>58</v>
      </c>
      <c r="C2" s="101" t="s">
        <v>153</v>
      </c>
      <c r="D2" s="101" t="s">
        <v>155</v>
      </c>
      <c r="E2" s="101" t="s">
        <v>154</v>
      </c>
      <c r="F2" s="101" t="s">
        <v>128</v>
      </c>
      <c r="G2" s="101" t="s">
        <v>157</v>
      </c>
      <c r="H2" s="101" t="s">
        <v>129</v>
      </c>
      <c r="I2" s="103" t="s">
        <v>1</v>
      </c>
      <c r="J2" s="103" t="s">
        <v>169</v>
      </c>
      <c r="K2" s="103" t="s">
        <v>170</v>
      </c>
      <c r="L2" s="103" t="s">
        <v>178</v>
      </c>
      <c r="M2" s="103" t="s">
        <v>179</v>
      </c>
    </row>
    <row r="3" spans="1:13" x14ac:dyDescent="0.25">
      <c r="A3" s="63">
        <v>210001</v>
      </c>
      <c r="B3" s="63" t="s">
        <v>67</v>
      </c>
      <c r="C3" s="77">
        <f>IFERROR(VLOOKUP(A3,'[5]Summary - All Payers'!$A$7:$X$51,17,FALSE),0)</f>
        <v>25044761.07</v>
      </c>
      <c r="D3" s="77">
        <f>IFERROR(VLOOKUP(A3,'[5]Summary - All Payers'!$A$7:$X$51,18,FALSE),0)</f>
        <v>167610.51999999999</v>
      </c>
      <c r="E3" s="77">
        <f>IFERROR(VLOOKUP(A3,'[5]Summary - All Payers'!$A$7:$X$51,16,FALSE),0)</f>
        <v>27751950.670000002</v>
      </c>
      <c r="F3" s="96">
        <f>C3+D3+E3</f>
        <v>52964322.260000005</v>
      </c>
      <c r="G3" s="96">
        <f>C3+D3</f>
        <v>25212371.59</v>
      </c>
      <c r="H3" s="77">
        <f>IFERROR(VLOOKUP(A3,'[5]Summary - All Payers'!$A$7:$X$51,20,FALSE),0)</f>
        <v>422214081.51999998</v>
      </c>
      <c r="I3" s="107"/>
      <c r="J3" s="107"/>
      <c r="K3" s="107"/>
      <c r="L3" s="108"/>
      <c r="M3" s="108"/>
    </row>
    <row r="4" spans="1:13" x14ac:dyDescent="0.25">
      <c r="A4" s="63">
        <v>210002</v>
      </c>
      <c r="B4" s="63" t="s">
        <v>60</v>
      </c>
      <c r="C4" s="77">
        <f>IFERROR(VLOOKUP(A4,'[5]Summary - All Payers'!$A$7:$X$51,17,FALSE),0)</f>
        <v>38256111.600000001</v>
      </c>
      <c r="D4" s="77">
        <f>IFERROR(VLOOKUP(A4,'[5]Summary - All Payers'!$A$7:$X$51,18,FALSE),0)</f>
        <v>996839.1</v>
      </c>
      <c r="E4" s="77">
        <f>IFERROR(VLOOKUP(A4,'[5]Summary - All Payers'!$A$7:$X$51,16,FALSE),0)</f>
        <v>86962190.650000006</v>
      </c>
      <c r="F4" s="96">
        <f t="shared" ref="F4:F50" si="0">C4+D4+E4</f>
        <v>126215141.35000001</v>
      </c>
      <c r="G4" s="96">
        <f t="shared" ref="G4:G40" si="1">C4+D4</f>
        <v>39252950.700000003</v>
      </c>
      <c r="H4" s="77">
        <f>IFERROR(VLOOKUP(A4,'[5]Summary - All Payers'!$A$7:$X$51,20,FALSE),0)</f>
        <v>2073822088.1800001</v>
      </c>
      <c r="I4" s="107"/>
      <c r="J4" s="107"/>
      <c r="K4" s="107"/>
      <c r="L4" s="108"/>
      <c r="M4" s="108"/>
    </row>
    <row r="5" spans="1:13" x14ac:dyDescent="0.25">
      <c r="A5" s="63">
        <v>210003</v>
      </c>
      <c r="B5" s="63" t="s">
        <v>131</v>
      </c>
      <c r="C5" s="77">
        <f>IFERROR(VLOOKUP(A5,'[5]Summary - All Payers'!$A$7:$X$51,17,FALSE),0)</f>
        <v>21905389.649999999</v>
      </c>
      <c r="D5" s="77">
        <v>0</v>
      </c>
      <c r="E5" s="77">
        <f>IFERROR(VLOOKUP(A5,'[5]Summary - All Payers'!$A$7:$X$51,16,FALSE),0)</f>
        <v>25798459.210000001</v>
      </c>
      <c r="F5" s="96">
        <f t="shared" si="0"/>
        <v>47703848.859999999</v>
      </c>
      <c r="G5" s="96">
        <f t="shared" si="1"/>
        <v>21905389.649999999</v>
      </c>
      <c r="H5" s="77">
        <f>IFERROR(VLOOKUP(A5,'[5]Summary - All Payers'!$A$7:$X$51,20,FALSE),0)</f>
        <v>408511150.76999998</v>
      </c>
      <c r="I5" s="107"/>
      <c r="J5" s="107"/>
      <c r="K5" s="107"/>
      <c r="L5" s="108"/>
      <c r="M5" s="108"/>
    </row>
    <row r="6" spans="1:13" x14ac:dyDescent="0.25">
      <c r="A6" s="63">
        <v>210004</v>
      </c>
      <c r="B6" s="63" t="s">
        <v>68</v>
      </c>
      <c r="C6" s="77">
        <f>IFERROR(VLOOKUP(A6,'[5]Summary - All Payers'!$A$7:$X$51,17,FALSE),0)</f>
        <v>27042887.77</v>
      </c>
      <c r="D6" s="77">
        <f>IFERROR(VLOOKUP(A6,'[5]Summary - All Payers'!$A$7:$X$51,18,FALSE),0)</f>
        <v>67979.44</v>
      </c>
      <c r="E6" s="77">
        <f>IFERROR(VLOOKUP(A6,'[5]Summary - All Payers'!$A$7:$X$51,16,FALSE),0)</f>
        <v>36940084.630000003</v>
      </c>
      <c r="F6" s="96">
        <f t="shared" si="0"/>
        <v>64050951.840000004</v>
      </c>
      <c r="G6" s="96">
        <f t="shared" si="1"/>
        <v>27110867.210000001</v>
      </c>
      <c r="H6" s="77">
        <f>IFERROR(VLOOKUP(A6,'[5]Summary - All Payers'!$A$7:$X$51,20,FALSE),0)</f>
        <v>586909782.08000004</v>
      </c>
      <c r="I6" s="107"/>
      <c r="J6" s="107"/>
      <c r="K6" s="107"/>
      <c r="L6" s="108"/>
      <c r="M6" s="108"/>
    </row>
    <row r="7" spans="1:13" x14ac:dyDescent="0.25">
      <c r="A7" s="63">
        <v>210005</v>
      </c>
      <c r="B7" s="63" t="s">
        <v>69</v>
      </c>
      <c r="C7" s="77">
        <f>IFERROR(VLOOKUP(A7,'[5]Summary - All Payers'!$A$7:$X$51,17,FALSE),0)</f>
        <v>21115155.510000002</v>
      </c>
      <c r="D7" s="77">
        <f>IFERROR(VLOOKUP(A7,'[5]Summary - All Payers'!$A$7:$X$51,18,FALSE),0)</f>
        <v>84403.86</v>
      </c>
      <c r="E7" s="77">
        <f>IFERROR(VLOOKUP(A7,'[5]Summary - All Payers'!$A$7:$X$51,16,FALSE),0)</f>
        <v>29816275.02</v>
      </c>
      <c r="F7" s="96">
        <f t="shared" si="0"/>
        <v>51015834.390000001</v>
      </c>
      <c r="G7" s="96">
        <f t="shared" si="1"/>
        <v>21199559.370000001</v>
      </c>
      <c r="H7" s="77">
        <f>IFERROR(VLOOKUP(A7,'[5]Summary - All Payers'!$A$7:$X$51,20,FALSE),0)</f>
        <v>406127356.18000001</v>
      </c>
      <c r="I7" s="107"/>
      <c r="J7" s="107"/>
      <c r="K7" s="107"/>
      <c r="L7" s="108"/>
      <c r="M7" s="108"/>
    </row>
    <row r="8" spans="1:13" x14ac:dyDescent="0.25">
      <c r="A8" s="63">
        <v>210006</v>
      </c>
      <c r="B8" s="63" t="s">
        <v>70</v>
      </c>
      <c r="C8" s="77">
        <f>IFERROR(VLOOKUP(A8,'[5]Summary - All Payers'!$A$7:$X$51,17,FALSE),0)</f>
        <v>8651499.9700000007</v>
      </c>
      <c r="D8" s="77">
        <v>0</v>
      </c>
      <c r="E8" s="77">
        <f>IFERROR(VLOOKUP(A8,'[5]Summary - All Payers'!$A$7:$X$51,16,FALSE),0)</f>
        <v>12043648.33</v>
      </c>
      <c r="F8" s="96">
        <f t="shared" si="0"/>
        <v>20695148.300000001</v>
      </c>
      <c r="G8" s="96">
        <f t="shared" si="1"/>
        <v>8651499.9700000007</v>
      </c>
      <c r="H8" s="77">
        <f>IFERROR(VLOOKUP(A8,'[5]Summary - All Payers'!$A$7:$X$51,20,FALSE),0)</f>
        <v>120003936.84</v>
      </c>
      <c r="I8" s="107"/>
      <c r="J8" s="107"/>
      <c r="K8" s="107"/>
      <c r="L8" s="108"/>
      <c r="M8" s="108"/>
    </row>
    <row r="9" spans="1:13" x14ac:dyDescent="0.25">
      <c r="A9" s="63">
        <v>210008</v>
      </c>
      <c r="B9" s="63" t="s">
        <v>71</v>
      </c>
      <c r="C9" s="77">
        <f>IFERROR(VLOOKUP(A9,'[5]Summary - All Payers'!$A$7:$X$51,17,FALSE),0)</f>
        <v>13890195.07</v>
      </c>
      <c r="D9" s="77">
        <v>0</v>
      </c>
      <c r="E9" s="77">
        <f>IFERROR(VLOOKUP(A9,'[5]Summary - All Payers'!$A$7:$X$51,16,FALSE),0)</f>
        <v>18178044.25</v>
      </c>
      <c r="F9" s="96">
        <f t="shared" si="0"/>
        <v>32068239.32</v>
      </c>
      <c r="G9" s="96">
        <f t="shared" si="1"/>
        <v>13890195.07</v>
      </c>
      <c r="H9" s="77">
        <f>IFERROR(VLOOKUP(A9,'[5]Summary - All Payers'!$A$7:$X$51,20,FALSE),0)</f>
        <v>641483259.13999999</v>
      </c>
      <c r="I9" s="107"/>
      <c r="J9" s="107"/>
      <c r="K9" s="107"/>
      <c r="L9" s="108"/>
      <c r="M9" s="108"/>
    </row>
    <row r="10" spans="1:13" x14ac:dyDescent="0.25">
      <c r="A10" s="63">
        <v>210009</v>
      </c>
      <c r="B10" s="63" t="s">
        <v>72</v>
      </c>
      <c r="C10" s="77">
        <f>IFERROR(VLOOKUP(A10,'[5]Summary - All Payers'!$A$7:$X$51,17,FALSE),0)</f>
        <v>67415323.420000002</v>
      </c>
      <c r="D10" s="77">
        <f>IFERROR(VLOOKUP(A10,'[5]Summary - All Payers'!$A$7:$X$51,18,FALSE),0)</f>
        <v>1703433.45</v>
      </c>
      <c r="E10" s="77">
        <f>IFERROR(VLOOKUP(A10,'[5]Summary - All Payers'!$A$7:$X$51,16,FALSE),0)</f>
        <v>152262089.34</v>
      </c>
      <c r="F10" s="96">
        <f t="shared" si="0"/>
        <v>221380846.21000001</v>
      </c>
      <c r="G10" s="96">
        <f t="shared" si="1"/>
        <v>69118756.870000005</v>
      </c>
      <c r="H10" s="77">
        <f>IFERROR(VLOOKUP(A10,'[5]Summary - All Payers'!$A$7:$X$51,20,FALSE),0)</f>
        <v>2806707479.4299998</v>
      </c>
      <c r="I10" s="107"/>
      <c r="J10" s="107"/>
      <c r="K10" s="107"/>
      <c r="L10" s="108"/>
      <c r="M10" s="108"/>
    </row>
    <row r="11" spans="1:13" x14ac:dyDescent="0.25">
      <c r="A11" s="63">
        <v>210010</v>
      </c>
      <c r="B11" s="63" t="s">
        <v>73</v>
      </c>
      <c r="C11" s="77">
        <f>IFERROR(VLOOKUP(A11,'[5]Summary - All Payers'!$A$7:$X$51,17,FALSE),0)</f>
        <v>0</v>
      </c>
      <c r="D11" s="77">
        <f>IFERROR(VLOOKUP(A11,'[5]Summary - All Payers'!$A$7:$X$51,18,FALSE),0)</f>
        <v>0</v>
      </c>
      <c r="E11" s="77">
        <f>IFERROR(VLOOKUP(A11,'[5]Summary - All Payers'!$A$7:$X$51,16,FALSE),0)</f>
        <v>0</v>
      </c>
      <c r="F11" s="96">
        <f t="shared" si="0"/>
        <v>0</v>
      </c>
      <c r="G11" s="96">
        <f t="shared" si="1"/>
        <v>0</v>
      </c>
      <c r="H11" s="77">
        <f>IFERROR(VLOOKUP(A11,'[5]Summary - All Payers'!$A$7:$X$51,20,FALSE),0)</f>
        <v>0</v>
      </c>
      <c r="I11" s="107"/>
      <c r="J11" s="107"/>
      <c r="K11" s="107"/>
      <c r="L11" s="108"/>
      <c r="M11" s="108"/>
    </row>
    <row r="12" spans="1:13" x14ac:dyDescent="0.25">
      <c r="A12" s="63">
        <v>210011</v>
      </c>
      <c r="B12" s="63" t="s">
        <v>132</v>
      </c>
      <c r="C12" s="77">
        <f>IFERROR(VLOOKUP(A12,'[5]Summary - All Payers'!$A$7:$X$51,17,FALSE),0)</f>
        <v>24030169.890000001</v>
      </c>
      <c r="D12" s="77">
        <f>IFERROR(VLOOKUP(A12,'[5]Summary - All Payers'!$A$7:$X$51,18,FALSE),0)</f>
        <v>248617.95</v>
      </c>
      <c r="E12" s="77">
        <f>IFERROR(VLOOKUP(A12,'[5]Summary - All Payers'!$A$7:$X$51,16,FALSE),0)</f>
        <v>34249615.759999998</v>
      </c>
      <c r="F12" s="96">
        <f t="shared" si="0"/>
        <v>58528403.599999994</v>
      </c>
      <c r="G12" s="96">
        <f t="shared" si="1"/>
        <v>24278787.84</v>
      </c>
      <c r="H12" s="77">
        <f>IFERROR(VLOOKUP(A12,'[5]Summary - All Payers'!$A$7:$X$51,20,FALSE),0)</f>
        <v>508230462.48000002</v>
      </c>
      <c r="I12" s="107"/>
      <c r="J12" s="107"/>
      <c r="K12" s="107"/>
      <c r="L12" s="108"/>
      <c r="M12" s="108"/>
    </row>
    <row r="13" spans="1:13" x14ac:dyDescent="0.25">
      <c r="A13" s="63">
        <v>210012</v>
      </c>
      <c r="B13" s="63" t="s">
        <v>75</v>
      </c>
      <c r="C13" s="77">
        <f>IFERROR(VLOOKUP(A13,'[5]Summary - All Payers'!$A$7:$X$51,17,FALSE),0)</f>
        <v>31272178.800000001</v>
      </c>
      <c r="D13" s="77">
        <f>IFERROR(VLOOKUP(A13,'[5]Summary - All Payers'!$A$7:$X$51,18,FALSE),0)</f>
        <v>918780.29</v>
      </c>
      <c r="E13" s="77">
        <f>IFERROR(VLOOKUP(A13,'[5]Summary - All Payers'!$A$7:$X$51,16,FALSE),0)</f>
        <v>55501447.899999999</v>
      </c>
      <c r="F13" s="96">
        <f t="shared" si="0"/>
        <v>87692406.989999995</v>
      </c>
      <c r="G13" s="96">
        <f t="shared" si="1"/>
        <v>32190959.09</v>
      </c>
      <c r="H13" s="77">
        <f>IFERROR(VLOOKUP(A13,'[5]Summary - All Payers'!$A$7:$X$51,20,FALSE),0)</f>
        <v>943021608.40999997</v>
      </c>
      <c r="I13" s="107"/>
      <c r="J13" s="107"/>
      <c r="K13" s="107"/>
      <c r="L13" s="108"/>
      <c r="M13" s="108"/>
    </row>
    <row r="14" spans="1:13" x14ac:dyDescent="0.25">
      <c r="A14" s="63">
        <v>210013</v>
      </c>
      <c r="B14" s="63" t="s">
        <v>76</v>
      </c>
      <c r="C14" s="77">
        <f>IFERROR(VLOOKUP(A14,'[5]Summary - All Payers'!$A$7:$X$51,17,FALSE),0)</f>
        <v>0</v>
      </c>
      <c r="D14" s="77">
        <f>IFERROR(VLOOKUP(A14,'[5]Summary - All Payers'!$A$7:$X$51,18,FALSE),0)</f>
        <v>0</v>
      </c>
      <c r="E14" s="77">
        <f>IFERROR(VLOOKUP(A14,'[5]Summary - All Payers'!$A$7:$X$51,16,FALSE),0)</f>
        <v>0</v>
      </c>
      <c r="F14" s="96">
        <f t="shared" si="0"/>
        <v>0</v>
      </c>
      <c r="G14" s="96">
        <f t="shared" si="1"/>
        <v>0</v>
      </c>
      <c r="H14" s="77">
        <f>IFERROR(VLOOKUP(A14,'[5]Summary - All Payers'!$A$7:$X$51,20,FALSE),0)</f>
        <v>0</v>
      </c>
      <c r="I14" s="107"/>
      <c r="J14" s="107"/>
      <c r="K14" s="107"/>
      <c r="L14" s="108"/>
      <c r="M14" s="108"/>
    </row>
    <row r="15" spans="1:13" x14ac:dyDescent="0.25">
      <c r="A15" s="63">
        <v>210015</v>
      </c>
      <c r="B15" s="63" t="s">
        <v>133</v>
      </c>
      <c r="C15" s="77">
        <f>IFERROR(VLOOKUP(A15,'[5]Summary - All Payers'!$A$7:$X$51,17,FALSE),0)</f>
        <v>36732860.460000001</v>
      </c>
      <c r="D15" s="77">
        <f>IFERROR(VLOOKUP(A15,'[5]Summary - All Payers'!$A$7:$X$51,18,FALSE),0)</f>
        <v>20332.509999999998</v>
      </c>
      <c r="E15" s="77">
        <f>IFERROR(VLOOKUP(A15,'[5]Summary - All Payers'!$A$7:$X$51,16,FALSE),0)</f>
        <v>44430230.170000002</v>
      </c>
      <c r="F15" s="96">
        <f t="shared" si="0"/>
        <v>81183423.140000001</v>
      </c>
      <c r="G15" s="96">
        <f t="shared" si="1"/>
        <v>36753192.969999999</v>
      </c>
      <c r="H15" s="77">
        <f>IFERROR(VLOOKUP(A15,'[5]Summary - All Payers'!$A$7:$X$51,20,FALSE),0)</f>
        <v>640023644.77999997</v>
      </c>
      <c r="I15" s="107"/>
      <c r="J15" s="107"/>
      <c r="K15" s="107"/>
      <c r="L15" s="108"/>
      <c r="M15" s="108"/>
    </row>
    <row r="16" spans="1:13" x14ac:dyDescent="0.25">
      <c r="A16" s="63">
        <v>210016</v>
      </c>
      <c r="B16" s="63" t="s">
        <v>134</v>
      </c>
      <c r="C16" s="77">
        <f>IFERROR(VLOOKUP(A16,'[5]Summary - All Payers'!$A$7:$X$51,17,FALSE),0)</f>
        <v>22692390.379999999</v>
      </c>
      <c r="D16" s="77">
        <v>0</v>
      </c>
      <c r="E16" s="77">
        <f>IFERROR(VLOOKUP(A16,'[5]Summary - All Payers'!$A$7:$X$51,16,FALSE),0)</f>
        <v>25341001.579999998</v>
      </c>
      <c r="F16" s="96">
        <f t="shared" si="0"/>
        <v>48033391.959999993</v>
      </c>
      <c r="G16" s="96">
        <f t="shared" si="1"/>
        <v>22692390.379999999</v>
      </c>
      <c r="H16" s="77">
        <f>IFERROR(VLOOKUP(A16,'[5]Summary - All Payers'!$A$7:$X$51,20,FALSE),0)</f>
        <v>352310132.56999999</v>
      </c>
      <c r="I16" s="107"/>
      <c r="J16" s="107"/>
      <c r="K16" s="107"/>
      <c r="L16" s="108"/>
      <c r="M16" s="108"/>
    </row>
    <row r="17" spans="1:13" x14ac:dyDescent="0.25">
      <c r="A17" s="63">
        <v>210017</v>
      </c>
      <c r="B17" s="63" t="s">
        <v>79</v>
      </c>
      <c r="C17" s="77">
        <f>IFERROR(VLOOKUP(A17,'[5]Summary - All Payers'!$A$7:$X$51,17,FALSE),0)</f>
        <v>3792263.72</v>
      </c>
      <c r="D17" s="77">
        <f>IFERROR(VLOOKUP(A17,'[5]Summary - All Payers'!$A$7:$X$51,18,FALSE),0)</f>
        <v>25730.54</v>
      </c>
      <c r="E17" s="77">
        <f>IFERROR(VLOOKUP(A17,'[5]Summary - All Payers'!$A$7:$X$51,16,FALSE),0)</f>
        <v>1498851.93</v>
      </c>
      <c r="F17" s="96">
        <f t="shared" si="0"/>
        <v>5316846.1900000004</v>
      </c>
      <c r="G17" s="96">
        <f t="shared" si="1"/>
        <v>3817994.2600000002</v>
      </c>
      <c r="H17" s="77">
        <f>IFERROR(VLOOKUP(A17,'[5]Summary - All Payers'!$A$7:$X$51,20,FALSE),0)</f>
        <v>74286312.079999998</v>
      </c>
      <c r="I17" s="107"/>
      <c r="J17" s="107"/>
      <c r="K17" s="107"/>
      <c r="L17" s="108"/>
      <c r="M17" s="108"/>
    </row>
    <row r="18" spans="1:13" x14ac:dyDescent="0.25">
      <c r="A18" s="63">
        <v>210018</v>
      </c>
      <c r="B18" s="63" t="s">
        <v>135</v>
      </c>
      <c r="C18" s="77">
        <f>IFERROR(VLOOKUP(A18,'[5]Summary - All Payers'!$A$7:$X$51,17,FALSE),0)</f>
        <v>9624500.4100000001</v>
      </c>
      <c r="D18" s="77">
        <f>IFERROR(VLOOKUP(A18,'[5]Summary - All Payers'!$A$7:$X$51,18,FALSE),0)</f>
        <v>26474.82</v>
      </c>
      <c r="E18" s="77">
        <f>IFERROR(VLOOKUP(A18,'[5]Summary - All Payers'!$A$7:$X$51,16,FALSE),0)</f>
        <v>15149764.609999999</v>
      </c>
      <c r="F18" s="96">
        <f t="shared" si="0"/>
        <v>24800739.84</v>
      </c>
      <c r="G18" s="96">
        <f t="shared" si="1"/>
        <v>9650975.2300000004</v>
      </c>
      <c r="H18" s="77">
        <f>IFERROR(VLOOKUP(A18,'[5]Summary - All Payers'!$A$7:$X$51,20,FALSE),0)</f>
        <v>201297389.47</v>
      </c>
      <c r="I18" s="107"/>
      <c r="J18" s="107"/>
      <c r="K18" s="107"/>
      <c r="L18" s="108"/>
      <c r="M18" s="108"/>
    </row>
    <row r="19" spans="1:13" x14ac:dyDescent="0.25">
      <c r="A19" s="63">
        <v>210019</v>
      </c>
      <c r="B19" s="63" t="s">
        <v>136</v>
      </c>
      <c r="C19" s="77">
        <f>IFERROR(VLOOKUP(A19,'[5]Summary - All Payers'!$A$7:$X$51,17,FALSE),0)</f>
        <v>12758031.08</v>
      </c>
      <c r="D19" s="77">
        <f>IFERROR(VLOOKUP(A19,'[5]Summary - All Payers'!$A$7:$X$51,18,FALSE),0)</f>
        <v>90078.9</v>
      </c>
      <c r="E19" s="77">
        <f>IFERROR(VLOOKUP(A19,'[5]Summary - All Payers'!$A$7:$X$51,16,FALSE),0)</f>
        <v>35393018.799999997</v>
      </c>
      <c r="F19" s="96">
        <f t="shared" si="0"/>
        <v>48241128.780000001</v>
      </c>
      <c r="G19" s="96">
        <f t="shared" si="1"/>
        <v>12848109.98</v>
      </c>
      <c r="H19" s="77">
        <f>IFERROR(VLOOKUP(A19,'[5]Summary - All Payers'!$A$7:$X$51,20,FALSE),0)</f>
        <v>538384136.51999998</v>
      </c>
      <c r="I19" s="107"/>
      <c r="J19" s="107"/>
      <c r="K19" s="107"/>
      <c r="L19" s="108"/>
      <c r="M19" s="108"/>
    </row>
    <row r="20" spans="1:13" x14ac:dyDescent="0.25">
      <c r="A20" s="63">
        <v>210022</v>
      </c>
      <c r="B20" s="63" t="s">
        <v>81</v>
      </c>
      <c r="C20" s="77">
        <f>IFERROR(VLOOKUP(A20,'[5]Summary - All Payers'!$A$7:$X$51,17,FALSE),0)</f>
        <v>13382647.630000001</v>
      </c>
      <c r="D20" s="77">
        <f>IFERROR(VLOOKUP(A20,'[5]Summary - All Payers'!$A$7:$X$51,18,FALSE),0)</f>
        <v>41196.629999999997</v>
      </c>
      <c r="E20" s="77">
        <f>IFERROR(VLOOKUP(A20,'[5]Summary - All Payers'!$A$7:$X$51,16,FALSE),0)</f>
        <v>28431457.329999998</v>
      </c>
      <c r="F20" s="96">
        <f t="shared" si="0"/>
        <v>41855301.590000004</v>
      </c>
      <c r="G20" s="96">
        <f t="shared" si="1"/>
        <v>13423844.260000002</v>
      </c>
      <c r="H20" s="77">
        <f>IFERROR(VLOOKUP(A20,'[5]Summary - All Payers'!$A$7:$X$51,20,FALSE),0)</f>
        <v>404560178.69</v>
      </c>
      <c r="I20" s="107"/>
      <c r="J20" s="107"/>
      <c r="K20" s="107"/>
      <c r="L20" s="108"/>
      <c r="M20" s="108"/>
    </row>
    <row r="21" spans="1:13" x14ac:dyDescent="0.25">
      <c r="A21" s="63">
        <v>210023</v>
      </c>
      <c r="B21" s="63" t="s">
        <v>137</v>
      </c>
      <c r="C21" s="77">
        <f>IFERROR(VLOOKUP(A21,'[5]Summary - All Payers'!$A$7:$X$51,17,FALSE),0)</f>
        <v>37089951.759999998</v>
      </c>
      <c r="D21" s="77">
        <f>IFERROR(VLOOKUP(A21,'[5]Summary - All Payers'!$A$7:$X$51,18,FALSE),0)</f>
        <v>161491.14000000001</v>
      </c>
      <c r="E21" s="77">
        <f>IFERROR(VLOOKUP(A21,'[5]Summary - All Payers'!$A$7:$X$51,16,FALSE),0)</f>
        <v>42744851.460000001</v>
      </c>
      <c r="F21" s="96">
        <f t="shared" si="0"/>
        <v>79996294.359999999</v>
      </c>
      <c r="G21" s="96">
        <f t="shared" si="1"/>
        <v>37251442.899999999</v>
      </c>
      <c r="H21" s="77">
        <f>IFERROR(VLOOKUP(A21,'[5]Summary - All Payers'!$A$7:$X$51,20,FALSE),0)</f>
        <v>748843275.98000002</v>
      </c>
      <c r="I21" s="107"/>
      <c r="J21" s="107"/>
      <c r="K21" s="107"/>
      <c r="L21" s="108"/>
      <c r="M21" s="108"/>
    </row>
    <row r="22" spans="1:13" x14ac:dyDescent="0.25">
      <c r="A22" s="63">
        <v>210024</v>
      </c>
      <c r="B22" s="63" t="s">
        <v>138</v>
      </c>
      <c r="C22" s="77">
        <f>IFERROR(VLOOKUP(A22,'[5]Summary - All Payers'!$A$7:$X$51,17,FALSE),0)</f>
        <v>29180571.77</v>
      </c>
      <c r="D22" s="77">
        <v>0</v>
      </c>
      <c r="E22" s="77">
        <f>IFERROR(VLOOKUP(A22,'[5]Summary - All Payers'!$A$7:$X$51,16,FALSE),0)</f>
        <v>31636390.109999999</v>
      </c>
      <c r="F22" s="96">
        <f t="shared" si="0"/>
        <v>60816961.879999995</v>
      </c>
      <c r="G22" s="96">
        <f t="shared" si="1"/>
        <v>29180571.77</v>
      </c>
      <c r="H22" s="77">
        <f>IFERROR(VLOOKUP(A22,'[5]Summary - All Payers'!$A$7:$X$51,20,FALSE),0)</f>
        <v>483794842.01999998</v>
      </c>
      <c r="I22" s="107"/>
      <c r="J22" s="107"/>
      <c r="K22" s="107"/>
      <c r="L22" s="108"/>
      <c r="M22" s="108"/>
    </row>
    <row r="23" spans="1:13" x14ac:dyDescent="0.25">
      <c r="A23" s="63">
        <v>210027</v>
      </c>
      <c r="B23" s="63" t="s">
        <v>139</v>
      </c>
      <c r="C23" s="77">
        <f>IFERROR(VLOOKUP(A23,'[5]Summary - All Payers'!$A$7:$X$51,17,FALSE),0)</f>
        <v>16248573.449999999</v>
      </c>
      <c r="D23" s="77">
        <v>0</v>
      </c>
      <c r="E23" s="77">
        <f>IFERROR(VLOOKUP(A23,'[5]Summary - All Payers'!$A$7:$X$51,16,FALSE),0)</f>
        <v>20806298.77</v>
      </c>
      <c r="F23" s="96">
        <f t="shared" si="0"/>
        <v>37054872.219999999</v>
      </c>
      <c r="G23" s="96">
        <f t="shared" si="1"/>
        <v>16248573.449999999</v>
      </c>
      <c r="H23" s="77">
        <f>IFERROR(VLOOKUP(A23,'[5]Summary - All Payers'!$A$7:$X$51,20,FALSE),0)</f>
        <v>363925861.75</v>
      </c>
      <c r="I23" s="107"/>
      <c r="J23" s="107"/>
      <c r="K23" s="107"/>
      <c r="L23" s="108"/>
      <c r="M23" s="108"/>
    </row>
    <row r="24" spans="1:13" x14ac:dyDescent="0.25">
      <c r="A24" s="63">
        <v>210028</v>
      </c>
      <c r="B24" s="63" t="s">
        <v>140</v>
      </c>
      <c r="C24" s="77">
        <f>IFERROR(VLOOKUP(A24,'[5]Summary - All Payers'!$A$7:$X$51,17,FALSE),0)</f>
        <v>13064306.619999999</v>
      </c>
      <c r="D24" s="77">
        <v>0</v>
      </c>
      <c r="E24" s="77">
        <f>IFERROR(VLOOKUP(A24,'[5]Summary - All Payers'!$A$7:$X$51,16,FALSE),0)</f>
        <v>11179693.720000001</v>
      </c>
      <c r="F24" s="96">
        <f t="shared" si="0"/>
        <v>24244000.34</v>
      </c>
      <c r="G24" s="96">
        <f t="shared" si="1"/>
        <v>13064306.619999999</v>
      </c>
      <c r="H24" s="77">
        <f>IFERROR(VLOOKUP(A24,'[5]Summary - All Payers'!$A$7:$X$51,20,FALSE),0)</f>
        <v>215863902.68000001</v>
      </c>
      <c r="I24" s="107"/>
      <c r="J24" s="107"/>
      <c r="K24" s="107"/>
      <c r="L24" s="108"/>
      <c r="M24" s="108"/>
    </row>
    <row r="25" spans="1:13" x14ac:dyDescent="0.25">
      <c r="A25" s="63">
        <v>210029</v>
      </c>
      <c r="B25" s="63" t="s">
        <v>141</v>
      </c>
      <c r="C25" s="77">
        <f>IFERROR(VLOOKUP(A25,'[5]Summary - All Payers'!$A$7:$X$51,17,FALSE),0)</f>
        <v>36935649.82</v>
      </c>
      <c r="D25" s="77">
        <f>IFERROR(VLOOKUP(A25,'[5]Summary - All Payers'!$A$7:$X$51,18,FALSE),0)</f>
        <v>69482.789999999994</v>
      </c>
      <c r="E25" s="77">
        <f>IFERROR(VLOOKUP(A25,'[5]Summary - All Payers'!$A$7:$X$51,16,FALSE),0)</f>
        <v>46591145.609999999</v>
      </c>
      <c r="F25" s="96">
        <f t="shared" si="0"/>
        <v>83596278.219999999</v>
      </c>
      <c r="G25" s="96">
        <f t="shared" si="1"/>
        <v>37005132.609999999</v>
      </c>
      <c r="H25" s="77">
        <f>IFERROR(VLOOKUP(A25,'[5]Summary - All Payers'!$A$7:$X$51,20,FALSE),0)</f>
        <v>772088156.12</v>
      </c>
      <c r="I25" s="107"/>
      <c r="J25" s="107"/>
      <c r="K25" s="107"/>
      <c r="L25" s="108"/>
      <c r="M25" s="108"/>
    </row>
    <row r="26" spans="1:13" x14ac:dyDescent="0.25">
      <c r="A26" s="63">
        <v>210030</v>
      </c>
      <c r="B26" s="63" t="s">
        <v>86</v>
      </c>
      <c r="C26" s="77">
        <f>IFERROR(VLOOKUP(A26,'[5]Summary - All Payers'!$A$7:$X$51,17,FALSE),0)</f>
        <v>2370232.1800000002</v>
      </c>
      <c r="D26" s="77">
        <v>0</v>
      </c>
      <c r="E26" s="77">
        <f>IFERROR(VLOOKUP(A26,'[5]Summary - All Payers'!$A$7:$X$51,16,FALSE),0)</f>
        <v>1079794.6200000001</v>
      </c>
      <c r="F26" s="96">
        <f t="shared" si="0"/>
        <v>3450026.8000000003</v>
      </c>
      <c r="G26" s="96">
        <f t="shared" si="1"/>
        <v>2370232.1800000002</v>
      </c>
      <c r="H26" s="77">
        <f>IFERROR(VLOOKUP(A26,'[5]Summary - All Payers'!$A$7:$X$51,20,FALSE),0)</f>
        <v>53514309.229999997</v>
      </c>
      <c r="I26" s="107"/>
      <c r="J26" s="107"/>
      <c r="K26" s="107"/>
      <c r="L26" s="108"/>
      <c r="M26" s="108"/>
    </row>
    <row r="27" spans="1:13" x14ac:dyDescent="0.25">
      <c r="A27" s="63">
        <v>210032</v>
      </c>
      <c r="B27" s="63" t="s">
        <v>87</v>
      </c>
      <c r="C27" s="77">
        <f>IFERROR(VLOOKUP(A27,'[5]Summary - All Payers'!$A$7:$X$51,17,FALSE),0)</f>
        <v>13706337.810000001</v>
      </c>
      <c r="D27" s="77">
        <v>0</v>
      </c>
      <c r="E27" s="77">
        <f>IFERROR(VLOOKUP(A27,'[5]Summary - All Payers'!$A$7:$X$51,16,FALSE),0)</f>
        <v>10934048.9</v>
      </c>
      <c r="F27" s="96">
        <f t="shared" si="0"/>
        <v>24640386.710000001</v>
      </c>
      <c r="G27" s="96">
        <f t="shared" si="1"/>
        <v>13706337.810000001</v>
      </c>
      <c r="H27" s="77">
        <f>IFERROR(VLOOKUP(A27,'[5]Summary - All Payers'!$A$7:$X$51,20,FALSE),0)</f>
        <v>183151887.59999999</v>
      </c>
      <c r="I27" s="107"/>
      <c r="J27" s="107"/>
      <c r="K27" s="107"/>
      <c r="L27" s="108"/>
      <c r="M27" s="108"/>
    </row>
    <row r="28" spans="1:13" x14ac:dyDescent="0.25">
      <c r="A28" s="63">
        <v>210033</v>
      </c>
      <c r="B28" s="63" t="s">
        <v>88</v>
      </c>
      <c r="C28" s="77">
        <f>IFERROR(VLOOKUP(A28,'[5]Summary - All Payers'!$A$7:$X$51,17,FALSE),0)</f>
        <v>20648810.120000001</v>
      </c>
      <c r="D28" s="77">
        <f>IFERROR(VLOOKUP(A28,'[5]Summary - All Payers'!$A$7:$X$51,18,FALSE),0)</f>
        <v>85803.29</v>
      </c>
      <c r="E28" s="77">
        <f>IFERROR(VLOOKUP(A28,'[5]Summary - All Payers'!$A$7:$X$51,16,FALSE),0)</f>
        <v>19313804.620000001</v>
      </c>
      <c r="F28" s="96">
        <f t="shared" si="0"/>
        <v>40048418.030000001</v>
      </c>
      <c r="G28" s="96">
        <f t="shared" si="1"/>
        <v>20734613.41</v>
      </c>
      <c r="H28" s="77">
        <f>IFERROR(VLOOKUP(A28,'[5]Summary - All Payers'!$A$7:$X$51,20,FALSE),0)</f>
        <v>260932999.27000001</v>
      </c>
      <c r="I28" s="107"/>
      <c r="J28" s="107"/>
      <c r="K28" s="107"/>
      <c r="L28" s="108"/>
      <c r="M28" s="108"/>
    </row>
    <row r="29" spans="1:13" x14ac:dyDescent="0.25">
      <c r="A29" s="63">
        <v>210034</v>
      </c>
      <c r="B29" s="63" t="s">
        <v>142</v>
      </c>
      <c r="C29" s="77">
        <f>IFERROR(VLOOKUP(A29,'[5]Summary - All Payers'!$A$7:$X$51,17,FALSE),0)</f>
        <v>14989329.32</v>
      </c>
      <c r="D29" s="77">
        <v>0</v>
      </c>
      <c r="E29" s="77">
        <f>IFERROR(VLOOKUP(A29,'[5]Summary - All Payers'!$A$7:$X$51,16,FALSE),0)</f>
        <v>17406275.039999999</v>
      </c>
      <c r="F29" s="96">
        <f t="shared" si="0"/>
        <v>32395604.359999999</v>
      </c>
      <c r="G29" s="96">
        <f t="shared" si="1"/>
        <v>14989329.32</v>
      </c>
      <c r="H29" s="77">
        <f>IFERROR(VLOOKUP(A29,'[5]Summary - All Payers'!$A$7:$X$51,20,FALSE),0)</f>
        <v>209028820.22999999</v>
      </c>
      <c r="I29" s="107"/>
      <c r="J29" s="107"/>
      <c r="K29" s="107"/>
      <c r="L29" s="108"/>
      <c r="M29" s="108"/>
    </row>
    <row r="30" spans="1:13" x14ac:dyDescent="0.25">
      <c r="A30" s="63">
        <v>210035</v>
      </c>
      <c r="B30" s="63" t="s">
        <v>143</v>
      </c>
      <c r="C30" s="77">
        <f>IFERROR(VLOOKUP(A30,'[5]Summary - All Payers'!$A$7:$X$51,17,FALSE),0)</f>
        <v>8458933.4600000009</v>
      </c>
      <c r="D30" s="77">
        <v>0</v>
      </c>
      <c r="E30" s="77">
        <f>IFERROR(VLOOKUP(A30,'[5]Summary - All Payers'!$A$7:$X$51,16,FALSE),0)</f>
        <v>11734093.91</v>
      </c>
      <c r="F30" s="96">
        <f t="shared" si="0"/>
        <v>20193027.370000001</v>
      </c>
      <c r="G30" s="96">
        <f t="shared" si="1"/>
        <v>8458933.4600000009</v>
      </c>
      <c r="H30" s="77">
        <f>IFERROR(VLOOKUP(A30,'[5]Summary - All Payers'!$A$7:$X$51,20,FALSE),0)</f>
        <v>176442471.09999999</v>
      </c>
      <c r="I30" s="107"/>
      <c r="J30" s="107"/>
      <c r="K30" s="107"/>
      <c r="L30" s="108"/>
      <c r="M30" s="108"/>
    </row>
    <row r="31" spans="1:13" x14ac:dyDescent="0.25">
      <c r="A31" s="63">
        <v>210037</v>
      </c>
      <c r="B31" s="63" t="s">
        <v>91</v>
      </c>
      <c r="C31" s="77">
        <f>IFERROR(VLOOKUP(A31,'[5]Summary - All Payers'!$A$7:$X$51,17,FALSE),0)</f>
        <v>11568293.949999999</v>
      </c>
      <c r="D31" s="77">
        <f>IFERROR(VLOOKUP(A31,'[5]Summary - All Payers'!$A$7:$X$51,18,FALSE),0)</f>
        <v>18515.400000000001</v>
      </c>
      <c r="E31" s="77">
        <f>IFERROR(VLOOKUP(A31,'[5]Summary - All Payers'!$A$7:$X$51,16,FALSE),0)</f>
        <v>17773445.260000002</v>
      </c>
      <c r="F31" s="96">
        <f t="shared" si="0"/>
        <v>29360254.609999999</v>
      </c>
      <c r="G31" s="96">
        <f t="shared" si="1"/>
        <v>11586809.35</v>
      </c>
      <c r="H31" s="77">
        <f>IFERROR(VLOOKUP(A31,'[5]Summary - All Payers'!$A$7:$X$51,20,FALSE),0)</f>
        <v>305544424.19999999</v>
      </c>
      <c r="I31" s="107"/>
      <c r="J31" s="107"/>
      <c r="K31" s="107"/>
      <c r="L31" s="108"/>
      <c r="M31" s="108"/>
    </row>
    <row r="32" spans="1:13" x14ac:dyDescent="0.25">
      <c r="A32" s="63">
        <v>210038</v>
      </c>
      <c r="B32" s="63" t="s">
        <v>92</v>
      </c>
      <c r="C32" s="77">
        <f>IFERROR(VLOOKUP(A32,'[5]Summary - All Payers'!$A$7:$X$51,17,FALSE),0)</f>
        <v>15119267.84</v>
      </c>
      <c r="D32" s="77">
        <v>0</v>
      </c>
      <c r="E32" s="77">
        <f>IFERROR(VLOOKUP(A32,'[5]Summary - All Payers'!$A$7:$X$51,16,FALSE),0)</f>
        <v>15787573.32</v>
      </c>
      <c r="F32" s="96">
        <f t="shared" si="0"/>
        <v>30906841.16</v>
      </c>
      <c r="G32" s="96">
        <f t="shared" si="1"/>
        <v>15119267.84</v>
      </c>
      <c r="H32" s="77">
        <f>IFERROR(VLOOKUP(A32,'[5]Summary - All Payers'!$A$7:$X$51,20,FALSE),0)</f>
        <v>248990681.81</v>
      </c>
      <c r="I32" s="107"/>
      <c r="J32" s="107"/>
      <c r="K32" s="107"/>
      <c r="L32" s="108"/>
      <c r="M32" s="108"/>
    </row>
    <row r="33" spans="1:13" x14ac:dyDescent="0.25">
      <c r="A33" s="63">
        <v>210039</v>
      </c>
      <c r="B33" s="63" t="s">
        <v>93</v>
      </c>
      <c r="C33" s="77">
        <f>IFERROR(VLOOKUP(A33,'[5]Summary - All Payers'!$A$7:$X$51,17,FALSE),0)</f>
        <v>9512470.0299999993</v>
      </c>
      <c r="D33" s="77">
        <f>IFERROR(VLOOKUP(A33,'[5]Summary - All Payers'!$A$7:$X$51,18,FALSE),0)</f>
        <v>91055.92</v>
      </c>
      <c r="E33" s="77">
        <f>IFERROR(VLOOKUP(A33,'[5]Summary - All Payers'!$A$7:$X$51,16,FALSE),0)</f>
        <v>9523570.2400000002</v>
      </c>
      <c r="F33" s="96">
        <f t="shared" si="0"/>
        <v>19127096.189999998</v>
      </c>
      <c r="G33" s="96">
        <f t="shared" si="1"/>
        <v>9603525.9499999993</v>
      </c>
      <c r="H33" s="77">
        <f>IFERROR(VLOOKUP(A33,'[5]Summary - All Payers'!$A$7:$X$51,20,FALSE),0)</f>
        <v>175213829.83000001</v>
      </c>
      <c r="I33" s="107"/>
      <c r="J33" s="107"/>
      <c r="K33" s="107"/>
      <c r="L33" s="108"/>
      <c r="M33" s="108"/>
    </row>
    <row r="34" spans="1:13" x14ac:dyDescent="0.25">
      <c r="A34" s="63">
        <v>210040</v>
      </c>
      <c r="B34" s="63" t="s">
        <v>94</v>
      </c>
      <c r="C34" s="77">
        <f>IFERROR(VLOOKUP(A34,'[5]Summary - All Payers'!$A$7:$X$51,17,FALSE),0)</f>
        <v>24618344.469999999</v>
      </c>
      <c r="D34" s="77">
        <v>0</v>
      </c>
      <c r="E34" s="77">
        <f>IFERROR(VLOOKUP(A34,'[5]Summary - All Payers'!$A$7:$X$51,16,FALSE),0)</f>
        <v>27524671.07</v>
      </c>
      <c r="F34" s="96">
        <f t="shared" si="0"/>
        <v>52143015.539999999</v>
      </c>
      <c r="G34" s="96">
        <f t="shared" si="1"/>
        <v>24618344.469999999</v>
      </c>
      <c r="H34" s="77">
        <f>IFERROR(VLOOKUP(A34,'[5]Summary - All Payers'!$A$7:$X$51,20,FALSE),0)</f>
        <v>316304860.50999999</v>
      </c>
      <c r="I34" s="107"/>
      <c r="J34" s="107"/>
      <c r="K34" s="107"/>
      <c r="L34" s="108"/>
      <c r="M34" s="108"/>
    </row>
    <row r="35" spans="1:13" x14ac:dyDescent="0.25">
      <c r="A35" s="63">
        <v>210043</v>
      </c>
      <c r="B35" s="63" t="s">
        <v>95</v>
      </c>
      <c r="C35" s="77">
        <f>IFERROR(VLOOKUP(A35,'[5]Summary - All Payers'!$A$7:$X$51,17,FALSE),0)</f>
        <v>29194125.300000001</v>
      </c>
      <c r="D35" s="77">
        <f>IFERROR(VLOOKUP(A35,'[5]Summary - All Payers'!$A$7:$X$51,18,FALSE),0)</f>
        <v>221310.38</v>
      </c>
      <c r="E35" s="77">
        <f>IFERROR(VLOOKUP(A35,'[5]Summary - All Payers'!$A$7:$X$51,16,FALSE),0)</f>
        <v>45315028.280000001</v>
      </c>
      <c r="F35" s="96">
        <f t="shared" si="0"/>
        <v>74730463.960000008</v>
      </c>
      <c r="G35" s="96">
        <f t="shared" si="1"/>
        <v>29415435.68</v>
      </c>
      <c r="H35" s="77">
        <f>IFERROR(VLOOKUP(A35,'[5]Summary - All Payers'!$A$7:$X$51,20,FALSE),0)</f>
        <v>522792198.25</v>
      </c>
      <c r="I35" s="107"/>
      <c r="J35" s="107"/>
      <c r="K35" s="107"/>
      <c r="L35" s="108"/>
      <c r="M35" s="108"/>
    </row>
    <row r="36" spans="1:13" x14ac:dyDescent="0.25">
      <c r="A36" s="63">
        <v>210044</v>
      </c>
      <c r="B36" s="63" t="s">
        <v>96</v>
      </c>
      <c r="C36" s="77">
        <f>IFERROR(VLOOKUP(A36,'[5]Summary - All Payers'!$A$7:$X$51,17,FALSE),0)</f>
        <v>20526290.649999999</v>
      </c>
      <c r="D36" s="77">
        <f>IFERROR(VLOOKUP(A36,'[5]Summary - All Payers'!$A$7:$X$51,18,FALSE),0)</f>
        <v>222805.02</v>
      </c>
      <c r="E36" s="77">
        <f>IFERROR(VLOOKUP(A36,'[5]Summary - All Payers'!$A$7:$X$51,16,FALSE),0)</f>
        <v>27572418.440000001</v>
      </c>
      <c r="F36" s="96">
        <f t="shared" si="0"/>
        <v>48321514.109999999</v>
      </c>
      <c r="G36" s="96">
        <f t="shared" si="1"/>
        <v>20749095.669999998</v>
      </c>
      <c r="H36" s="77">
        <f>IFERROR(VLOOKUP(A36,'[5]Summary - All Payers'!$A$7:$X$51,20,FALSE),0)</f>
        <v>496394795.88999999</v>
      </c>
      <c r="I36" s="107"/>
      <c r="J36" s="107"/>
      <c r="K36" s="107"/>
      <c r="L36" s="108"/>
      <c r="M36" s="108"/>
    </row>
    <row r="37" spans="1:13" x14ac:dyDescent="0.25">
      <c r="A37" s="63">
        <v>210045</v>
      </c>
      <c r="B37" s="63" t="s">
        <v>97</v>
      </c>
      <c r="C37" s="77">
        <f>IFERROR(VLOOKUP(A37,'[5]Summary - All Payers'!$A$7:$X$51,17,FALSE),0)</f>
        <v>0</v>
      </c>
      <c r="D37" s="77">
        <f>IFERROR(VLOOKUP(A37,'[5]Summary - All Payers'!$A$7:$X$51,18,FALSE),0)</f>
        <v>0</v>
      </c>
      <c r="E37" s="77">
        <f>IFERROR(VLOOKUP(A37,'[5]Summary - All Payers'!$A$7:$X$51,16,FALSE),0)</f>
        <v>0</v>
      </c>
      <c r="F37" s="96">
        <f t="shared" si="0"/>
        <v>0</v>
      </c>
      <c r="G37" s="96">
        <f t="shared" si="1"/>
        <v>0</v>
      </c>
      <c r="H37" s="77">
        <f>IFERROR(VLOOKUP(A37,'[5]Summary - All Payers'!$A$7:$X$51,20,FALSE),0)</f>
        <v>0</v>
      </c>
      <c r="I37" s="107"/>
      <c r="J37" s="107"/>
      <c r="K37" s="107"/>
      <c r="L37" s="108"/>
      <c r="M37" s="108"/>
    </row>
    <row r="38" spans="1:13" x14ac:dyDescent="0.25">
      <c r="A38" s="63">
        <v>210048</v>
      </c>
      <c r="B38" s="63" t="s">
        <v>144</v>
      </c>
      <c r="C38" s="77">
        <f>IFERROR(VLOOKUP(A38,'[5]Summary - All Payers'!$A$7:$X$51,17,FALSE),0)</f>
        <v>15587716.949999999</v>
      </c>
      <c r="D38" s="77">
        <f>IFERROR(VLOOKUP(A38,'[5]Summary - All Payers'!$A$7:$X$51,18,FALSE),0)</f>
        <v>60451.5</v>
      </c>
      <c r="E38" s="77">
        <f>IFERROR(VLOOKUP(A38,'[5]Summary - All Payers'!$A$7:$X$51,16,FALSE),0)</f>
        <v>28183542.280000001</v>
      </c>
      <c r="F38" s="96">
        <f t="shared" si="0"/>
        <v>43831710.730000004</v>
      </c>
      <c r="G38" s="96">
        <f t="shared" si="1"/>
        <v>15648168.449999999</v>
      </c>
      <c r="H38" s="77">
        <f>IFERROR(VLOOKUP(A38,'[5]Summary - All Payers'!$A$7:$X$51,20,FALSE),0)</f>
        <v>359322374.36000001</v>
      </c>
      <c r="I38" s="107"/>
      <c r="J38" s="107"/>
      <c r="K38" s="107"/>
      <c r="L38" s="108"/>
      <c r="M38" s="108"/>
    </row>
    <row r="39" spans="1:13" x14ac:dyDescent="0.25">
      <c r="A39" s="63">
        <v>210049</v>
      </c>
      <c r="B39" s="63" t="s">
        <v>145</v>
      </c>
      <c r="C39" s="77">
        <f>IFERROR(VLOOKUP(A39,'[5]Summary - All Payers'!$A$7:$X$51,17,FALSE),0)</f>
        <v>18489623.899999999</v>
      </c>
      <c r="D39" s="77">
        <f>IFERROR(VLOOKUP(A39,'[5]Summary - All Payers'!$A$7:$X$51,18,FALSE),0)</f>
        <v>114959.16</v>
      </c>
      <c r="E39" s="77">
        <f>IFERROR(VLOOKUP(A39,'[5]Summary - All Payers'!$A$7:$X$51,16,FALSE),0)</f>
        <v>27440267.16</v>
      </c>
      <c r="F39" s="96">
        <f t="shared" si="0"/>
        <v>46044850.219999999</v>
      </c>
      <c r="G39" s="96">
        <f t="shared" si="1"/>
        <v>18604583.059999999</v>
      </c>
      <c r="H39" s="77">
        <f>IFERROR(VLOOKUP(A39,'[5]Summary - All Payers'!$A$7:$X$51,20,FALSE),0)</f>
        <v>368775712.04000002</v>
      </c>
      <c r="I39" s="107"/>
      <c r="J39" s="107"/>
      <c r="K39" s="107"/>
      <c r="L39" s="108"/>
      <c r="M39" s="108"/>
    </row>
    <row r="40" spans="1:13" x14ac:dyDescent="0.25">
      <c r="A40" s="63">
        <v>210051</v>
      </c>
      <c r="B40" s="63" t="s">
        <v>100</v>
      </c>
      <c r="C40" s="77">
        <f>IFERROR(VLOOKUP(A40,'[5]Summary - All Payers'!$A$7:$X$51,17,FALSE),0)</f>
        <v>29904870.969999999</v>
      </c>
      <c r="D40" s="77">
        <v>0</v>
      </c>
      <c r="E40" s="77">
        <f>IFERROR(VLOOKUP(A40,'[5]Summary - All Payers'!$A$7:$X$51,16,FALSE),0)</f>
        <v>21686370.100000001</v>
      </c>
      <c r="F40" s="96">
        <f t="shared" si="0"/>
        <v>51591241.07</v>
      </c>
      <c r="G40" s="96">
        <f t="shared" si="1"/>
        <v>29904870.969999999</v>
      </c>
      <c r="H40" s="77">
        <f>IFERROR(VLOOKUP(A40,'[5]Summary - All Payers'!$A$7:$X$51,20,FALSE),0)</f>
        <v>282778926.76999998</v>
      </c>
      <c r="I40" s="107"/>
      <c r="J40" s="107"/>
      <c r="K40" s="107"/>
      <c r="L40" s="108"/>
      <c r="M40" s="108"/>
    </row>
    <row r="41" spans="1:13" x14ac:dyDescent="0.25">
      <c r="A41" s="63">
        <v>210055</v>
      </c>
      <c r="B41" s="63" t="s">
        <v>146</v>
      </c>
      <c r="C41" s="77">
        <f>IFERROR(VLOOKUP(A41,'[5]Summary - All Payers'!$A$7:$X$51,17,FALSE),0)</f>
        <v>0</v>
      </c>
      <c r="D41" s="77">
        <f>IFERROR(VLOOKUP(A41,'[5]Summary - All Payers'!$A$7:$X$51,18,FALSE),0)</f>
        <v>0</v>
      </c>
      <c r="E41" s="77">
        <f>IFERROR(VLOOKUP(A41,'[5]Summary - All Payers'!$A$7:$X$51,16,FALSE),0)</f>
        <v>0</v>
      </c>
      <c r="F41" s="96">
        <f t="shared" si="0"/>
        <v>0</v>
      </c>
      <c r="G41" s="96">
        <f>C41+D41</f>
        <v>0</v>
      </c>
      <c r="H41" s="77">
        <f>IFERROR(VLOOKUP(A41,'[5]Summary - All Payers'!$A$7:$X$51,20,FALSE),0)</f>
        <v>0</v>
      </c>
      <c r="I41" s="107"/>
      <c r="J41" s="107"/>
      <c r="K41" s="107"/>
      <c r="L41" s="108"/>
      <c r="M41" s="108"/>
    </row>
    <row r="42" spans="1:13" x14ac:dyDescent="0.25">
      <c r="A42" s="63">
        <v>210056</v>
      </c>
      <c r="B42" s="63" t="s">
        <v>147</v>
      </c>
      <c r="C42" s="77">
        <f>IFERROR(VLOOKUP(A42,'[5]Summary - All Payers'!$A$7:$X$51,17,FALSE),0)</f>
        <v>28333608.530000001</v>
      </c>
      <c r="D42" s="77">
        <f>IFERROR(VLOOKUP(A42,'[5]Summary - All Payers'!$A$7:$X$51,18,FALSE),0)</f>
        <v>19139.830000000002</v>
      </c>
      <c r="E42" s="77">
        <f>IFERROR(VLOOKUP(A42,'[5]Summary - All Payers'!$A$7:$X$51,16,FALSE),0)</f>
        <v>30755548.670000002</v>
      </c>
      <c r="F42" s="96">
        <f t="shared" si="0"/>
        <v>59108297.030000001</v>
      </c>
      <c r="G42" s="96">
        <f t="shared" ref="G42:G50" si="2">C42+D42</f>
        <v>28352748.359999999</v>
      </c>
      <c r="H42" s="77">
        <f>IFERROR(VLOOKUP(A42,'[5]Summary - All Payers'!$A$7:$X$51,20,FALSE),0)</f>
        <v>304076472.81999999</v>
      </c>
      <c r="I42" s="107"/>
      <c r="J42" s="107"/>
      <c r="K42" s="107"/>
      <c r="L42" s="108"/>
      <c r="M42" s="108"/>
    </row>
    <row r="43" spans="1:13" x14ac:dyDescent="0.25">
      <c r="A43" s="63">
        <v>210057</v>
      </c>
      <c r="B43" s="63" t="s">
        <v>102</v>
      </c>
      <c r="C43" s="77">
        <f>IFERROR(VLOOKUP(A43,'[5]Summary - All Payers'!$A$7:$X$51,17,FALSE),0)</f>
        <v>19062377.23</v>
      </c>
      <c r="D43" s="77">
        <f>IFERROR(VLOOKUP(A43,'[5]Summary - All Payers'!$A$7:$X$51,18,FALSE),0)</f>
        <v>446848.86</v>
      </c>
      <c r="E43" s="77">
        <f>IFERROR(VLOOKUP(A43,'[5]Summary - All Payers'!$A$7:$X$51,16,FALSE),0)</f>
        <v>35753428.649999999</v>
      </c>
      <c r="F43" s="96">
        <f t="shared" si="0"/>
        <v>55262654.739999995</v>
      </c>
      <c r="G43" s="96">
        <f t="shared" si="2"/>
        <v>19509226.09</v>
      </c>
      <c r="H43" s="77">
        <f>IFERROR(VLOOKUP(A43,'[5]Summary - All Payers'!$A$7:$X$51,20,FALSE),0)</f>
        <v>506566139.02999997</v>
      </c>
      <c r="I43" s="107"/>
      <c r="J43" s="107"/>
      <c r="K43" s="107"/>
      <c r="L43" s="108"/>
      <c r="M43" s="108"/>
    </row>
    <row r="44" spans="1:13" x14ac:dyDescent="0.25">
      <c r="A44" s="63">
        <v>210058</v>
      </c>
      <c r="B44" s="63" t="s">
        <v>103</v>
      </c>
      <c r="C44" s="77">
        <f>IFERROR(VLOOKUP(A44,'[5]Summary - All Payers'!$A$7:$X$51,17,FALSE),0)</f>
        <v>38892.53</v>
      </c>
      <c r="D44" s="77">
        <v>0</v>
      </c>
      <c r="E44" s="77">
        <f>IFERROR(VLOOKUP(A44,'[5]Summary - All Payers'!$A$7:$X$51,16,FALSE),0)</f>
        <v>299200.56</v>
      </c>
      <c r="F44" s="96">
        <f t="shared" si="0"/>
        <v>338093.08999999997</v>
      </c>
      <c r="G44" s="96">
        <f t="shared" si="2"/>
        <v>38892.53</v>
      </c>
      <c r="H44" s="77">
        <f>IFERROR(VLOOKUP(A44,'[5]Summary - All Payers'!$A$7:$X$51,20,FALSE),0)</f>
        <v>137426726.15000001</v>
      </c>
      <c r="I44" s="107"/>
      <c r="J44" s="107"/>
      <c r="K44" s="107"/>
      <c r="L44" s="108"/>
      <c r="M44" s="108"/>
    </row>
    <row r="45" spans="1:13" x14ac:dyDescent="0.25">
      <c r="A45" s="63">
        <v>210060</v>
      </c>
      <c r="B45" s="63" t="s">
        <v>148</v>
      </c>
      <c r="C45" s="77">
        <f>IFERROR(VLOOKUP(A45,'[5]Summary - All Payers'!$A$7:$X$51,17,FALSE),0)</f>
        <v>9131014.4000000004</v>
      </c>
      <c r="D45" s="77">
        <v>0</v>
      </c>
      <c r="E45" s="77">
        <f>IFERROR(VLOOKUP(A45,'[5]Summary - All Payers'!$A$7:$X$51,16,FALSE),0)</f>
        <v>3594102.41</v>
      </c>
      <c r="F45" s="96">
        <f t="shared" si="0"/>
        <v>12725116.810000001</v>
      </c>
      <c r="G45" s="96">
        <f t="shared" si="2"/>
        <v>9131014.4000000004</v>
      </c>
      <c r="H45" s="77">
        <f>IFERROR(VLOOKUP(A45,'[5]Summary - All Payers'!$A$7:$X$51,20,FALSE),0)</f>
        <v>73710931.340000004</v>
      </c>
      <c r="I45" s="107"/>
      <c r="J45" s="107"/>
      <c r="K45" s="107"/>
      <c r="L45" s="108"/>
      <c r="M45" s="108"/>
    </row>
    <row r="46" spans="1:13" x14ac:dyDescent="0.25">
      <c r="A46" s="63">
        <v>210061</v>
      </c>
      <c r="B46" s="63" t="s">
        <v>105</v>
      </c>
      <c r="C46" s="77">
        <f>IFERROR(VLOOKUP(A46,'[5]Summary - All Payers'!$A$7:$X$51,17,FALSE),0)</f>
        <v>9311235.1500000004</v>
      </c>
      <c r="D46" s="77">
        <f>IFERROR(VLOOKUP(A46,'[5]Summary - All Payers'!$A$7:$X$51,18,FALSE),0)</f>
        <v>8953.6299999999992</v>
      </c>
      <c r="E46" s="77">
        <f>IFERROR(VLOOKUP(A46,'[5]Summary - All Payers'!$A$7:$X$51,16,FALSE),0)</f>
        <v>4486523.21</v>
      </c>
      <c r="F46" s="96">
        <f t="shared" si="0"/>
        <v>13806711.990000002</v>
      </c>
      <c r="G46" s="96">
        <f t="shared" si="2"/>
        <v>9320188.7800000012</v>
      </c>
      <c r="H46" s="77">
        <f>IFERROR(VLOOKUP(A46,'[5]Summary - All Payers'!$A$7:$X$51,20,FALSE),0)</f>
        <v>125218661.75</v>
      </c>
      <c r="I46" s="107"/>
      <c r="J46" s="107"/>
      <c r="K46" s="107"/>
      <c r="L46" s="108"/>
      <c r="M46" s="108"/>
    </row>
    <row r="47" spans="1:13" x14ac:dyDescent="0.25">
      <c r="A47" s="63">
        <v>210062</v>
      </c>
      <c r="B47" s="63" t="s">
        <v>149</v>
      </c>
      <c r="C47" s="77">
        <f>IFERROR(VLOOKUP(A47,'[5]Summary - All Payers'!$A$7:$X$51,17,FALSE),0)</f>
        <v>23352407.579999998</v>
      </c>
      <c r="D47" s="77">
        <v>0</v>
      </c>
      <c r="E47" s="77">
        <f>IFERROR(VLOOKUP(A47,'[5]Summary - All Payers'!$A$7:$X$51,16,FALSE),0)</f>
        <v>23361212.190000001</v>
      </c>
      <c r="F47" s="96">
        <f t="shared" si="0"/>
        <v>46713619.769999996</v>
      </c>
      <c r="G47" s="96">
        <f t="shared" si="2"/>
        <v>23352407.579999998</v>
      </c>
      <c r="H47" s="77">
        <f>IFERROR(VLOOKUP(A47,'[5]Summary - All Payers'!$A$7:$X$51,20,FALSE),0)</f>
        <v>317138753.30000001</v>
      </c>
      <c r="I47" s="107"/>
      <c r="J47" s="107"/>
      <c r="K47" s="107"/>
      <c r="L47" s="108"/>
      <c r="M47" s="108"/>
    </row>
    <row r="48" spans="1:13" x14ac:dyDescent="0.25">
      <c r="A48" s="63">
        <v>210063</v>
      </c>
      <c r="B48" s="63" t="s">
        <v>150</v>
      </c>
      <c r="C48" s="77">
        <f>IFERROR(VLOOKUP(A48,'[5]Summary - All Payers'!$A$7:$X$51,17,FALSE),0)</f>
        <v>15022065.789999999</v>
      </c>
      <c r="D48" s="77">
        <f>IFERROR(VLOOKUP(A48,'[5]Summary - All Payers'!$A$7:$X$51,18,FALSE),0)</f>
        <v>98961.04</v>
      </c>
      <c r="E48" s="77">
        <f>IFERROR(VLOOKUP(A48,'[5]Summary - All Payers'!$A$7:$X$51,16,FALSE),0)</f>
        <v>30716777.440000001</v>
      </c>
      <c r="F48" s="96">
        <f t="shared" si="0"/>
        <v>45837804.269999996</v>
      </c>
      <c r="G48" s="96">
        <f t="shared" si="2"/>
        <v>15121026.829999998</v>
      </c>
      <c r="H48" s="77">
        <f>IFERROR(VLOOKUP(A48,'[5]Summary - All Payers'!$A$7:$X$51,20,FALSE),0)</f>
        <v>444173239.50999999</v>
      </c>
      <c r="I48" s="107"/>
      <c r="J48" s="107"/>
      <c r="K48" s="107"/>
      <c r="L48" s="108"/>
      <c r="M48" s="108"/>
    </row>
    <row r="49" spans="1:603" x14ac:dyDescent="0.25">
      <c r="A49" s="63">
        <v>210064</v>
      </c>
      <c r="B49" s="63" t="s">
        <v>108</v>
      </c>
      <c r="C49" s="77">
        <v>0</v>
      </c>
      <c r="D49" s="77">
        <v>0</v>
      </c>
      <c r="E49" s="77">
        <f>IFERROR(VLOOKUP(A49,'[5]Summary - All Payers'!$A$7:$X$51,16,FALSE),0)</f>
        <v>3223289.84</v>
      </c>
      <c r="F49" s="96">
        <f t="shared" si="0"/>
        <v>3223289.84</v>
      </c>
      <c r="G49" s="96">
        <f t="shared" si="2"/>
        <v>0</v>
      </c>
      <c r="H49" s="77">
        <f>IFERROR(VLOOKUP(A49,'[5]Summary - All Payers'!$A$7:$X$51,20,FALSE),0)</f>
        <v>71098122.230000004</v>
      </c>
      <c r="I49" s="107"/>
      <c r="J49" s="107"/>
      <c r="K49" s="107"/>
      <c r="L49" s="108"/>
      <c r="M49" s="108"/>
    </row>
    <row r="50" spans="1:603" x14ac:dyDescent="0.25">
      <c r="A50" s="63">
        <v>210065</v>
      </c>
      <c r="B50" s="63" t="s">
        <v>109</v>
      </c>
      <c r="C50" s="77">
        <f>IFERROR(VLOOKUP(A50,'[5]Summary - All Payers'!$A$7:$X$51,17,FALSE),0)</f>
        <v>7096883.9299999997</v>
      </c>
      <c r="D50" s="77">
        <v>0</v>
      </c>
      <c r="E50" s="77">
        <f>IFERROR(VLOOKUP(A50,'[5]Summary - All Payers'!$A$7:$X$51,16,FALSE),0)</f>
        <v>8184534.1900000004</v>
      </c>
      <c r="F50" s="96">
        <f t="shared" si="0"/>
        <v>15281418.120000001</v>
      </c>
      <c r="G50" s="96">
        <f t="shared" si="2"/>
        <v>7096883.9299999997</v>
      </c>
      <c r="H50" s="77">
        <f>IFERROR(VLOOKUP(A50,'[5]Summary - All Payers'!$A$7:$X$51,20,FALSE),0)</f>
        <v>145889954.84</v>
      </c>
      <c r="I50" s="107"/>
      <c r="J50" s="107"/>
      <c r="K50" s="107"/>
      <c r="L50" s="108"/>
      <c r="M50" s="108"/>
    </row>
    <row r="51" spans="1:603" x14ac:dyDescent="0.25">
      <c r="A51" s="63"/>
      <c r="B51" s="63"/>
      <c r="C51" s="77"/>
      <c r="D51" s="77"/>
      <c r="E51" s="77"/>
      <c r="F51" s="63"/>
      <c r="G51" s="96"/>
      <c r="H51" s="102"/>
      <c r="I51" s="63"/>
      <c r="J51" s="109"/>
      <c r="K51" s="109"/>
      <c r="L51" s="63"/>
      <c r="M51" s="63"/>
    </row>
    <row r="52" spans="1:603" s="57" customFormat="1" x14ac:dyDescent="0.25">
      <c r="A52" s="92" t="s">
        <v>151</v>
      </c>
      <c r="B52" s="92" t="s">
        <v>151</v>
      </c>
      <c r="C52" s="93">
        <f t="shared" ref="C52:H52" si="3">SUM(C3:C50)</f>
        <v>856168551.93999994</v>
      </c>
      <c r="D52" s="93">
        <f t="shared" si="3"/>
        <v>6011255.9700000007</v>
      </c>
      <c r="E52" s="93">
        <f t="shared" si="3"/>
        <v>1204356030.2500002</v>
      </c>
      <c r="F52" s="93">
        <f t="shared" si="3"/>
        <v>2066535838.1599994</v>
      </c>
      <c r="G52" s="93">
        <f t="shared" si="3"/>
        <v>862179807.91000021</v>
      </c>
      <c r="H52" s="93">
        <f t="shared" si="3"/>
        <v>19796896329.75</v>
      </c>
      <c r="I52" s="104">
        <f>F52/H52</f>
        <v>0.10438685962377296</v>
      </c>
      <c r="J52" s="105">
        <f>SUM(C52:D52)/H52</f>
        <v>4.3551261447702279E-2</v>
      </c>
      <c r="K52" s="104">
        <f>E52/H52</f>
        <v>6.0835598176070718E-2</v>
      </c>
      <c r="L52" s="106">
        <f>J52/I52</f>
        <v>0.41721018914323155</v>
      </c>
      <c r="M52" s="106">
        <f>K52/I52</f>
        <v>0.58278981085676873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</row>
    <row r="53" spans="1:603" x14ac:dyDescent="0.25">
      <c r="C53" s="4">
        <f>1-D53</f>
        <v>0.99297888721049254</v>
      </c>
      <c r="D53" s="4">
        <f>D52/C52</f>
        <v>7.0211127895074424E-3</v>
      </c>
    </row>
  </sheetData>
  <autoFilter ref="A2:WE2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D50"/>
  <sheetViews>
    <sheetView workbookViewId="0">
      <selection activeCell="D20" sqref="D20"/>
    </sheetView>
  </sheetViews>
  <sheetFormatPr defaultColWidth="8.85546875" defaultRowHeight="15" x14ac:dyDescent="0.25"/>
  <sheetData>
    <row r="1" spans="1:4" x14ac:dyDescent="0.25">
      <c r="A1" t="s">
        <v>123</v>
      </c>
      <c r="B1" t="s">
        <v>0</v>
      </c>
      <c r="C1" t="s">
        <v>124</v>
      </c>
      <c r="D1" t="s">
        <v>125</v>
      </c>
    </row>
    <row r="2" spans="1:4" x14ac:dyDescent="0.25">
      <c r="A2" s="1">
        <v>210001</v>
      </c>
      <c r="B2" s="2" t="s">
        <v>2</v>
      </c>
      <c r="C2">
        <f>VLOOKUP(A2,[6]Sheet2!$A:$J,10,FALSE)</f>
        <v>18.96677973468735</v>
      </c>
      <c r="D2">
        <f>VLOOKUP(A2,[6]Sheet2!$A:$I,9,FALSE)</f>
        <v>17.970282908782881</v>
      </c>
    </row>
    <row r="3" spans="1:4" x14ac:dyDescent="0.25">
      <c r="A3" s="1">
        <v>210002</v>
      </c>
      <c r="B3" s="2" t="s">
        <v>3</v>
      </c>
      <c r="C3">
        <f>VLOOKUP(A3,[6]Sheet2!$A:$J,10,FALSE)</f>
        <v>23.179755966181013</v>
      </c>
      <c r="D3">
        <f>VLOOKUP(A3,[6]Sheet2!$A:$I,9,FALSE)</f>
        <v>24.079025018006444</v>
      </c>
    </row>
    <row r="4" spans="1:4" x14ac:dyDescent="0.25">
      <c r="A4" s="1">
        <v>210003</v>
      </c>
      <c r="B4" s="2" t="s">
        <v>4</v>
      </c>
      <c r="C4">
        <f>VLOOKUP(A4,[6]Sheet2!$A:$J,10,FALSE)</f>
        <v>15.306754810803417</v>
      </c>
      <c r="D4">
        <f>VLOOKUP(A4,[6]Sheet2!$A:$I,9,FALSE)</f>
        <v>14.388784729339887</v>
      </c>
    </row>
    <row r="5" spans="1:4" x14ac:dyDescent="0.25">
      <c r="A5" s="1">
        <v>210004</v>
      </c>
      <c r="B5" s="2" t="s">
        <v>5</v>
      </c>
      <c r="C5">
        <f>VLOOKUP(A5,[6]Sheet2!$A:$J,10,FALSE)</f>
        <v>6.4356847642630184</v>
      </c>
      <c r="D5">
        <f>VLOOKUP(A5,[6]Sheet2!$A:$I,9,FALSE)</f>
        <v>6.5696781120644285</v>
      </c>
    </row>
    <row r="6" spans="1:4" x14ac:dyDescent="0.25">
      <c r="A6" s="1">
        <v>210005</v>
      </c>
      <c r="B6" s="2" t="s">
        <v>6</v>
      </c>
      <c r="C6">
        <f>VLOOKUP(A6,[6]Sheet2!$A:$J,10,FALSE)</f>
        <v>10.648007522040173</v>
      </c>
      <c r="D6">
        <f>VLOOKUP(A6,[6]Sheet2!$A:$I,9,FALSE)</f>
        <v>11.803571519189685</v>
      </c>
    </row>
    <row r="7" spans="1:4" x14ac:dyDescent="0.25">
      <c r="A7" s="1">
        <v>210006</v>
      </c>
      <c r="B7" s="2" t="s">
        <v>7</v>
      </c>
      <c r="C7">
        <f>VLOOKUP(A7,[6]Sheet2!$A:$J,10,FALSE)</f>
        <v>14.078247740968541</v>
      </c>
      <c r="D7">
        <f>VLOOKUP(A7,[6]Sheet2!$A:$I,9,FALSE)</f>
        <v>14.697946768506055</v>
      </c>
    </row>
    <row r="8" spans="1:4" x14ac:dyDescent="0.25">
      <c r="A8" s="1">
        <v>210008</v>
      </c>
      <c r="B8" s="2" t="s">
        <v>8</v>
      </c>
      <c r="C8">
        <f>VLOOKUP(A8,[6]Sheet2!$A:$J,10,FALSE)</f>
        <v>21.015656340025313</v>
      </c>
      <c r="D8">
        <f>VLOOKUP(A8,[6]Sheet2!$A:$I,9,FALSE)</f>
        <v>20.993625889650875</v>
      </c>
    </row>
    <row r="9" spans="1:4" x14ac:dyDescent="0.25">
      <c r="A9" s="1">
        <v>210009</v>
      </c>
      <c r="B9" s="2" t="s">
        <v>9</v>
      </c>
      <c r="C9">
        <f>VLOOKUP(A9,[6]Sheet2!$A:$J,10,FALSE)</f>
        <v>32.381991160488077</v>
      </c>
      <c r="D9">
        <f>VLOOKUP(A9,[6]Sheet2!$A:$I,9,FALSE)</f>
        <v>30.000417772167999</v>
      </c>
    </row>
    <row r="10" spans="1:4" x14ac:dyDescent="0.25">
      <c r="A10" s="1">
        <v>210010</v>
      </c>
      <c r="B10" s="2" t="s">
        <v>10</v>
      </c>
      <c r="C10" t="e">
        <f>VLOOKUP(A10,[6]Sheet2!$A:$J,10,FALSE)</f>
        <v>#DIV/0!</v>
      </c>
      <c r="D10" t="e">
        <f>VLOOKUP(A10,[6]Sheet2!$A:$I,9,FALSE)</f>
        <v>#DIV/0!</v>
      </c>
    </row>
    <row r="11" spans="1:4" x14ac:dyDescent="0.25">
      <c r="A11" s="1">
        <v>210011</v>
      </c>
      <c r="B11" s="2" t="s">
        <v>11</v>
      </c>
      <c r="C11">
        <f>VLOOKUP(A11,[6]Sheet2!$A:$J,10,FALSE)</f>
        <v>17.10430357297783</v>
      </c>
      <c r="D11">
        <f>VLOOKUP(A11,[6]Sheet2!$A:$I,9,FALSE)</f>
        <v>17.001159290675616</v>
      </c>
    </row>
    <row r="12" spans="1:4" x14ac:dyDescent="0.25">
      <c r="A12" s="1">
        <v>210012</v>
      </c>
      <c r="B12" s="2" t="s">
        <v>12</v>
      </c>
      <c r="C12">
        <f>VLOOKUP(A12,[6]Sheet2!$A:$J,10,FALSE)</f>
        <v>28.946436139500737</v>
      </c>
      <c r="D12">
        <f>VLOOKUP(A12,[6]Sheet2!$A:$I,9,FALSE)</f>
        <v>28.968174843180819</v>
      </c>
    </row>
    <row r="13" spans="1:4" x14ac:dyDescent="0.25">
      <c r="A13" s="1">
        <v>210013</v>
      </c>
      <c r="B13" s="2" t="s">
        <v>13</v>
      </c>
      <c r="C13">
        <f>VLOOKUP(A13,[6]Sheet2!$A:$J,10,FALSE)</f>
        <v>26.137533640252322</v>
      </c>
      <c r="D13">
        <f>VLOOKUP(A13,[6]Sheet2!$A:$I,9,FALSE)</f>
        <v>27.585313087376623</v>
      </c>
    </row>
    <row r="14" spans="1:4" x14ac:dyDescent="0.25">
      <c r="A14" s="1">
        <v>210015</v>
      </c>
      <c r="B14" s="2" t="s">
        <v>14</v>
      </c>
      <c r="C14">
        <f>VLOOKUP(A14,[6]Sheet2!$A:$J,10,FALSE)</f>
        <v>30.288834341477649</v>
      </c>
      <c r="D14">
        <f>VLOOKUP(A14,[6]Sheet2!$A:$I,9,FALSE)</f>
        <v>32.84062267882932</v>
      </c>
    </row>
    <row r="15" spans="1:4" x14ac:dyDescent="0.25">
      <c r="A15" s="1">
        <v>210016</v>
      </c>
      <c r="B15" s="2" t="s">
        <v>15</v>
      </c>
      <c r="C15">
        <f>VLOOKUP(A15,[6]Sheet2!$A:$J,10,FALSE)</f>
        <v>7.7872117704039328</v>
      </c>
      <c r="D15">
        <f>VLOOKUP(A15,[6]Sheet2!$A:$I,9,FALSE)</f>
        <v>7.8846518333025672</v>
      </c>
    </row>
    <row r="16" spans="1:4" x14ac:dyDescent="0.25">
      <c r="A16" s="1">
        <v>210017</v>
      </c>
      <c r="B16" s="2" t="s">
        <v>16</v>
      </c>
      <c r="C16">
        <f>VLOOKUP(A16,[6]Sheet2!$A:$J,10,FALSE)</f>
        <v>10.869565217391305</v>
      </c>
      <c r="D16">
        <f>VLOOKUP(A16,[6]Sheet2!$A:$I,9,FALSE)</f>
        <v>11.349104859335037</v>
      </c>
    </row>
    <row r="17" spans="1:4" x14ac:dyDescent="0.25">
      <c r="A17" s="1">
        <v>210018</v>
      </c>
      <c r="B17" s="2" t="s">
        <v>17</v>
      </c>
      <c r="C17">
        <f>VLOOKUP(A17,[6]Sheet2!$A:$J,10,FALSE)</f>
        <v>21.773721831883709</v>
      </c>
      <c r="D17">
        <f>VLOOKUP(A17,[6]Sheet2!$A:$I,9,FALSE)</f>
        <v>20.082012517245495</v>
      </c>
    </row>
    <row r="18" spans="1:4" x14ac:dyDescent="0.25">
      <c r="A18" s="1">
        <v>210019</v>
      </c>
      <c r="B18" s="2" t="s">
        <v>18</v>
      </c>
      <c r="C18">
        <f>VLOOKUP(A18,[6]Sheet2!$A:$J,10,FALSE)</f>
        <v>18.615749725918555</v>
      </c>
      <c r="D18">
        <f>VLOOKUP(A18,[6]Sheet2!$A:$I,9,FALSE)</f>
        <v>18.828584538182781</v>
      </c>
    </row>
    <row r="19" spans="1:4" x14ac:dyDescent="0.25">
      <c r="A19" s="1">
        <v>210022</v>
      </c>
      <c r="B19" s="2" t="s">
        <v>19</v>
      </c>
      <c r="C19">
        <f>VLOOKUP(A19,[6]Sheet2!$A:$J,10,FALSE)</f>
        <v>8.723309458342472</v>
      </c>
      <c r="D19">
        <f>VLOOKUP(A19,[6]Sheet2!$A:$I,9,FALSE)</f>
        <v>7.8451128465786315</v>
      </c>
    </row>
    <row r="20" spans="1:4" x14ac:dyDescent="0.25">
      <c r="A20" s="1">
        <v>210023</v>
      </c>
      <c r="B20" s="2" t="s">
        <v>20</v>
      </c>
      <c r="C20">
        <f>VLOOKUP(A20,[6]Sheet2!$A:$J,10,FALSE)</f>
        <v>10.382816741883316</v>
      </c>
      <c r="D20">
        <f>VLOOKUP(A20,[6]Sheet2!$A:$I,9,FALSE)</f>
        <v>9.5549470758919455</v>
      </c>
    </row>
    <row r="21" spans="1:4" x14ac:dyDescent="0.25">
      <c r="A21" s="1">
        <v>210024</v>
      </c>
      <c r="B21" s="2" t="s">
        <v>21</v>
      </c>
      <c r="C21">
        <f>VLOOKUP(A21,[6]Sheet2!$A:$J,10,FALSE)</f>
        <v>29.815434833366961</v>
      </c>
      <c r="D21">
        <f>VLOOKUP(A21,[6]Sheet2!$A:$I,9,FALSE)</f>
        <v>28.406826287068995</v>
      </c>
    </row>
    <row r="22" spans="1:4" x14ac:dyDescent="0.25">
      <c r="A22" s="1">
        <v>210027</v>
      </c>
      <c r="B22" s="2" t="s">
        <v>22</v>
      </c>
      <c r="C22">
        <f>VLOOKUP(A22,[6]Sheet2!$A:$J,10,FALSE)</f>
        <v>18.161851847824906</v>
      </c>
      <c r="D22">
        <f>VLOOKUP(A22,[6]Sheet2!$A:$I,9,FALSE)</f>
        <v>18.037902427886447</v>
      </c>
    </row>
    <row r="23" spans="1:4" x14ac:dyDescent="0.25">
      <c r="A23" s="1">
        <v>210028</v>
      </c>
      <c r="B23" s="2" t="s">
        <v>23</v>
      </c>
      <c r="C23">
        <f>VLOOKUP(A23,[6]Sheet2!$A:$J,10,FALSE)</f>
        <v>20.352703434777023</v>
      </c>
      <c r="D23">
        <f>VLOOKUP(A23,[6]Sheet2!$A:$I,9,FALSE)</f>
        <v>19.859680302544973</v>
      </c>
    </row>
    <row r="24" spans="1:4" x14ac:dyDescent="0.25">
      <c r="A24" s="1">
        <v>210029</v>
      </c>
      <c r="B24" s="2" t="s">
        <v>24</v>
      </c>
      <c r="C24">
        <f>VLOOKUP(A24,[6]Sheet2!$A:$J,10,FALSE)</f>
        <v>34.015247133526593</v>
      </c>
      <c r="D24">
        <f>VLOOKUP(A24,[6]Sheet2!$A:$I,9,FALSE)</f>
        <v>35.563771832457022</v>
      </c>
    </row>
    <row r="25" spans="1:4" x14ac:dyDescent="0.25">
      <c r="A25" s="1">
        <v>210030</v>
      </c>
      <c r="B25" s="2" t="s">
        <v>25</v>
      </c>
      <c r="C25">
        <f>VLOOKUP(A25,[6]Sheet2!$A:$J,10,FALSE)</f>
        <v>7.6545732688301937</v>
      </c>
      <c r="D25">
        <f>VLOOKUP(A25,[6]Sheet2!$A:$I,9,FALSE)</f>
        <v>6.006243331884459</v>
      </c>
    </row>
    <row r="26" spans="1:4" x14ac:dyDescent="0.25">
      <c r="A26" s="1">
        <v>210032</v>
      </c>
      <c r="B26" s="2" t="s">
        <v>26</v>
      </c>
      <c r="C26">
        <f>VLOOKUP(A26,[6]Sheet2!$A:$J,10,FALSE)</f>
        <v>10.853943868126665</v>
      </c>
      <c r="D26">
        <f>VLOOKUP(A26,[6]Sheet2!$A:$I,9,FALSE)</f>
        <v>10.222965988380635</v>
      </c>
    </row>
    <row r="27" spans="1:4" x14ac:dyDescent="0.25">
      <c r="A27" s="1">
        <v>210033</v>
      </c>
      <c r="B27" s="2" t="s">
        <v>27</v>
      </c>
      <c r="C27">
        <f>VLOOKUP(A27,[6]Sheet2!$A:$J,10,FALSE)</f>
        <v>17.162183926558225</v>
      </c>
      <c r="D27">
        <f>VLOOKUP(A27,[6]Sheet2!$A:$I,9,FALSE)</f>
        <v>19.07553551296505</v>
      </c>
    </row>
    <row r="28" spans="1:4" x14ac:dyDescent="0.25">
      <c r="A28" s="1">
        <v>210034</v>
      </c>
      <c r="B28" s="2" t="s">
        <v>28</v>
      </c>
      <c r="C28">
        <f>VLOOKUP(A28,[6]Sheet2!$A:$J,10,FALSE)</f>
        <v>34.375786157711154</v>
      </c>
      <c r="D28">
        <f>VLOOKUP(A28,[6]Sheet2!$A:$I,9,FALSE)</f>
        <v>33.08628770882887</v>
      </c>
    </row>
    <row r="29" spans="1:4" x14ac:dyDescent="0.25">
      <c r="A29" s="1">
        <v>210035</v>
      </c>
      <c r="B29" s="2" t="s">
        <v>29</v>
      </c>
      <c r="C29">
        <f>VLOOKUP(A29,[6]Sheet2!$A:$J,10,FALSE)</f>
        <v>9.1191294945362937</v>
      </c>
      <c r="D29">
        <f>VLOOKUP(A29,[6]Sheet2!$A:$I,9,FALSE)</f>
        <v>8.1036978307166105</v>
      </c>
    </row>
    <row r="30" spans="1:4" x14ac:dyDescent="0.25">
      <c r="A30" s="1">
        <v>210037</v>
      </c>
      <c r="B30" s="2" t="s">
        <v>30</v>
      </c>
      <c r="C30">
        <f>VLOOKUP(A30,[6]Sheet2!$A:$J,10,FALSE)</f>
        <v>12.227772227772228</v>
      </c>
      <c r="D30">
        <f>VLOOKUP(A30,[6]Sheet2!$A:$I,9,FALSE)</f>
        <v>10.256410256410257</v>
      </c>
    </row>
    <row r="31" spans="1:4" x14ac:dyDescent="0.25">
      <c r="A31" s="1">
        <v>210038</v>
      </c>
      <c r="B31" s="2" t="s">
        <v>31</v>
      </c>
      <c r="C31">
        <f>VLOOKUP(A31,[6]Sheet2!$A:$J,10,FALSE)</f>
        <v>29.452026624001231</v>
      </c>
      <c r="D31">
        <f>VLOOKUP(A31,[6]Sheet2!$A:$I,9,FALSE)</f>
        <v>28.874106396961359</v>
      </c>
    </row>
    <row r="32" spans="1:4" x14ac:dyDescent="0.25">
      <c r="A32" s="1">
        <v>210039</v>
      </c>
      <c r="B32" s="2" t="s">
        <v>32</v>
      </c>
      <c r="C32">
        <f>VLOOKUP(A32,[6]Sheet2!$A:$J,10,FALSE)</f>
        <v>8.469349317194931</v>
      </c>
      <c r="D32">
        <f>VLOOKUP(A32,[6]Sheet2!$A:$I,9,FALSE)</f>
        <v>8.2727246385210513</v>
      </c>
    </row>
    <row r="33" spans="1:4" x14ac:dyDescent="0.25">
      <c r="A33" s="1">
        <v>210040</v>
      </c>
      <c r="B33" s="2" t="s">
        <v>33</v>
      </c>
      <c r="C33">
        <f>VLOOKUP(A33,[6]Sheet2!$A:$J,10,FALSE)</f>
        <v>19.370590958334585</v>
      </c>
      <c r="D33">
        <f>VLOOKUP(A33,[6]Sheet2!$A:$I,9,FALSE)</f>
        <v>22.007595270210935</v>
      </c>
    </row>
    <row r="34" spans="1:4" x14ac:dyDescent="0.25">
      <c r="A34" s="1">
        <v>210043</v>
      </c>
      <c r="B34" s="2" t="s">
        <v>34</v>
      </c>
      <c r="C34">
        <f>VLOOKUP(A34,[6]Sheet2!$A:$J,10,FALSE)</f>
        <v>12.035189618635016</v>
      </c>
      <c r="D34">
        <f>VLOOKUP(A34,[6]Sheet2!$A:$I,9,FALSE)</f>
        <v>11.853711939787146</v>
      </c>
    </row>
    <row r="35" spans="1:4" x14ac:dyDescent="0.25">
      <c r="A35" s="1">
        <v>210044</v>
      </c>
      <c r="B35" s="2" t="s">
        <v>35</v>
      </c>
      <c r="C35">
        <f>VLOOKUP(A35,[6]Sheet2!$A:$J,10,FALSE)</f>
        <v>10.917358873062915</v>
      </c>
      <c r="D35">
        <f>VLOOKUP(A35,[6]Sheet2!$A:$I,9,FALSE)</f>
        <v>11.232794326264177</v>
      </c>
    </row>
    <row r="36" spans="1:4" x14ac:dyDescent="0.25">
      <c r="A36" s="1">
        <v>210045</v>
      </c>
      <c r="B36" s="2" t="s">
        <v>36</v>
      </c>
      <c r="C36">
        <f>VLOOKUP(A36,[6]Sheet2!$A:$J,10,FALSE)</f>
        <v>12.69648724648691</v>
      </c>
      <c r="D36">
        <f>VLOOKUP(A36,[6]Sheet2!$A:$I,9,FALSE)</f>
        <v>13.562941864867112</v>
      </c>
    </row>
    <row r="37" spans="1:4" x14ac:dyDescent="0.25">
      <c r="A37" s="1">
        <v>210048</v>
      </c>
      <c r="B37" s="2" t="s">
        <v>37</v>
      </c>
      <c r="C37">
        <f>VLOOKUP(A37,[6]Sheet2!$A:$J,10,FALSE)</f>
        <v>8.2344499140545029</v>
      </c>
      <c r="D37">
        <f>VLOOKUP(A37,[6]Sheet2!$A:$I,9,FALSE)</f>
        <v>8.6972766425911061</v>
      </c>
    </row>
    <row r="38" spans="1:4" x14ac:dyDescent="0.25">
      <c r="A38" s="1">
        <v>210049</v>
      </c>
      <c r="B38" s="2" t="s">
        <v>38</v>
      </c>
      <c r="C38">
        <f>VLOOKUP(A38,[6]Sheet2!$A:$J,10,FALSE)</f>
        <v>13.159762676405023</v>
      </c>
      <c r="D38">
        <f>VLOOKUP(A38,[6]Sheet2!$A:$I,9,FALSE)</f>
        <v>13.302201322281926</v>
      </c>
    </row>
    <row r="39" spans="1:4" x14ac:dyDescent="0.25">
      <c r="A39" s="1">
        <v>210051</v>
      </c>
      <c r="B39" s="2" t="s">
        <v>39</v>
      </c>
      <c r="C39">
        <f>VLOOKUP(A39,[6]Sheet2!$A:$J,10,FALSE)</f>
        <v>13.020872299570788</v>
      </c>
      <c r="D39">
        <f>VLOOKUP(A39,[6]Sheet2!$A:$I,9,FALSE)</f>
        <v>12.660860186207415</v>
      </c>
    </row>
    <row r="40" spans="1:4" x14ac:dyDescent="0.25">
      <c r="A40" s="1">
        <v>210055</v>
      </c>
      <c r="B40" s="2" t="s">
        <v>40</v>
      </c>
      <c r="C40" t="e">
        <f>VLOOKUP(A40,[6]Sheet2!$A:$J,10,FALSE)</f>
        <v>#DIV/0!</v>
      </c>
      <c r="D40" t="e">
        <f>VLOOKUP(A40,[6]Sheet2!$A:$I,9,FALSE)</f>
        <v>#DIV/0!</v>
      </c>
    </row>
    <row r="41" spans="1:4" x14ac:dyDescent="0.25">
      <c r="A41" s="1">
        <v>210056</v>
      </c>
      <c r="B41" s="2" t="s">
        <v>41</v>
      </c>
      <c r="C41">
        <f>VLOOKUP(A41,[6]Sheet2!$A:$J,10,FALSE)</f>
        <v>30.418579319332476</v>
      </c>
      <c r="D41">
        <f>VLOOKUP(A41,[6]Sheet2!$A:$I,9,FALSE)</f>
        <v>30.168931342212019</v>
      </c>
    </row>
    <row r="42" spans="1:4" x14ac:dyDescent="0.25">
      <c r="A42" s="1">
        <v>210057</v>
      </c>
      <c r="B42" s="2" t="s">
        <v>42</v>
      </c>
      <c r="C42">
        <f>VLOOKUP(A42,[6]Sheet2!$A:$J,10,FALSE)</f>
        <v>6.8205658799388518</v>
      </c>
      <c r="D42">
        <f>VLOOKUP(A42,[6]Sheet2!$A:$I,9,FALSE)</f>
        <v>6.4102595843798893</v>
      </c>
    </row>
    <row r="43" spans="1:4" x14ac:dyDescent="0.25">
      <c r="A43" s="1">
        <v>210058</v>
      </c>
      <c r="B43" s="2" t="s">
        <v>43</v>
      </c>
      <c r="C43" t="e">
        <f>VLOOKUP(A43,[6]Sheet2!$A:$J,10,FALSE)</f>
        <v>#DIV/0!</v>
      </c>
      <c r="D43" t="e">
        <f>VLOOKUP(A43,[6]Sheet2!$A:$I,9,FALSE)</f>
        <v>#DIV/0!</v>
      </c>
    </row>
    <row r="44" spans="1:4" x14ac:dyDescent="0.25">
      <c r="A44" s="1">
        <v>210060</v>
      </c>
      <c r="B44" s="2" t="s">
        <v>44</v>
      </c>
      <c r="C44">
        <f>VLOOKUP(A44,[6]Sheet2!$A:$J,10,FALSE)</f>
        <v>9.1216525124247045</v>
      </c>
      <c r="D44">
        <f>VLOOKUP(A44,[6]Sheet2!$A:$I,9,FALSE)</f>
        <v>8.872635043152334</v>
      </c>
    </row>
    <row r="45" spans="1:4" x14ac:dyDescent="0.25">
      <c r="A45" s="1">
        <v>210061</v>
      </c>
      <c r="B45" s="2" t="s">
        <v>45</v>
      </c>
      <c r="C45">
        <f>VLOOKUP(A45,[6]Sheet2!$A:$J,10,FALSE)</f>
        <v>13.780355142791933</v>
      </c>
      <c r="D45">
        <f>VLOOKUP(A45,[6]Sheet2!$A:$I,9,FALSE)</f>
        <v>11.703422668535717</v>
      </c>
    </row>
    <row r="46" spans="1:4" x14ac:dyDescent="0.25">
      <c r="A46" s="1">
        <v>210062</v>
      </c>
      <c r="B46" s="2" t="s">
        <v>46</v>
      </c>
      <c r="C46">
        <f>VLOOKUP(A46,[6]Sheet2!$A:$J,10,FALSE)</f>
        <v>16.120971448754094</v>
      </c>
      <c r="D46">
        <f>VLOOKUP(A46,[6]Sheet2!$A:$I,9,FALSE)</f>
        <v>16.488735326242608</v>
      </c>
    </row>
    <row r="47" spans="1:4" x14ac:dyDescent="0.25">
      <c r="A47" s="1">
        <v>210063</v>
      </c>
      <c r="B47" s="2" t="s">
        <v>47</v>
      </c>
      <c r="C47">
        <f>VLOOKUP(A47,[6]Sheet2!$A:$J,10,FALSE)</f>
        <v>13.317680634080176</v>
      </c>
      <c r="D47">
        <f>VLOOKUP(A47,[6]Sheet2!$A:$I,9,FALSE)</f>
        <v>12.717226000062062</v>
      </c>
    </row>
    <row r="48" spans="1:4" x14ac:dyDescent="0.25">
      <c r="A48" s="1">
        <v>210064</v>
      </c>
      <c r="B48" s="2" t="s">
        <v>48</v>
      </c>
      <c r="C48">
        <f>VLOOKUP(A48,[6]Sheet2!$A:$J,10,FALSE)</f>
        <v>14.391770672846812</v>
      </c>
      <c r="D48">
        <f>VLOOKUP(A48,[6]Sheet2!$A:$I,9,FALSE)</f>
        <v>15.144216644503524</v>
      </c>
    </row>
    <row r="49" spans="1:4" x14ac:dyDescent="0.25">
      <c r="A49" s="1">
        <v>210065</v>
      </c>
      <c r="B49" s="2" t="s">
        <v>49</v>
      </c>
      <c r="C49">
        <f>VLOOKUP(A49,[6]Sheet2!$A:$J,10,FALSE)</f>
        <v>6.0725825275728704</v>
      </c>
      <c r="D49">
        <f>VLOOKUP(A49,[6]Sheet2!$A:$I,9,FALSE)</f>
        <v>6.4021169660085153</v>
      </c>
    </row>
    <row r="50" spans="1:4" x14ac:dyDescent="0.25">
      <c r="A50" t="s">
        <v>66</v>
      </c>
      <c r="B50" s="3" t="s">
        <v>66</v>
      </c>
      <c r="C50">
        <f>VLOOKUP(A50,[6]Sheet2!$A:$J,10,FALSE)</f>
        <v>15.046267570155051</v>
      </c>
      <c r="D50">
        <f>VLOOKUP(A50,[6]Sheet2!$A:$I,9,FALSE)</f>
        <v>14.94106232725415</v>
      </c>
    </row>
  </sheetData>
  <autoFilter ref="A1:D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10" sqref="C10"/>
    </sheetView>
  </sheetViews>
  <sheetFormatPr defaultColWidth="8.85546875" defaultRowHeight="15" x14ac:dyDescent="0.25"/>
  <cols>
    <col min="1" max="1" width="30.42578125" customWidth="1"/>
    <col min="3" max="3" width="47.28515625" customWidth="1"/>
    <col min="4" max="4" width="43.42578125" customWidth="1"/>
  </cols>
  <sheetData>
    <row r="1" spans="1:4" x14ac:dyDescent="0.25">
      <c r="A1" s="34" t="s">
        <v>115</v>
      </c>
      <c r="B1" s="34" t="s">
        <v>114</v>
      </c>
      <c r="C1" s="34" t="s">
        <v>117</v>
      </c>
      <c r="D1" s="34" t="s">
        <v>118</v>
      </c>
    </row>
    <row r="2" spans="1:4" x14ac:dyDescent="0.25">
      <c r="A2" s="31" t="s">
        <v>112</v>
      </c>
      <c r="B2" s="33">
        <v>43564</v>
      </c>
      <c r="C2" s="31"/>
      <c r="D2" s="31"/>
    </row>
    <row r="3" spans="1:4" x14ac:dyDescent="0.25">
      <c r="A3" s="31" t="s">
        <v>113</v>
      </c>
      <c r="B3" s="33">
        <v>43636</v>
      </c>
      <c r="C3" s="31" t="s">
        <v>116</v>
      </c>
      <c r="D3" s="32"/>
    </row>
    <row r="4" spans="1:4" ht="39" x14ac:dyDescent="0.25">
      <c r="A4" s="122" t="s">
        <v>113</v>
      </c>
      <c r="B4" s="123">
        <v>43675</v>
      </c>
      <c r="C4" s="35" t="s">
        <v>120</v>
      </c>
      <c r="D4" s="35" t="s">
        <v>119</v>
      </c>
    </row>
    <row r="5" spans="1:4" ht="39" x14ac:dyDescent="0.25">
      <c r="A5" s="122"/>
      <c r="B5" s="123"/>
      <c r="C5" s="35" t="s">
        <v>122</v>
      </c>
      <c r="D5" s="35" t="s">
        <v>121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B3E9DD09034DA5211586A3544BC5" ma:contentTypeVersion="1" ma:contentTypeDescription="Create a new document." ma:contentTypeScope="" ma:versionID="43757e3708807329d095c0c4118e6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EEB0A5-713D-4655-B72D-8A2A127E37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EC5B33-FDC5-4E3A-BAC0-CBF29DDD3B44}"/>
</file>

<file path=customXml/itemProps3.xml><?xml version="1.0" encoding="utf-8"?>
<ds:datastoreItem xmlns:ds="http://schemas.openxmlformats.org/officeDocument/2006/customXml" ds:itemID="{0065C490-BED2-4536-A040-9130B143893E}">
  <ds:schemaRefs>
    <ds:schemaRef ds:uri="http://schemas.openxmlformats.org/package/2006/metadata/core-properties"/>
    <ds:schemaRef ds:uri="d1b2894f-de82-4df1-a27e-6a7ee325bdc9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Savings</vt:lpstr>
      <vt:lpstr>Hospital PAU Savings</vt:lpstr>
      <vt:lpstr>PAU Performance</vt:lpstr>
      <vt:lpstr>Statewide PAU Revenue</vt:lpstr>
      <vt:lpstr>Sheet1</vt:lpstr>
      <vt:lpstr>change log</vt:lpstr>
      <vt:lpstr>'Hospital PAU Savings'!Print_Area</vt:lpstr>
      <vt:lpstr>'Hospital PAU Savings'!Print_Titles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Mandel</dc:creator>
  <cp:lastModifiedBy>Cameron Whisnand</cp:lastModifiedBy>
  <cp:lastPrinted>2019-04-30T18:56:27Z</cp:lastPrinted>
  <dcterms:created xsi:type="dcterms:W3CDTF">2017-08-22T16:40:20Z</dcterms:created>
  <dcterms:modified xsi:type="dcterms:W3CDTF">2023-10-19T16:33:57Z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0x0101000902B3E9DD09034DA5211586A3544BC5</vt:lpwstr>
  </property>
</Properties>
</file>