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dhscrc-my.sharepoint.com/personal/ldiven_hscrc_maryland_gov/Documents/Website Redesign/Cameron edits/"/>
    </mc:Choice>
  </mc:AlternateContent>
  <xr:revisionPtr revIDLastSave="0" documentId="8_{A07A7FC5-DB85-4C96-9585-9593EAF01503}" xr6:coauthVersionLast="47" xr6:coauthVersionMax="47" xr10:uidLastSave="{00000000-0000-0000-0000-000000000000}"/>
  <bookViews>
    <workbookView xWindow="-96" yWindow="-96" windowWidth="23232" windowHeight="13872" activeTab="1" xr2:uid="{00000000-000D-0000-FFFF-FFFF00000000}"/>
  </bookViews>
  <sheets>
    <sheet name="Capital Threshold Calculator" sheetId="12" r:id="rId1"/>
    <sheet name="Rate Support Calculator" sheetId="13" r:id="rId2"/>
    <sheet name="Regular Peer Group Pivot" sheetId="4" r:id="rId3"/>
    <sheet name="AMC Peer Group Pivot" sheetId="6" r:id="rId4"/>
    <sheet name="PAU" sheetId="8" r:id="rId5"/>
  </sheets>
  <externalReferences>
    <externalReference r:id="rId6"/>
    <externalReference r:id="rId7"/>
    <externalReference r:id="rId8"/>
  </externalReferences>
  <definedNames>
    <definedName name="_xlnm._FilterDatabase" localSheetId="4" hidden="1">PAU!$A$3:$AS$52</definedName>
    <definedName name="_xlnm._FilterDatabase" localSheetId="1" hidden="1">'Rate Support Calculator'!$A$7:$AV$53</definedName>
    <definedName name="ACS_Detail">#REF!</definedName>
    <definedName name="_xlnm.Print_Area" localSheetId="1">#REF!</definedName>
    <definedName name="_xlnm.Print_Area">#REF!</definedName>
  </definedNames>
  <calcPr calcId="191029"/>
  <pivotCaches>
    <pivotCache cacheId="1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8" i="13" l="1"/>
  <c r="H8" i="13"/>
  <c r="I8" i="13"/>
  <c r="U61" i="13"/>
  <c r="U60" i="13"/>
  <c r="U59" i="13"/>
  <c r="U58" i="13"/>
  <c r="U57" i="13"/>
  <c r="AU14" i="13"/>
  <c r="AM14" i="13"/>
  <c r="AL14" i="13"/>
  <c r="AK14" i="13"/>
  <c r="AI14" i="13"/>
  <c r="AH14" i="13"/>
  <c r="AA14" i="13"/>
  <c r="N14" i="13"/>
  <c r="I14" i="13"/>
  <c r="H14" i="13"/>
  <c r="D14" i="13"/>
  <c r="F14" i="13" s="1"/>
  <c r="R14" i="13"/>
  <c r="AU25" i="13"/>
  <c r="AM25" i="13"/>
  <c r="AL25" i="13"/>
  <c r="AK25" i="13"/>
  <c r="AI25" i="13"/>
  <c r="AH25" i="13"/>
  <c r="AA25" i="13"/>
  <c r="N25" i="13"/>
  <c r="I25" i="13"/>
  <c r="H25" i="13"/>
  <c r="D25" i="13"/>
  <c r="E25" i="13" s="1"/>
  <c r="R25" i="13"/>
  <c r="AU9" i="13"/>
  <c r="AM9" i="13"/>
  <c r="AL9" i="13"/>
  <c r="AK9" i="13"/>
  <c r="AI9" i="13"/>
  <c r="AH9" i="13"/>
  <c r="AA9" i="13"/>
  <c r="N9" i="13"/>
  <c r="I9" i="13"/>
  <c r="H9" i="13"/>
  <c r="D9" i="13"/>
  <c r="E9" i="13" s="1"/>
  <c r="R9" i="13"/>
  <c r="AU24" i="13"/>
  <c r="AM24" i="13"/>
  <c r="AL24" i="13"/>
  <c r="AK24" i="13"/>
  <c r="AI24" i="13"/>
  <c r="AH24" i="13"/>
  <c r="AA24" i="13"/>
  <c r="N24" i="13"/>
  <c r="I24" i="13"/>
  <c r="H24" i="13"/>
  <c r="F24" i="13"/>
  <c r="E24" i="13"/>
  <c r="R24" i="13"/>
  <c r="AM53" i="13"/>
  <c r="AL53" i="13"/>
  <c r="AK53" i="13"/>
  <c r="AI53" i="13"/>
  <c r="AH53" i="13"/>
  <c r="N53" i="13"/>
  <c r="I53" i="13"/>
  <c r="H53" i="13"/>
  <c r="D53" i="13"/>
  <c r="F53" i="13" s="1"/>
  <c r="R53" i="13"/>
  <c r="AU29" i="13"/>
  <c r="AM29" i="13"/>
  <c r="AL29" i="13"/>
  <c r="AK29" i="13"/>
  <c r="AI29" i="13"/>
  <c r="AH29" i="13"/>
  <c r="AA29" i="13"/>
  <c r="N29" i="13"/>
  <c r="I29" i="13"/>
  <c r="H29" i="13"/>
  <c r="F29" i="13"/>
  <c r="E29" i="13"/>
  <c r="R29" i="13"/>
  <c r="AU44" i="13"/>
  <c r="AM44" i="13"/>
  <c r="AL44" i="13"/>
  <c r="AK44" i="13"/>
  <c r="AI44" i="13"/>
  <c r="AH44" i="13"/>
  <c r="AA44" i="13"/>
  <c r="N44" i="13"/>
  <c r="I44" i="13"/>
  <c r="H44" i="13"/>
  <c r="D44" i="13"/>
  <c r="R44" i="13"/>
  <c r="AU42" i="13"/>
  <c r="AM42" i="13"/>
  <c r="AL42" i="13"/>
  <c r="AK42" i="13"/>
  <c r="AI42" i="13"/>
  <c r="AH42" i="13"/>
  <c r="AA42" i="13"/>
  <c r="N42" i="13"/>
  <c r="I42" i="13"/>
  <c r="H42" i="13"/>
  <c r="D42" i="13"/>
  <c r="R42" i="13"/>
  <c r="AU28" i="13"/>
  <c r="AM28" i="13"/>
  <c r="AL28" i="13"/>
  <c r="AK28" i="13"/>
  <c r="AI28" i="13"/>
  <c r="AH28" i="13"/>
  <c r="AA28" i="13"/>
  <c r="N28" i="13"/>
  <c r="I28" i="13"/>
  <c r="H28" i="13"/>
  <c r="D28" i="13"/>
  <c r="E28" i="13" s="1"/>
  <c r="R28" i="13"/>
  <c r="AU11" i="13"/>
  <c r="AM11" i="13"/>
  <c r="AL11" i="13"/>
  <c r="AK11" i="13"/>
  <c r="AI11" i="13"/>
  <c r="AH11" i="13"/>
  <c r="AA11" i="13"/>
  <c r="N11" i="13"/>
  <c r="I11" i="13"/>
  <c r="H11" i="13"/>
  <c r="D11" i="13"/>
  <c r="E11" i="13" s="1"/>
  <c r="R11" i="13"/>
  <c r="AU19" i="13"/>
  <c r="AM19" i="13"/>
  <c r="AL19" i="13"/>
  <c r="AK19" i="13"/>
  <c r="AI19" i="13"/>
  <c r="AH19" i="13"/>
  <c r="AA19" i="13"/>
  <c r="N19" i="13"/>
  <c r="I19" i="13"/>
  <c r="H19" i="13"/>
  <c r="D19" i="13"/>
  <c r="F19" i="13" s="1"/>
  <c r="R19" i="13"/>
  <c r="AU21" i="13"/>
  <c r="AM21" i="13"/>
  <c r="AL21" i="13"/>
  <c r="AK21" i="13"/>
  <c r="AI21" i="13"/>
  <c r="AH21" i="13"/>
  <c r="AA21" i="13"/>
  <c r="N21" i="13"/>
  <c r="I21" i="13"/>
  <c r="H21" i="13"/>
  <c r="D21" i="13"/>
  <c r="R21" i="13"/>
  <c r="AU43" i="13"/>
  <c r="AM43" i="13"/>
  <c r="AL43" i="13"/>
  <c r="AK43" i="13"/>
  <c r="AI43" i="13"/>
  <c r="AH43" i="13"/>
  <c r="AA43" i="13"/>
  <c r="N43" i="13"/>
  <c r="I43" i="13"/>
  <c r="H43" i="13"/>
  <c r="D43" i="13"/>
  <c r="F43" i="13" s="1"/>
  <c r="R43" i="13"/>
  <c r="AU12" i="13"/>
  <c r="AM12" i="13"/>
  <c r="AL12" i="13"/>
  <c r="AK12" i="13"/>
  <c r="AI12" i="13"/>
  <c r="AH12" i="13"/>
  <c r="AA12" i="13"/>
  <c r="N12" i="13"/>
  <c r="I12" i="13"/>
  <c r="H12" i="13"/>
  <c r="D12" i="13"/>
  <c r="E12" i="13" s="1"/>
  <c r="R12" i="13"/>
  <c r="AU48" i="13"/>
  <c r="AM48" i="13"/>
  <c r="AL48" i="13"/>
  <c r="AK48" i="13"/>
  <c r="AI48" i="13"/>
  <c r="AH48" i="13"/>
  <c r="AA48" i="13"/>
  <c r="N48" i="13"/>
  <c r="I48" i="13"/>
  <c r="H48" i="13"/>
  <c r="D48" i="13"/>
  <c r="F48" i="13" s="1"/>
  <c r="T48" i="13"/>
  <c r="R48" i="13"/>
  <c r="AU50" i="13"/>
  <c r="AM50" i="13"/>
  <c r="AL50" i="13"/>
  <c r="AK50" i="13"/>
  <c r="AI50" i="13"/>
  <c r="AH50" i="13"/>
  <c r="AA50" i="13"/>
  <c r="N50" i="13"/>
  <c r="I50" i="13"/>
  <c r="H50" i="13"/>
  <c r="D50" i="13"/>
  <c r="F50" i="13" s="1"/>
  <c r="R50" i="13"/>
  <c r="AU41" i="13"/>
  <c r="AM41" i="13"/>
  <c r="AL41" i="13"/>
  <c r="AK41" i="13"/>
  <c r="AI41" i="13"/>
  <c r="AH41" i="13"/>
  <c r="AA41" i="13"/>
  <c r="N41" i="13"/>
  <c r="I41" i="13"/>
  <c r="H41" i="13"/>
  <c r="D41" i="13"/>
  <c r="R41" i="13"/>
  <c r="AU35" i="13"/>
  <c r="AM35" i="13"/>
  <c r="AL35" i="13"/>
  <c r="AK35" i="13"/>
  <c r="AI35" i="13"/>
  <c r="AH35" i="13"/>
  <c r="AA35" i="13"/>
  <c r="N35" i="13"/>
  <c r="I35" i="13"/>
  <c r="H35" i="13"/>
  <c r="D35" i="13"/>
  <c r="F35" i="13" s="1"/>
  <c r="R35" i="13"/>
  <c r="AU49" i="13"/>
  <c r="AM49" i="13"/>
  <c r="AL49" i="13"/>
  <c r="AK49" i="13"/>
  <c r="AI49" i="13"/>
  <c r="AH49" i="13"/>
  <c r="AA49" i="13"/>
  <c r="N49" i="13"/>
  <c r="I49" i="13"/>
  <c r="H49" i="13"/>
  <c r="D49" i="13"/>
  <c r="R49" i="13"/>
  <c r="AU15" i="13"/>
  <c r="AM15" i="13"/>
  <c r="AL15" i="13"/>
  <c r="AK15" i="13"/>
  <c r="AI15" i="13"/>
  <c r="AH15" i="13"/>
  <c r="AA15" i="13"/>
  <c r="N15" i="13"/>
  <c r="I15" i="13"/>
  <c r="H15" i="13"/>
  <c r="D15" i="13"/>
  <c r="E15" i="13" s="1"/>
  <c r="T15" i="13"/>
  <c r="R15" i="13"/>
  <c r="AU8" i="13"/>
  <c r="AM8" i="13"/>
  <c r="AL8" i="13"/>
  <c r="AI8" i="13"/>
  <c r="AH8" i="13"/>
  <c r="AA8" i="13"/>
  <c r="N8" i="13"/>
  <c r="D8" i="13"/>
  <c r="E8" i="13" s="1"/>
  <c r="R8" i="13"/>
  <c r="AU38" i="13"/>
  <c r="AM38" i="13"/>
  <c r="AL38" i="13"/>
  <c r="AK38" i="13"/>
  <c r="AI38" i="13"/>
  <c r="AH38" i="13"/>
  <c r="AA38" i="13"/>
  <c r="N38" i="13"/>
  <c r="I38" i="13"/>
  <c r="H38" i="13"/>
  <c r="D38" i="13"/>
  <c r="F38" i="13" s="1"/>
  <c r="R38" i="13"/>
  <c r="AU45" i="13"/>
  <c r="AM45" i="13"/>
  <c r="AL45" i="13"/>
  <c r="AK45" i="13"/>
  <c r="AI45" i="13"/>
  <c r="AH45" i="13"/>
  <c r="AA45" i="13"/>
  <c r="N45" i="13"/>
  <c r="I45" i="13"/>
  <c r="H45" i="13"/>
  <c r="D45" i="13"/>
  <c r="E45" i="13" s="1"/>
  <c r="R45" i="13"/>
  <c r="AU10" i="13"/>
  <c r="AM10" i="13"/>
  <c r="AL10" i="13"/>
  <c r="AK10" i="13"/>
  <c r="AI10" i="13"/>
  <c r="AH10" i="13"/>
  <c r="AA10" i="13"/>
  <c r="N10" i="13"/>
  <c r="I10" i="13"/>
  <c r="H10" i="13"/>
  <c r="D10" i="13"/>
  <c r="F10" i="13" s="1"/>
  <c r="R10" i="13"/>
  <c r="AU34" i="13"/>
  <c r="AM34" i="13"/>
  <c r="AL34" i="13"/>
  <c r="AK34" i="13"/>
  <c r="AI34" i="13"/>
  <c r="AH34" i="13"/>
  <c r="AA34" i="13"/>
  <c r="N34" i="13"/>
  <c r="I34" i="13"/>
  <c r="H34" i="13"/>
  <c r="D34" i="13"/>
  <c r="R34" i="13"/>
  <c r="AU37" i="13"/>
  <c r="AM37" i="13"/>
  <c r="AL37" i="13"/>
  <c r="AK37" i="13"/>
  <c r="AI37" i="13"/>
  <c r="AH37" i="13"/>
  <c r="AA37" i="13"/>
  <c r="N37" i="13"/>
  <c r="I37" i="13"/>
  <c r="H37" i="13"/>
  <c r="D37" i="13"/>
  <c r="F37" i="13" s="1"/>
  <c r="R37" i="13"/>
  <c r="AU39" i="13"/>
  <c r="AM39" i="13"/>
  <c r="AL39" i="13"/>
  <c r="AK39" i="13"/>
  <c r="AI39" i="13"/>
  <c r="AH39" i="13"/>
  <c r="AA39" i="13"/>
  <c r="N39" i="13"/>
  <c r="I39" i="13"/>
  <c r="H39" i="13"/>
  <c r="D39" i="13"/>
  <c r="E39" i="13" s="1"/>
  <c r="R39" i="13"/>
  <c r="AU40" i="13"/>
  <c r="AM40" i="13"/>
  <c r="AL40" i="13"/>
  <c r="AK40" i="13"/>
  <c r="AI40" i="13"/>
  <c r="AH40" i="13"/>
  <c r="AA40" i="13"/>
  <c r="N40" i="13"/>
  <c r="I40" i="13"/>
  <c r="H40" i="13"/>
  <c r="D40" i="13"/>
  <c r="F40" i="13" s="1"/>
  <c r="R40" i="13"/>
  <c r="AU30" i="13"/>
  <c r="AM30" i="13"/>
  <c r="AL30" i="13"/>
  <c r="AK30" i="13"/>
  <c r="AI30" i="13"/>
  <c r="AH30" i="13"/>
  <c r="AA30" i="13"/>
  <c r="N30" i="13"/>
  <c r="I30" i="13"/>
  <c r="H30" i="13"/>
  <c r="D30" i="13"/>
  <c r="E30" i="13" s="1"/>
  <c r="R30" i="13"/>
  <c r="AU32" i="13"/>
  <c r="AM32" i="13"/>
  <c r="AL32" i="13"/>
  <c r="AK32" i="13"/>
  <c r="AI32" i="13"/>
  <c r="AH32" i="13"/>
  <c r="AA32" i="13"/>
  <c r="N32" i="13"/>
  <c r="I32" i="13"/>
  <c r="H32" i="13"/>
  <c r="D32" i="13"/>
  <c r="F32" i="13" s="1"/>
  <c r="R32" i="13"/>
  <c r="AU13" i="13"/>
  <c r="AM13" i="13"/>
  <c r="AL13" i="13"/>
  <c r="AK13" i="13"/>
  <c r="AI13" i="13"/>
  <c r="AH13" i="13"/>
  <c r="AA13" i="13"/>
  <c r="N13" i="13"/>
  <c r="I13" i="13"/>
  <c r="H13" i="13"/>
  <c r="D13" i="13"/>
  <c r="F13" i="13" s="1"/>
  <c r="R13" i="13"/>
  <c r="AU16" i="13"/>
  <c r="AM16" i="13"/>
  <c r="AL16" i="13"/>
  <c r="AK16" i="13"/>
  <c r="AI16" i="13"/>
  <c r="AH16" i="13"/>
  <c r="AA16" i="13"/>
  <c r="N16" i="13"/>
  <c r="I16" i="13"/>
  <c r="H16" i="13"/>
  <c r="D16" i="13"/>
  <c r="F16" i="13" s="1"/>
  <c r="R16" i="13"/>
  <c r="AU51" i="13"/>
  <c r="AM51" i="13"/>
  <c r="AL51" i="13"/>
  <c r="AK51" i="13"/>
  <c r="AI51" i="13"/>
  <c r="AH51" i="13"/>
  <c r="AA51" i="13"/>
  <c r="N51" i="13"/>
  <c r="I51" i="13"/>
  <c r="H51" i="13"/>
  <c r="D51" i="13"/>
  <c r="F51" i="13" s="1"/>
  <c r="R51" i="13"/>
  <c r="AU31" i="13"/>
  <c r="AM31" i="13"/>
  <c r="AL31" i="13"/>
  <c r="AK31" i="13"/>
  <c r="AI31" i="13"/>
  <c r="AH31" i="13"/>
  <c r="AA31" i="13"/>
  <c r="N31" i="13"/>
  <c r="I31" i="13"/>
  <c r="H31" i="13"/>
  <c r="D31" i="13"/>
  <c r="F31" i="13" s="1"/>
  <c r="R31" i="13"/>
  <c r="AU22" i="13"/>
  <c r="AM22" i="13"/>
  <c r="AL22" i="13"/>
  <c r="AK22" i="13"/>
  <c r="AI22" i="13"/>
  <c r="AH22" i="13"/>
  <c r="AA22" i="13"/>
  <c r="N22" i="13"/>
  <c r="I22" i="13"/>
  <c r="H22" i="13"/>
  <c r="D22" i="13"/>
  <c r="E22" i="13" s="1"/>
  <c r="R22" i="13"/>
  <c r="AU52" i="13"/>
  <c r="AM52" i="13"/>
  <c r="AL52" i="13"/>
  <c r="AK52" i="13"/>
  <c r="AI52" i="13"/>
  <c r="AH52" i="13"/>
  <c r="AA52" i="13"/>
  <c r="N52" i="13"/>
  <c r="I52" i="13"/>
  <c r="H52" i="13"/>
  <c r="D52" i="13"/>
  <c r="F52" i="13" s="1"/>
  <c r="R52" i="13"/>
  <c r="AU26" i="13"/>
  <c r="AM26" i="13"/>
  <c r="AL26" i="13"/>
  <c r="AK26" i="13"/>
  <c r="AI26" i="13"/>
  <c r="AH26" i="13"/>
  <c r="AA26" i="13"/>
  <c r="N26" i="13"/>
  <c r="I26" i="13"/>
  <c r="H26" i="13"/>
  <c r="D26" i="13"/>
  <c r="F26" i="13" s="1"/>
  <c r="R26" i="13"/>
  <c r="AU17" i="13"/>
  <c r="AM17" i="13"/>
  <c r="AL17" i="13"/>
  <c r="AK17" i="13"/>
  <c r="AI17" i="13"/>
  <c r="AH17" i="13"/>
  <c r="AA17" i="13"/>
  <c r="N17" i="13"/>
  <c r="I17" i="13"/>
  <c r="H17" i="13"/>
  <c r="D17" i="13"/>
  <c r="E17" i="13" s="1"/>
  <c r="R17" i="13"/>
  <c r="AU33" i="13"/>
  <c r="AM33" i="13"/>
  <c r="AL33" i="13"/>
  <c r="AK33" i="13"/>
  <c r="AI33" i="13"/>
  <c r="AH33" i="13"/>
  <c r="AA33" i="13"/>
  <c r="N33" i="13"/>
  <c r="I33" i="13"/>
  <c r="H33" i="13"/>
  <c r="D33" i="13"/>
  <c r="F33" i="13" s="1"/>
  <c r="R33" i="13"/>
  <c r="AU27" i="13"/>
  <c r="AM27" i="13"/>
  <c r="AL27" i="13"/>
  <c r="AK27" i="13"/>
  <c r="AI27" i="13"/>
  <c r="AH27" i="13"/>
  <c r="AA27" i="13"/>
  <c r="N27" i="13"/>
  <c r="I27" i="13"/>
  <c r="H27" i="13"/>
  <c r="D27" i="13"/>
  <c r="F27" i="13" s="1"/>
  <c r="R27" i="13"/>
  <c r="AU36" i="13"/>
  <c r="AM36" i="13"/>
  <c r="AL36" i="13"/>
  <c r="AK36" i="13"/>
  <c r="AI36" i="13"/>
  <c r="AH36" i="13"/>
  <c r="AA36" i="13"/>
  <c r="N36" i="13"/>
  <c r="I36" i="13"/>
  <c r="H36" i="13"/>
  <c r="D36" i="13"/>
  <c r="E36" i="13" s="1"/>
  <c r="R36" i="13"/>
  <c r="AU23" i="13"/>
  <c r="AM23" i="13"/>
  <c r="AL23" i="13"/>
  <c r="AK23" i="13"/>
  <c r="AI23" i="13"/>
  <c r="AH23" i="13"/>
  <c r="AA23" i="13"/>
  <c r="N23" i="13"/>
  <c r="I23" i="13"/>
  <c r="H23" i="13"/>
  <c r="D23" i="13"/>
  <c r="F23" i="13" s="1"/>
  <c r="R23" i="13"/>
  <c r="AU47" i="13"/>
  <c r="AM47" i="13"/>
  <c r="AL47" i="13"/>
  <c r="AK47" i="13"/>
  <c r="AI47" i="13"/>
  <c r="AH47" i="13"/>
  <c r="AA47" i="13"/>
  <c r="N47" i="13"/>
  <c r="I47" i="13"/>
  <c r="H47" i="13"/>
  <c r="D47" i="13"/>
  <c r="F47" i="13" s="1"/>
  <c r="R47" i="13"/>
  <c r="AU18" i="13"/>
  <c r="AM18" i="13"/>
  <c r="AL18" i="13"/>
  <c r="AK18" i="13"/>
  <c r="AI18" i="13"/>
  <c r="AH18" i="13"/>
  <c r="AA18" i="13"/>
  <c r="N18" i="13"/>
  <c r="I18" i="13"/>
  <c r="H18" i="13"/>
  <c r="D18" i="13"/>
  <c r="E18" i="13" s="1"/>
  <c r="R18" i="13"/>
  <c r="AU20" i="13"/>
  <c r="AM20" i="13"/>
  <c r="AL20" i="13"/>
  <c r="AK20" i="13"/>
  <c r="AI20" i="13"/>
  <c r="AH20" i="13"/>
  <c r="AA20" i="13"/>
  <c r="N20" i="13"/>
  <c r="I20" i="13"/>
  <c r="H20" i="13"/>
  <c r="D20" i="13"/>
  <c r="F20" i="13" s="1"/>
  <c r="R20" i="13"/>
  <c r="AU46" i="13"/>
  <c r="AM46" i="13"/>
  <c r="AL46" i="13"/>
  <c r="AK46" i="13"/>
  <c r="AI46" i="13"/>
  <c r="AH46" i="13"/>
  <c r="AA46" i="13"/>
  <c r="N46" i="13"/>
  <c r="I46" i="13"/>
  <c r="H46" i="13"/>
  <c r="D46" i="13"/>
  <c r="F46" i="13" s="1"/>
  <c r="R46" i="13"/>
  <c r="G2" i="13"/>
  <c r="C5" i="12"/>
  <c r="C6" i="12" s="1"/>
  <c r="E4" i="12"/>
  <c r="F4" i="12" s="1"/>
  <c r="E3" i="12"/>
  <c r="F3" i="12" s="1"/>
  <c r="AJ8" i="13" l="1"/>
  <c r="AN8" i="13"/>
  <c r="J8" i="13"/>
  <c r="U34" i="13"/>
  <c r="J25" i="13"/>
  <c r="J24" i="13"/>
  <c r="U30" i="13"/>
  <c r="F17" i="13"/>
  <c r="G17" i="13" s="1"/>
  <c r="U20" i="13"/>
  <c r="E16" i="13"/>
  <c r="E26" i="13"/>
  <c r="J34" i="13"/>
  <c r="AN34" i="13"/>
  <c r="J53" i="13"/>
  <c r="E31" i="13"/>
  <c r="E43" i="13"/>
  <c r="F9" i="13"/>
  <c r="G9" i="13" s="1"/>
  <c r="AR9" i="13" s="1"/>
  <c r="F28" i="13"/>
  <c r="G28" i="13" s="1"/>
  <c r="G46" i="13"/>
  <c r="U39" i="13"/>
  <c r="E46" i="13"/>
  <c r="F36" i="13"/>
  <c r="AR36" i="13" s="1"/>
  <c r="U32" i="13"/>
  <c r="J30" i="13"/>
  <c r="F18" i="13"/>
  <c r="G18" i="13" s="1"/>
  <c r="E13" i="13"/>
  <c r="E40" i="13"/>
  <c r="AN11" i="13"/>
  <c r="E53" i="13"/>
  <c r="AN25" i="13"/>
  <c r="E32" i="13"/>
  <c r="AJ42" i="13"/>
  <c r="U17" i="13"/>
  <c r="U10" i="13"/>
  <c r="AJ14" i="13"/>
  <c r="U36" i="13"/>
  <c r="U33" i="13"/>
  <c r="AJ49" i="13"/>
  <c r="E35" i="13"/>
  <c r="U23" i="13"/>
  <c r="U27" i="13"/>
  <c r="U26" i="13"/>
  <c r="U22" i="13"/>
  <c r="U31" i="13"/>
  <c r="U16" i="13"/>
  <c r="U37" i="13"/>
  <c r="U50" i="13"/>
  <c r="U46" i="13"/>
  <c r="AJ20" i="13"/>
  <c r="U18" i="13"/>
  <c r="AJ18" i="13"/>
  <c r="U47" i="13"/>
  <c r="AJ17" i="13"/>
  <c r="U52" i="13"/>
  <c r="U51" i="13"/>
  <c r="U13" i="13"/>
  <c r="U40" i="13"/>
  <c r="E20" i="13"/>
  <c r="E23" i="13"/>
  <c r="E10" i="13"/>
  <c r="F45" i="13"/>
  <c r="G45" i="13" s="1"/>
  <c r="E50" i="13"/>
  <c r="E48" i="13"/>
  <c r="J19" i="13"/>
  <c r="AN20" i="13"/>
  <c r="AN18" i="13"/>
  <c r="J47" i="13"/>
  <c r="AJ36" i="13"/>
  <c r="AN33" i="13"/>
  <c r="F39" i="13"/>
  <c r="G39" i="13" s="1"/>
  <c r="E37" i="13"/>
  <c r="AN12" i="13"/>
  <c r="AN42" i="13"/>
  <c r="J20" i="13"/>
  <c r="J33" i="13"/>
  <c r="AJ26" i="13"/>
  <c r="J40" i="13"/>
  <c r="J39" i="13"/>
  <c r="J10" i="13"/>
  <c r="J41" i="13"/>
  <c r="AJ11" i="13"/>
  <c r="J23" i="13"/>
  <c r="J17" i="13"/>
  <c r="AN26" i="13"/>
  <c r="E51" i="13"/>
  <c r="AJ51" i="13"/>
  <c r="AJ16" i="13"/>
  <c r="AJ38" i="13"/>
  <c r="J35" i="13"/>
  <c r="J48" i="13"/>
  <c r="F25" i="13"/>
  <c r="G25" i="13" s="1"/>
  <c r="K25" i="13" s="1"/>
  <c r="L25" i="13" s="1"/>
  <c r="O25" i="13" s="1"/>
  <c r="P25" i="13" s="1"/>
  <c r="Q25" i="13" s="1"/>
  <c r="E14" i="13"/>
  <c r="U48" i="13"/>
  <c r="AJ12" i="13"/>
  <c r="AN19" i="13"/>
  <c r="AN23" i="13"/>
  <c r="AN36" i="13"/>
  <c r="J27" i="13"/>
  <c r="AN44" i="13"/>
  <c r="J52" i="13"/>
  <c r="AN52" i="13"/>
  <c r="J22" i="13"/>
  <c r="AN15" i="13"/>
  <c r="J49" i="13"/>
  <c r="AJ19" i="13"/>
  <c r="AJ47" i="13"/>
  <c r="J51" i="13"/>
  <c r="AN16" i="13"/>
  <c r="AJ32" i="13"/>
  <c r="AJ34" i="13"/>
  <c r="AJ45" i="13"/>
  <c r="AJ21" i="13"/>
  <c r="AN28" i="13"/>
  <c r="AJ9" i="13"/>
  <c r="J46" i="13"/>
  <c r="AN13" i="13"/>
  <c r="AN47" i="13"/>
  <c r="AJ33" i="13"/>
  <c r="J13" i="13"/>
  <c r="AN45" i="13"/>
  <c r="AJ41" i="13"/>
  <c r="AN50" i="13"/>
  <c r="AJ48" i="13"/>
  <c r="AN21" i="13"/>
  <c r="AN39" i="13"/>
  <c r="J50" i="13"/>
  <c r="AN46" i="13"/>
  <c r="J16" i="13"/>
  <c r="AJ13" i="13"/>
  <c r="AN37" i="13"/>
  <c r="AJ10" i="13"/>
  <c r="AN35" i="13"/>
  <c r="J12" i="13"/>
  <c r="AJ43" i="13"/>
  <c r="J11" i="13"/>
  <c r="J44" i="13"/>
  <c r="AN27" i="13"/>
  <c r="S52" i="13"/>
  <c r="AN41" i="13"/>
  <c r="S47" i="13"/>
  <c r="AJ23" i="13"/>
  <c r="J45" i="13"/>
  <c r="J38" i="13"/>
  <c r="AN38" i="13"/>
  <c r="AN49" i="13"/>
  <c r="AN43" i="13"/>
  <c r="J28" i="13"/>
  <c r="AN17" i="13"/>
  <c r="AJ22" i="13"/>
  <c r="AN32" i="13"/>
  <c r="AJ30" i="13"/>
  <c r="J18" i="13"/>
  <c r="J26" i="13"/>
  <c r="J32" i="13"/>
  <c r="AN30" i="13"/>
  <c r="AJ40" i="13"/>
  <c r="J43" i="13"/>
  <c r="AJ44" i="13"/>
  <c r="AJ29" i="13"/>
  <c r="AJ24" i="13"/>
  <c r="S20" i="13"/>
  <c r="AN31" i="13"/>
  <c r="S34" i="13"/>
  <c r="AJ50" i="13"/>
  <c r="AN29" i="13"/>
  <c r="AN24" i="13"/>
  <c r="AN9" i="13"/>
  <c r="J14" i="13"/>
  <c r="AN14" i="13"/>
  <c r="S33" i="13"/>
  <c r="J36" i="13"/>
  <c r="AN22" i="13"/>
  <c r="J31" i="13"/>
  <c r="AN51" i="13"/>
  <c r="AN40" i="13"/>
  <c r="AJ39" i="13"/>
  <c r="AJ37" i="13"/>
  <c r="AJ35" i="13"/>
  <c r="AJ28" i="13"/>
  <c r="J29" i="13"/>
  <c r="AN53" i="13"/>
  <c r="J9" i="13"/>
  <c r="AR20" i="13"/>
  <c r="S36" i="13"/>
  <c r="S51" i="13"/>
  <c r="AR16" i="13"/>
  <c r="F22" i="13"/>
  <c r="AR22" i="13" s="1"/>
  <c r="S39" i="13"/>
  <c r="J37" i="13"/>
  <c r="G20" i="13"/>
  <c r="AR10" i="13"/>
  <c r="AR46" i="13"/>
  <c r="E47" i="13"/>
  <c r="AR47" i="13"/>
  <c r="AR13" i="13"/>
  <c r="G43" i="13"/>
  <c r="AR24" i="13"/>
  <c r="G53" i="13"/>
  <c r="G14" i="13"/>
  <c r="AR29" i="13"/>
  <c r="G50" i="13"/>
  <c r="G19" i="13"/>
  <c r="G48" i="13"/>
  <c r="G24" i="13"/>
  <c r="G29" i="13"/>
  <c r="G35" i="13"/>
  <c r="G38" i="13"/>
  <c r="G37" i="13"/>
  <c r="G32" i="13"/>
  <c r="G31" i="13"/>
  <c r="G51" i="13"/>
  <c r="G10" i="13"/>
  <c r="G40" i="13"/>
  <c r="G16" i="13"/>
  <c r="G52" i="13"/>
  <c r="G27" i="13"/>
  <c r="G33" i="13"/>
  <c r="G47" i="13"/>
  <c r="G13" i="13"/>
  <c r="G23" i="13"/>
  <c r="S18" i="13"/>
  <c r="AR23" i="13"/>
  <c r="E33" i="13"/>
  <c r="AR33" i="13"/>
  <c r="AR26" i="13"/>
  <c r="S31" i="13"/>
  <c r="S27" i="13"/>
  <c r="AR51" i="13"/>
  <c r="R57" i="13"/>
  <c r="S24" i="13"/>
  <c r="S44" i="13"/>
  <c r="R60" i="13"/>
  <c r="S29" i="13"/>
  <c r="S11" i="13"/>
  <c r="S12" i="13"/>
  <c r="R58" i="13"/>
  <c r="S35" i="13"/>
  <c r="R61" i="13"/>
  <c r="S10" i="13"/>
  <c r="S21" i="13"/>
  <c r="S49" i="13"/>
  <c r="S45" i="13"/>
  <c r="R59" i="13"/>
  <c r="S42" i="13"/>
  <c r="S30" i="13"/>
  <c r="S46" i="13"/>
  <c r="S26" i="13"/>
  <c r="S41" i="13"/>
  <c r="AJ46" i="13"/>
  <c r="S17" i="13"/>
  <c r="G26" i="13"/>
  <c r="AJ52" i="13"/>
  <c r="S8" i="13"/>
  <c r="S53" i="13"/>
  <c r="S23" i="13"/>
  <c r="AJ27" i="13"/>
  <c r="S22" i="13"/>
  <c r="AR27" i="13"/>
  <c r="AR52" i="13"/>
  <c r="S13" i="13"/>
  <c r="S37" i="13"/>
  <c r="S19" i="13"/>
  <c r="E27" i="13"/>
  <c r="E52" i="13"/>
  <c r="S16" i="13"/>
  <c r="S32" i="13"/>
  <c r="F30" i="13"/>
  <c r="AR30" i="13" s="1"/>
  <c r="AR40" i="13"/>
  <c r="S28" i="13"/>
  <c r="F34" i="13"/>
  <c r="AR34" i="13" s="1"/>
  <c r="E34" i="13"/>
  <c r="F8" i="13"/>
  <c r="G8" i="13" s="1"/>
  <c r="K8" i="13" s="1"/>
  <c r="L8" i="13" s="1"/>
  <c r="O8" i="13" s="1"/>
  <c r="P8" i="13" s="1"/>
  <c r="Q8" i="13" s="1"/>
  <c r="J15" i="13"/>
  <c r="S48" i="13"/>
  <c r="AR31" i="13"/>
  <c r="AJ31" i="13"/>
  <c r="AR32" i="13"/>
  <c r="S40" i="13"/>
  <c r="AN10" i="13"/>
  <c r="S38" i="13"/>
  <c r="S15" i="13"/>
  <c r="U8" i="13"/>
  <c r="U35" i="13"/>
  <c r="S43" i="13"/>
  <c r="AR19" i="13"/>
  <c r="S25" i="13"/>
  <c r="AR37" i="13"/>
  <c r="AR38" i="13"/>
  <c r="S50" i="13"/>
  <c r="AR48" i="13"/>
  <c r="F42" i="13"/>
  <c r="G42" i="13" s="1"/>
  <c r="E42" i="13"/>
  <c r="AR53" i="13"/>
  <c r="U38" i="13"/>
  <c r="E38" i="13"/>
  <c r="F15" i="13"/>
  <c r="G15" i="13" s="1"/>
  <c r="E49" i="13"/>
  <c r="AR43" i="13"/>
  <c r="AJ53" i="13"/>
  <c r="AJ25" i="13"/>
  <c r="S14" i="13"/>
  <c r="T60" i="13"/>
  <c r="U29" i="13"/>
  <c r="U11" i="13"/>
  <c r="U12" i="13"/>
  <c r="T58" i="13"/>
  <c r="U9" i="13"/>
  <c r="T61" i="13"/>
  <c r="U28" i="13"/>
  <c r="U43" i="13"/>
  <c r="U25" i="13"/>
  <c r="U53" i="13"/>
  <c r="U41" i="13"/>
  <c r="T59" i="13"/>
  <c r="U42" i="13"/>
  <c r="U21" i="13"/>
  <c r="T57" i="13"/>
  <c r="U24" i="13"/>
  <c r="U44" i="13"/>
  <c r="U19" i="13"/>
  <c r="F49" i="13"/>
  <c r="G49" i="13" s="1"/>
  <c r="E41" i="13"/>
  <c r="U14" i="13"/>
  <c r="U45" i="13"/>
  <c r="U15" i="13"/>
  <c r="U49" i="13"/>
  <c r="F41" i="13"/>
  <c r="G41" i="13" s="1"/>
  <c r="S9" i="13"/>
  <c r="AJ15" i="13"/>
  <c r="AR35" i="13"/>
  <c r="AN48" i="13"/>
  <c r="F21" i="13"/>
  <c r="G21" i="13" s="1"/>
  <c r="E21" i="13"/>
  <c r="AR50" i="13"/>
  <c r="F12" i="13"/>
  <c r="AR12" i="13" s="1"/>
  <c r="J21" i="13"/>
  <c r="E19" i="13"/>
  <c r="F11" i="13"/>
  <c r="AR11" i="13" s="1"/>
  <c r="J42" i="13"/>
  <c r="E44" i="13"/>
  <c r="AR14" i="13"/>
  <c r="F44" i="13"/>
  <c r="G44" i="13" s="1"/>
  <c r="E6" i="12"/>
  <c r="F6" i="12" s="1"/>
  <c r="C12" i="12"/>
  <c r="C7" i="12"/>
  <c r="E5" i="12"/>
  <c r="F5" i="12" s="1"/>
  <c r="AO26" i="13" l="1"/>
  <c r="AQ26" i="13" s="1"/>
  <c r="AO8" i="13"/>
  <c r="AQ8" i="13" s="1"/>
  <c r="AR45" i="13"/>
  <c r="AR8" i="13"/>
  <c r="G36" i="13"/>
  <c r="K24" i="13"/>
  <c r="L24" i="13" s="1"/>
  <c r="O24" i="13" s="1"/>
  <c r="P24" i="13" s="1"/>
  <c r="Q24" i="13" s="1"/>
  <c r="AO16" i="13"/>
  <c r="AQ16" i="13" s="1"/>
  <c r="V50" i="13"/>
  <c r="V8" i="13"/>
  <c r="V34" i="13"/>
  <c r="V30" i="13"/>
  <c r="AR18" i="13"/>
  <c r="AR39" i="13"/>
  <c r="AR17" i="13"/>
  <c r="AO20" i="13"/>
  <c r="AQ20" i="13" s="1"/>
  <c r="K29" i="13"/>
  <c r="L29" i="13" s="1"/>
  <c r="O29" i="13" s="1"/>
  <c r="P29" i="13" s="1"/>
  <c r="Q29" i="13" s="1"/>
  <c r="AR28" i="13"/>
  <c r="V20" i="13"/>
  <c r="V26" i="13"/>
  <c r="V10" i="13"/>
  <c r="AR25" i="13"/>
  <c r="K50" i="13"/>
  <c r="L50" i="13" s="1"/>
  <c r="O50" i="13" s="1"/>
  <c r="P50" i="13" s="1"/>
  <c r="Q50" i="13" s="1"/>
  <c r="V27" i="13"/>
  <c r="V17" i="13"/>
  <c r="AO53" i="13"/>
  <c r="AQ53" i="13" s="1"/>
  <c r="V48" i="13"/>
  <c r="K39" i="13"/>
  <c r="L39" i="13" s="1"/>
  <c r="O39" i="13" s="1"/>
  <c r="P39" i="13" s="1"/>
  <c r="Q39" i="13" s="1"/>
  <c r="K53" i="13"/>
  <c r="L53" i="13" s="1"/>
  <c r="O53" i="13" s="1"/>
  <c r="P53" i="13" s="1"/>
  <c r="Q53" i="13" s="1"/>
  <c r="AO27" i="13"/>
  <c r="AQ27" i="13" s="1"/>
  <c r="AO52" i="13"/>
  <c r="AQ52" i="13" s="1"/>
  <c r="AO48" i="13"/>
  <c r="AQ48" i="13" s="1"/>
  <c r="AO34" i="13"/>
  <c r="AQ34" i="13" s="1"/>
  <c r="AO49" i="13"/>
  <c r="AQ49" i="13" s="1"/>
  <c r="V37" i="13"/>
  <c r="V39" i="13"/>
  <c r="AO25" i="13"/>
  <c r="AQ25" i="13" s="1"/>
  <c r="V52" i="13"/>
  <c r="K45" i="13"/>
  <c r="L45" i="13" s="1"/>
  <c r="O45" i="13" s="1"/>
  <c r="P45" i="13" s="1"/>
  <c r="Q45" i="13" s="1"/>
  <c r="V13" i="13"/>
  <c r="AO38" i="13"/>
  <c r="AQ38" i="13" s="1"/>
  <c r="V46" i="13"/>
  <c r="AO42" i="13"/>
  <c r="AQ42" i="13" s="1"/>
  <c r="V22" i="13"/>
  <c r="AO18" i="13"/>
  <c r="AQ18" i="13" s="1"/>
  <c r="K40" i="13"/>
  <c r="L40" i="13" s="1"/>
  <c r="O40" i="13" s="1"/>
  <c r="P40" i="13" s="1"/>
  <c r="Q40" i="13" s="1"/>
  <c r="K17" i="13"/>
  <c r="L17" i="13" s="1"/>
  <c r="O17" i="13" s="1"/>
  <c r="P17" i="13" s="1"/>
  <c r="Q17" i="13" s="1"/>
  <c r="K16" i="13"/>
  <c r="L16" i="13" s="1"/>
  <c r="O16" i="13" s="1"/>
  <c r="P16" i="13" s="1"/>
  <c r="Q16" i="13" s="1"/>
  <c r="V33" i="13"/>
  <c r="AO19" i="13"/>
  <c r="AQ19" i="13" s="1"/>
  <c r="K10" i="13"/>
  <c r="L10" i="13" s="1"/>
  <c r="O10" i="13" s="1"/>
  <c r="P10" i="13" s="1"/>
  <c r="Q10" i="13" s="1"/>
  <c r="AO14" i="13"/>
  <c r="AQ14" i="13" s="1"/>
  <c r="AO41" i="13"/>
  <c r="AQ41" i="13" s="1"/>
  <c r="K46" i="13"/>
  <c r="L46" i="13" s="1"/>
  <c r="O46" i="13" s="1"/>
  <c r="P46" i="13" s="1"/>
  <c r="Q46" i="13" s="1"/>
  <c r="AO9" i="13"/>
  <c r="AQ9" i="13" s="1"/>
  <c r="V32" i="13"/>
  <c r="V51" i="13"/>
  <c r="K26" i="13"/>
  <c r="L26" i="13" s="1"/>
  <c r="O26" i="13" s="1"/>
  <c r="P26" i="13" s="1"/>
  <c r="Q26" i="13" s="1"/>
  <c r="AO11" i="13"/>
  <c r="AQ11" i="13" s="1"/>
  <c r="K9" i="13"/>
  <c r="L9" i="13" s="1"/>
  <c r="O9" i="13" s="1"/>
  <c r="P9" i="13" s="1"/>
  <c r="Q9" i="13" s="1"/>
  <c r="AO51" i="13"/>
  <c r="AQ51" i="13" s="1"/>
  <c r="AO45" i="13"/>
  <c r="AQ45" i="13" s="1"/>
  <c r="AO21" i="13"/>
  <c r="AQ21" i="13" s="1"/>
  <c r="K13" i="13"/>
  <c r="L13" i="13" s="1"/>
  <c r="O13" i="13" s="1"/>
  <c r="P13" i="13" s="1"/>
  <c r="Q13" i="13" s="1"/>
  <c r="K23" i="13"/>
  <c r="L23" i="13" s="1"/>
  <c r="O23" i="13" s="1"/>
  <c r="P23" i="13" s="1"/>
  <c r="Q23" i="13" s="1"/>
  <c r="K49" i="13"/>
  <c r="L49" i="13" s="1"/>
  <c r="O49" i="13" s="1"/>
  <c r="P49" i="13" s="1"/>
  <c r="Q49" i="13" s="1"/>
  <c r="AO17" i="13"/>
  <c r="AQ17" i="13" s="1"/>
  <c r="AO47" i="13"/>
  <c r="AQ47" i="13" s="1"/>
  <c r="AO32" i="13"/>
  <c r="AQ32" i="13" s="1"/>
  <c r="K51" i="13"/>
  <c r="L51" i="13" s="1"/>
  <c r="O51" i="13" s="1"/>
  <c r="P51" i="13" s="1"/>
  <c r="Q51" i="13" s="1"/>
  <c r="AO23" i="13"/>
  <c r="AQ23" i="13" s="1"/>
  <c r="AO15" i="13"/>
  <c r="AQ15" i="13" s="1"/>
  <c r="V18" i="13"/>
  <c r="G30" i="13"/>
  <c r="K30" i="13" s="1"/>
  <c r="L30" i="13" s="1"/>
  <c r="O30" i="13" s="1"/>
  <c r="P30" i="13" s="1"/>
  <c r="Q30" i="13" s="1"/>
  <c r="AO30" i="13"/>
  <c r="AQ30" i="13" s="1"/>
  <c r="AO12" i="13"/>
  <c r="AQ12" i="13" s="1"/>
  <c r="K32" i="13"/>
  <c r="L32" i="13" s="1"/>
  <c r="O32" i="13" s="1"/>
  <c r="P32" i="13" s="1"/>
  <c r="Q32" i="13" s="1"/>
  <c r="K41" i="13"/>
  <c r="L41" i="13" s="1"/>
  <c r="O41" i="13" s="1"/>
  <c r="P41" i="13" s="1"/>
  <c r="Q41" i="13" s="1"/>
  <c r="V40" i="13"/>
  <c r="V16" i="13"/>
  <c r="V23" i="13"/>
  <c r="V31" i="13"/>
  <c r="G22" i="13"/>
  <c r="K22" i="13" s="1"/>
  <c r="L22" i="13" s="1"/>
  <c r="O22" i="13" s="1"/>
  <c r="P22" i="13" s="1"/>
  <c r="Q22" i="13" s="1"/>
  <c r="V36" i="13"/>
  <c r="AO39" i="13"/>
  <c r="AQ39" i="13" s="1"/>
  <c r="K14" i="13"/>
  <c r="L14" i="13" s="1"/>
  <c r="O14" i="13" s="1"/>
  <c r="P14" i="13" s="1"/>
  <c r="Q14" i="13" s="1"/>
  <c r="AO24" i="13"/>
  <c r="AQ24" i="13" s="1"/>
  <c r="V47" i="13"/>
  <c r="AO33" i="13"/>
  <c r="AQ33" i="13" s="1"/>
  <c r="K48" i="13"/>
  <c r="L48" i="13" s="1"/>
  <c r="O48" i="13" s="1"/>
  <c r="P48" i="13" s="1"/>
  <c r="Q48" i="13" s="1"/>
  <c r="AO36" i="13"/>
  <c r="AQ36" i="13" s="1"/>
  <c r="V43" i="13"/>
  <c r="G34" i="13"/>
  <c r="K34" i="13" s="1"/>
  <c r="L34" i="13" s="1"/>
  <c r="O34" i="13" s="1"/>
  <c r="P34" i="13" s="1"/>
  <c r="Q34" i="13" s="1"/>
  <c r="K28" i="13"/>
  <c r="L28" i="13" s="1"/>
  <c r="O28" i="13" s="1"/>
  <c r="P28" i="13" s="1"/>
  <c r="Q28" i="13" s="1"/>
  <c r="AR15" i="13"/>
  <c r="V41" i="13"/>
  <c r="V49" i="13"/>
  <c r="V29" i="13"/>
  <c r="AO22" i="13"/>
  <c r="AQ22" i="13" s="1"/>
  <c r="AO50" i="13"/>
  <c r="AQ50" i="13" s="1"/>
  <c r="AR44" i="13"/>
  <c r="AR41" i="13"/>
  <c r="V14" i="13"/>
  <c r="K19" i="13"/>
  <c r="L19" i="13" s="1"/>
  <c r="O19" i="13" s="1"/>
  <c r="P19" i="13" s="1"/>
  <c r="Q19" i="13" s="1"/>
  <c r="AR49" i="13"/>
  <c r="K20" i="13"/>
  <c r="L20" i="13" s="1"/>
  <c r="O20" i="13" s="1"/>
  <c r="P20" i="13" s="1"/>
  <c r="Q20" i="13" s="1"/>
  <c r="K35" i="13"/>
  <c r="L35" i="13" s="1"/>
  <c r="O35" i="13" s="1"/>
  <c r="P35" i="13" s="1"/>
  <c r="Q35" i="13" s="1"/>
  <c r="K36" i="13"/>
  <c r="L36" i="13" s="1"/>
  <c r="O36" i="13" s="1"/>
  <c r="P36" i="13" s="1"/>
  <c r="Q36" i="13" s="1"/>
  <c r="AO35" i="13"/>
  <c r="AQ35" i="13" s="1"/>
  <c r="AO46" i="13"/>
  <c r="AQ46" i="13" s="1"/>
  <c r="AO31" i="13"/>
  <c r="AQ31" i="13" s="1"/>
  <c r="AO44" i="13"/>
  <c r="AQ44" i="13" s="1"/>
  <c r="AO29" i="13"/>
  <c r="AQ29" i="13" s="1"/>
  <c r="AO13" i="13"/>
  <c r="AQ13" i="13" s="1"/>
  <c r="AO28" i="13"/>
  <c r="AQ28" i="13" s="1"/>
  <c r="AO43" i="13"/>
  <c r="AQ43" i="13" s="1"/>
  <c r="AO37" i="13"/>
  <c r="AQ37" i="13" s="1"/>
  <c r="K18" i="13"/>
  <c r="L18" i="13" s="1"/>
  <c r="O18" i="13" s="1"/>
  <c r="P18" i="13" s="1"/>
  <c r="Q18" i="13" s="1"/>
  <c r="AO10" i="13"/>
  <c r="AQ10" i="13" s="1"/>
  <c r="K31" i="13"/>
  <c r="L31" i="13" s="1"/>
  <c r="O31" i="13" s="1"/>
  <c r="P31" i="13" s="1"/>
  <c r="Q31" i="13" s="1"/>
  <c r="K43" i="13"/>
  <c r="L43" i="13" s="1"/>
  <c r="O43" i="13" s="1"/>
  <c r="P43" i="13" s="1"/>
  <c r="Q43" i="13" s="1"/>
  <c r="AO40" i="13"/>
  <c r="AQ40" i="13" s="1"/>
  <c r="K15" i="13"/>
  <c r="L15" i="13" s="1"/>
  <c r="O15" i="13" s="1"/>
  <c r="P15" i="13" s="1"/>
  <c r="Q15" i="13" s="1"/>
  <c r="V21" i="13"/>
  <c r="K47" i="13"/>
  <c r="L47" i="13" s="1"/>
  <c r="O47" i="13" s="1"/>
  <c r="P47" i="13" s="1"/>
  <c r="Q47" i="13" s="1"/>
  <c r="K52" i="13"/>
  <c r="L52" i="13" s="1"/>
  <c r="O52" i="13" s="1"/>
  <c r="P52" i="13" s="1"/>
  <c r="Q52" i="13" s="1"/>
  <c r="V25" i="13"/>
  <c r="V15" i="13"/>
  <c r="V28" i="13"/>
  <c r="V44" i="13"/>
  <c r="AR42" i="13"/>
  <c r="G12" i="13"/>
  <c r="K12" i="13" s="1"/>
  <c r="L12" i="13" s="1"/>
  <c r="O12" i="13" s="1"/>
  <c r="P12" i="13" s="1"/>
  <c r="Q12" i="13" s="1"/>
  <c r="K42" i="13"/>
  <c r="L42" i="13" s="1"/>
  <c r="O42" i="13" s="1"/>
  <c r="P42" i="13" s="1"/>
  <c r="Q42" i="13" s="1"/>
  <c r="K21" i="13"/>
  <c r="L21" i="13" s="1"/>
  <c r="O21" i="13" s="1"/>
  <c r="P21" i="13" s="1"/>
  <c r="Q21" i="13" s="1"/>
  <c r="V9" i="13"/>
  <c r="V38" i="13"/>
  <c r="AR21" i="13"/>
  <c r="V24" i="13"/>
  <c r="G11" i="13"/>
  <c r="K11" i="13" s="1"/>
  <c r="L11" i="13" s="1"/>
  <c r="O11" i="13" s="1"/>
  <c r="P11" i="13" s="1"/>
  <c r="Q11" i="13" s="1"/>
  <c r="V35" i="13"/>
  <c r="K37" i="13"/>
  <c r="L37" i="13" s="1"/>
  <c r="O37" i="13" s="1"/>
  <c r="P37" i="13" s="1"/>
  <c r="Q37" i="13" s="1"/>
  <c r="K44" i="13"/>
  <c r="L44" i="13" s="1"/>
  <c r="O44" i="13" s="1"/>
  <c r="P44" i="13" s="1"/>
  <c r="Q44" i="13" s="1"/>
  <c r="K38" i="13"/>
  <c r="L38" i="13" s="1"/>
  <c r="O38" i="13" s="1"/>
  <c r="P38" i="13" s="1"/>
  <c r="Q38" i="13" s="1"/>
  <c r="V42" i="13"/>
  <c r="V19" i="13"/>
  <c r="V53" i="13"/>
  <c r="V12" i="13"/>
  <c r="K33" i="13"/>
  <c r="L33" i="13" s="1"/>
  <c r="O33" i="13" s="1"/>
  <c r="P33" i="13" s="1"/>
  <c r="Q33" i="13" s="1"/>
  <c r="K27" i="13"/>
  <c r="L27" i="13" s="1"/>
  <c r="O27" i="13" s="1"/>
  <c r="P27" i="13" s="1"/>
  <c r="Q27" i="13" s="1"/>
  <c r="V45" i="13"/>
  <c r="V11" i="13"/>
  <c r="C8" i="12"/>
  <c r="E7" i="12"/>
  <c r="F7" i="12" s="1"/>
  <c r="V60" i="13" l="1"/>
  <c r="V57" i="13"/>
  <c r="V61" i="13"/>
  <c r="V58" i="13"/>
  <c r="V59" i="13"/>
  <c r="C9" i="12"/>
  <c r="D12" i="12" s="1"/>
  <c r="E8" i="12"/>
  <c r="F8" i="12" s="1"/>
  <c r="AW16" i="13" l="1"/>
  <c r="AW29" i="13"/>
  <c r="AW28" i="13"/>
  <c r="AW25" i="13"/>
  <c r="AW40" i="13"/>
  <c r="AW39" i="13"/>
  <c r="AW15" i="13"/>
  <c r="AW9" i="13"/>
  <c r="AW45" i="13"/>
  <c r="AW21" i="13"/>
  <c r="AW36" i="13"/>
  <c r="AW47" i="13"/>
  <c r="AW41" i="13"/>
  <c r="AW42" i="13"/>
  <c r="AW19" i="13"/>
  <c r="AW22" i="13"/>
  <c r="AW35" i="13"/>
  <c r="AW17" i="13"/>
  <c r="AW46" i="13"/>
  <c r="AW44" i="13"/>
  <c r="AW31" i="13"/>
  <c r="AW11" i="13"/>
  <c r="AW20" i="13"/>
  <c r="AW12" i="13"/>
  <c r="AW53" i="13"/>
  <c r="AW49" i="13"/>
  <c r="AW8" i="13"/>
  <c r="AW13" i="13"/>
  <c r="AW26" i="13"/>
  <c r="AW10" i="13"/>
  <c r="AW37" i="13"/>
  <c r="AW27" i="13"/>
  <c r="AW52" i="13"/>
  <c r="AW32" i="13"/>
  <c r="AW48" i="13"/>
  <c r="AW50" i="13"/>
  <c r="AW34" i="13"/>
  <c r="AW30" i="13"/>
  <c r="AW18" i="13"/>
  <c r="AW33" i="13"/>
  <c r="AW23" i="13"/>
  <c r="AW24" i="13"/>
  <c r="AW43" i="13"/>
  <c r="AW38" i="13"/>
  <c r="AW51" i="13"/>
  <c r="AW14" i="13"/>
  <c r="E9" i="12"/>
  <c r="F9" i="12" s="1"/>
  <c r="E12" i="12"/>
  <c r="F12" i="12" s="1"/>
  <c r="W8" i="13" l="1"/>
  <c r="W18" i="13"/>
  <c r="W40" i="13"/>
  <c r="W20" i="13"/>
  <c r="W34" i="13"/>
  <c r="W13" i="13"/>
  <c r="W43" i="13"/>
  <c r="W52" i="13"/>
  <c r="W21" i="13"/>
  <c r="W45" i="13"/>
  <c r="W22" i="13"/>
  <c r="W46" i="13"/>
  <c r="W14" i="13"/>
  <c r="W9" i="13"/>
  <c r="W27" i="13"/>
  <c r="W36" i="13"/>
  <c r="W10" i="13"/>
  <c r="W33" i="13"/>
  <c r="W12" i="13"/>
  <c r="W38" i="13"/>
  <c r="W44" i="13"/>
  <c r="W26" i="13"/>
  <c r="W48" i="13"/>
  <c r="W37" i="13"/>
  <c r="W19" i="13"/>
  <c r="W51" i="13"/>
  <c r="W17" i="13"/>
  <c r="W35" i="13"/>
  <c r="W28" i="13"/>
  <c r="W49" i="13"/>
  <c r="W50" i="13"/>
  <c r="W23" i="13"/>
  <c r="W25" i="13"/>
  <c r="W31" i="13"/>
  <c r="W42" i="13"/>
  <c r="W41" i="13"/>
  <c r="W15" i="13"/>
  <c r="W32" i="13"/>
  <c r="W47" i="13"/>
  <c r="W30" i="13"/>
  <c r="W16" i="13"/>
  <c r="W39" i="13"/>
  <c r="W29" i="13"/>
  <c r="W24" i="13"/>
  <c r="W11" i="13"/>
  <c r="W53" i="13"/>
  <c r="X51" i="13" l="1" a="1"/>
  <c r="X51" i="13" s="1"/>
  <c r="Y51" i="13" s="1"/>
  <c r="Z51" i="13" s="1"/>
  <c r="X53" i="13" a="1"/>
  <c r="X53" i="13" s="1"/>
  <c r="Y53" i="13" s="1"/>
  <c r="Z53" i="13" s="1"/>
  <c r="X28" i="13" a="1"/>
  <c r="X28" i="13" s="1"/>
  <c r="Y28" i="13" s="1"/>
  <c r="Z28" i="13" s="1"/>
  <c r="X39" i="13" a="1"/>
  <c r="X39" i="13" s="1"/>
  <c r="Y39" i="13" s="1"/>
  <c r="Z39" i="13" s="1"/>
  <c r="X16" i="13" a="1"/>
  <c r="X16" i="13" s="1"/>
  <c r="Y16" i="13" s="1"/>
  <c r="Z16" i="13" s="1"/>
  <c r="X40" i="13" a="1"/>
  <c r="X40" i="13" s="1"/>
  <c r="Y40" i="13" s="1"/>
  <c r="X22" i="13" a="1"/>
  <c r="X22" i="13" s="1"/>
  <c r="Y22" i="13" s="1"/>
  <c r="X23" i="13" a="1"/>
  <c r="X23" i="13" s="1"/>
  <c r="Y23" i="13" s="1"/>
  <c r="X17" i="13" a="1"/>
  <c r="X17" i="13" s="1"/>
  <c r="Y17" i="13" s="1"/>
  <c r="X32" i="13" a="1"/>
  <c r="X32" i="13" s="1"/>
  <c r="Y32" i="13" s="1"/>
  <c r="X41" i="13" a="1"/>
  <c r="X41" i="13" s="1"/>
  <c r="Y41" i="13" s="1"/>
  <c r="X12" i="13" a="1"/>
  <c r="X12" i="13" s="1"/>
  <c r="Y12" i="13" s="1"/>
  <c r="X50" i="13" a="1"/>
  <c r="X50" i="13" s="1"/>
  <c r="Y50" i="13" s="1"/>
  <c r="X33" i="13" a="1"/>
  <c r="X33" i="13" s="1"/>
  <c r="Y33" i="13" s="1"/>
  <c r="X19" i="13" a="1"/>
  <c r="X19" i="13" s="1"/>
  <c r="Y19" i="13" s="1"/>
  <c r="X15" i="13" a="1"/>
  <c r="X15" i="13" s="1"/>
  <c r="Y15" i="13" s="1"/>
  <c r="X44" i="13" a="1"/>
  <c r="X44" i="13" s="1"/>
  <c r="Y44" i="13" s="1"/>
  <c r="X45" i="13" a="1"/>
  <c r="X45" i="13" s="1"/>
  <c r="Y45" i="13" s="1"/>
  <c r="X46" i="13" a="1"/>
  <c r="X46" i="13" s="1"/>
  <c r="Y46" i="13" s="1"/>
  <c r="X13" i="13" a="1"/>
  <c r="X13" i="13" s="1"/>
  <c r="Y13" i="13" s="1"/>
  <c r="X10" i="13" a="1"/>
  <c r="X10" i="13" s="1"/>
  <c r="Y10" i="13" s="1"/>
  <c r="X11" i="13" a="1"/>
  <c r="X11" i="13" s="1"/>
  <c r="Y11" i="13" s="1"/>
  <c r="X14" i="13" a="1"/>
  <c r="X14" i="13" s="1"/>
  <c r="Y14" i="13" s="1"/>
  <c r="X43" i="13" a="1"/>
  <c r="X43" i="13" s="1"/>
  <c r="Y43" i="13" s="1"/>
  <c r="X24" i="13" a="1"/>
  <c r="X24" i="13" s="1"/>
  <c r="Y24" i="13" s="1"/>
  <c r="X20" i="13" a="1"/>
  <c r="X20" i="13" s="1"/>
  <c r="Y20" i="13" s="1"/>
  <c r="X31" i="13" a="1"/>
  <c r="X31" i="13" s="1"/>
  <c r="Y31" i="13" s="1"/>
  <c r="X18" i="13" a="1"/>
  <c r="X18" i="13" s="1"/>
  <c r="Y18" i="13" s="1"/>
  <c r="X35" i="13" a="1"/>
  <c r="X35" i="13" s="1"/>
  <c r="Y35" i="13" s="1"/>
  <c r="X29" i="13" a="1"/>
  <c r="X29" i="13" s="1"/>
  <c r="Y29" i="13" s="1"/>
  <c r="X21" i="13" a="1"/>
  <c r="X21" i="13" s="1"/>
  <c r="Y21" i="13" s="1"/>
  <c r="X9" i="13" a="1"/>
  <c r="X9" i="13" s="1"/>
  <c r="Y9" i="13" s="1"/>
  <c r="X25" i="13" a="1"/>
  <c r="X25" i="13" s="1"/>
  <c r="Y25" i="13" s="1"/>
  <c r="X26" i="13" a="1"/>
  <c r="X26" i="13" s="1"/>
  <c r="Y26" i="13" s="1"/>
  <c r="X38" i="13" a="1"/>
  <c r="X38" i="13" s="1"/>
  <c r="Y38" i="13" s="1"/>
  <c r="X37" i="13" a="1"/>
  <c r="X37" i="13" s="1"/>
  <c r="Y37" i="13" s="1"/>
  <c r="X27" i="13" a="1"/>
  <c r="X27" i="13" s="1"/>
  <c r="Y27" i="13" s="1"/>
  <c r="X30" i="13" a="1"/>
  <c r="X30" i="13" s="1"/>
  <c r="Y30" i="13" s="1"/>
  <c r="X49" i="13" a="1"/>
  <c r="X49" i="13" s="1"/>
  <c r="Y49" i="13" s="1"/>
  <c r="X42" i="13" a="1"/>
  <c r="X42" i="13" s="1"/>
  <c r="Y42" i="13" s="1"/>
  <c r="X8" i="13"/>
  <c r="Y8" i="13" s="1"/>
  <c r="X36" i="13" a="1"/>
  <c r="X36" i="13" s="1"/>
  <c r="Y36" i="13" s="1"/>
  <c r="X47" i="13" a="1"/>
  <c r="X47" i="13" s="1"/>
  <c r="Y47" i="13" s="1"/>
  <c r="X52" i="13" a="1"/>
  <c r="X52" i="13" s="1"/>
  <c r="Y52" i="13" s="1"/>
  <c r="X34" i="13" a="1"/>
  <c r="X34" i="13" s="1"/>
  <c r="Y34" i="13" s="1"/>
  <c r="X48" i="13" a="1"/>
  <c r="X48" i="13" s="1"/>
  <c r="Y48" i="13" s="1"/>
  <c r="J34" i="8"/>
  <c r="I56" i="8"/>
  <c r="AA53" i="13" s="1"/>
  <c r="AA55" i="13" s="1"/>
  <c r="AD29" i="8"/>
  <c r="AB8" i="13" s="1"/>
  <c r="Z8" i="13" l="1"/>
  <c r="Z31" i="13"/>
  <c r="Z20" i="13"/>
  <c r="Z17" i="13"/>
  <c r="Z42" i="13"/>
  <c r="Z9" i="13"/>
  <c r="Z43" i="13"/>
  <c r="Z15" i="13"/>
  <c r="Z23" i="13"/>
  <c r="Z36" i="13"/>
  <c r="Z45" i="13"/>
  <c r="Z44" i="13"/>
  <c r="Z49" i="13"/>
  <c r="Z21" i="13"/>
  <c r="Z14" i="13"/>
  <c r="Z19" i="13"/>
  <c r="Z22" i="13"/>
  <c r="Z46" i="13"/>
  <c r="Z25" i="13"/>
  <c r="Z30" i="13"/>
  <c r="Z29" i="13"/>
  <c r="Z11" i="13"/>
  <c r="Z33" i="13"/>
  <c r="Z40" i="13"/>
  <c r="Z38" i="13"/>
  <c r="Z26" i="13"/>
  <c r="Z24" i="13"/>
  <c r="Z34" i="13"/>
  <c r="Z27" i="13"/>
  <c r="Z35" i="13"/>
  <c r="Z10" i="13"/>
  <c r="Z50" i="13"/>
  <c r="Z47" i="13"/>
  <c r="Z41" i="13"/>
  <c r="Z32" i="13"/>
  <c r="Z48" i="13"/>
  <c r="Z52" i="13"/>
  <c r="Z37" i="13"/>
  <c r="Z18" i="13"/>
  <c r="Z13" i="13"/>
  <c r="Z12" i="13"/>
  <c r="Q54" i="8"/>
  <c r="Q56" i="8"/>
  <c r="AD56" i="8" s="1"/>
  <c r="AB53" i="13" s="1"/>
  <c r="J5" i="8"/>
  <c r="J7" i="8"/>
  <c r="J39" i="8"/>
  <c r="J50" i="8"/>
  <c r="J17" i="8"/>
  <c r="J13" i="8"/>
  <c r="J41" i="8"/>
  <c r="J27" i="8"/>
  <c r="J44" i="8"/>
  <c r="J35" i="8"/>
  <c r="J18" i="8"/>
  <c r="J51" i="8"/>
  <c r="J15" i="8"/>
  <c r="J4" i="8"/>
  <c r="J47" i="8"/>
  <c r="J30" i="8"/>
  <c r="J45" i="8"/>
  <c r="J9" i="8"/>
  <c r="J32" i="8"/>
  <c r="J36" i="8"/>
  <c r="J43" i="8"/>
  <c r="J38" i="8"/>
  <c r="J20" i="8"/>
  <c r="J28" i="8"/>
  <c r="J40" i="8"/>
  <c r="J22" i="8"/>
  <c r="J25" i="8"/>
  <c r="J16" i="8"/>
  <c r="J10" i="8"/>
  <c r="J19" i="8"/>
  <c r="J31" i="8"/>
  <c r="J26" i="8"/>
  <c r="J21" i="8"/>
  <c r="J33" i="8"/>
  <c r="J48" i="8"/>
  <c r="J14" i="8"/>
  <c r="J37" i="8"/>
  <c r="J42" i="8"/>
  <c r="J11" i="8"/>
  <c r="J8" i="8"/>
  <c r="J46" i="8"/>
  <c r="J24" i="8"/>
  <c r="J12" i="8"/>
  <c r="J56" i="8" s="1"/>
  <c r="J23" i="8"/>
  <c r="J6" i="8"/>
  <c r="J29" i="8"/>
  <c r="AD6" i="8"/>
  <c r="AB9" i="13" s="1"/>
  <c r="AD23" i="8"/>
  <c r="AB10" i="13" s="1"/>
  <c r="AD12" i="8"/>
  <c r="AD24" i="8"/>
  <c r="AB11" i="13" s="1"/>
  <c r="AD46" i="8"/>
  <c r="AB12" i="13" s="1"/>
  <c r="AD8" i="8"/>
  <c r="AB13" i="13" s="1"/>
  <c r="AD11" i="8"/>
  <c r="AB14" i="13" s="1"/>
  <c r="AD42" i="8"/>
  <c r="AB15" i="13" s="1"/>
  <c r="AD37" i="8"/>
  <c r="AB16" i="13" s="1"/>
  <c r="AD14" i="8"/>
  <c r="AB17" i="13" s="1"/>
  <c r="AD48" i="8"/>
  <c r="AB18" i="13" s="1"/>
  <c r="AD33" i="8"/>
  <c r="AB19" i="13" s="1"/>
  <c r="AD21" i="8"/>
  <c r="AB20" i="13" s="1"/>
  <c r="AD26" i="8"/>
  <c r="AB21" i="13" s="1"/>
  <c r="AD31" i="8"/>
  <c r="AB22" i="13" s="1"/>
  <c r="AD19" i="8"/>
  <c r="AB23" i="13" s="1"/>
  <c r="AD10" i="8"/>
  <c r="AB24" i="13" s="1"/>
  <c r="AD16" i="8"/>
  <c r="AB25" i="13" s="1"/>
  <c r="AD25" i="8"/>
  <c r="AB26" i="13" s="1"/>
  <c r="AD22" i="8"/>
  <c r="AB27" i="13" s="1"/>
  <c r="AD40" i="8"/>
  <c r="AB28" i="13" s="1"/>
  <c r="AD28" i="8"/>
  <c r="AB29" i="13" s="1"/>
  <c r="AD20" i="8"/>
  <c r="AB30" i="13" s="1"/>
  <c r="AD38" i="8"/>
  <c r="AB31" i="13" s="1"/>
  <c r="AD43" i="8"/>
  <c r="AB32" i="13" s="1"/>
  <c r="AD36" i="8"/>
  <c r="AB33" i="13" s="1"/>
  <c r="AD32" i="8"/>
  <c r="AB34" i="13" s="1"/>
  <c r="AD9" i="8"/>
  <c r="AB35" i="13" s="1"/>
  <c r="AD45" i="8"/>
  <c r="AB36" i="13" s="1"/>
  <c r="AD30" i="8"/>
  <c r="AB37" i="13" s="1"/>
  <c r="AD47" i="8"/>
  <c r="AB38" i="13" s="1"/>
  <c r="AD4" i="8"/>
  <c r="AB39" i="13" s="1"/>
  <c r="AD15" i="8"/>
  <c r="AB40" i="13" s="1"/>
  <c r="AD51" i="8"/>
  <c r="AB41" i="13" s="1"/>
  <c r="AD18" i="8"/>
  <c r="AB42" i="13" s="1"/>
  <c r="AD35" i="8"/>
  <c r="AB43" i="13" s="1"/>
  <c r="AD44" i="8"/>
  <c r="AB44" i="13" s="1"/>
  <c r="AD27" i="8"/>
  <c r="AB45" i="13" s="1"/>
  <c r="AD41" i="8"/>
  <c r="AB46" i="13" s="1"/>
  <c r="AD13" i="8"/>
  <c r="AB47" i="13" s="1"/>
  <c r="AD17" i="8"/>
  <c r="AB48" i="13" s="1"/>
  <c r="AD50" i="8"/>
  <c r="AB49" i="13" s="1"/>
  <c r="AD39" i="8"/>
  <c r="AB50" i="13" s="1"/>
  <c r="AD34" i="8"/>
  <c r="AB51" i="13" s="1"/>
  <c r="AD7" i="8"/>
  <c r="AB52" i="13" s="1"/>
  <c r="AD5" i="8"/>
  <c r="AD49" i="8"/>
  <c r="I54" i="8"/>
  <c r="AD54" i="8" s="1"/>
  <c r="AC17" i="13" l="1"/>
  <c r="AC9" i="13"/>
  <c r="AC14" i="13"/>
  <c r="AB57" i="13"/>
  <c r="AC40" i="13" s="1"/>
  <c r="AB58" i="13"/>
  <c r="AC28" i="13" s="1"/>
  <c r="AC24" i="13"/>
  <c r="AB2" i="13"/>
  <c r="AB3" i="13" s="1"/>
  <c r="AC48" i="13"/>
  <c r="AB60" i="13"/>
  <c r="AB55" i="13"/>
  <c r="AD29" i="13" s="1"/>
  <c r="AE29" i="13" s="1"/>
  <c r="AF29" i="13" s="1"/>
  <c r="AG29" i="13" s="1"/>
  <c r="AS29" i="13" s="1"/>
  <c r="AT29" i="13" s="1"/>
  <c r="AB59" i="13"/>
  <c r="AC53" i="13"/>
  <c r="AB61" i="13"/>
  <c r="AC11" i="13" l="1"/>
  <c r="AC16" i="13"/>
  <c r="AC50" i="13"/>
  <c r="AC10" i="13"/>
  <c r="AC25" i="13"/>
  <c r="AC43" i="13"/>
  <c r="AC22" i="13"/>
  <c r="AC23" i="13"/>
  <c r="AC32" i="13"/>
  <c r="AC19" i="13"/>
  <c r="AC20" i="13"/>
  <c r="AC30" i="13"/>
  <c r="AC46" i="13"/>
  <c r="AC39" i="13"/>
  <c r="AC42" i="13"/>
  <c r="AC38" i="13"/>
  <c r="AC33" i="13"/>
  <c r="AC35" i="13"/>
  <c r="AC26" i="13"/>
  <c r="AC41" i="13"/>
  <c r="AC13" i="13"/>
  <c r="AC29" i="13"/>
  <c r="AC15" i="13"/>
  <c r="AC49" i="13"/>
  <c r="AC51" i="13"/>
  <c r="AC34" i="13"/>
  <c r="AC45" i="13"/>
  <c r="AB4" i="13"/>
  <c r="AC12" i="13"/>
  <c r="AC31" i="13"/>
  <c r="AC52" i="13"/>
  <c r="AC21" i="13"/>
  <c r="AC27" i="13"/>
  <c r="AC44" i="13"/>
  <c r="AC36" i="13"/>
  <c r="AC8" i="13"/>
  <c r="AC47" i="13"/>
  <c r="AC18" i="13"/>
  <c r="AC37" i="13"/>
  <c r="AV29" i="13"/>
  <c r="AD8" i="13" l="1"/>
  <c r="AE8" i="13" s="1"/>
  <c r="AF8" i="13" s="1"/>
  <c r="AG8" i="13" s="1"/>
  <c r="AS8" i="13" s="1"/>
  <c r="AD11" i="13"/>
  <c r="AE11" i="13" s="1"/>
  <c r="AF11" i="13" s="1"/>
  <c r="AG11" i="13" s="1"/>
  <c r="AS11" i="13" s="1"/>
  <c r="AD53" i="13"/>
  <c r="AE53" i="13" s="1"/>
  <c r="AF53" i="13" s="1"/>
  <c r="AG53" i="13" s="1"/>
  <c r="AS53" i="13" s="1"/>
  <c r="AD37" i="13"/>
  <c r="AE37" i="13" s="1"/>
  <c r="AF37" i="13" s="1"/>
  <c r="AG37" i="13" s="1"/>
  <c r="AS37" i="13" s="1"/>
  <c r="AD18" i="13"/>
  <c r="AE18" i="13" s="1"/>
  <c r="AF18" i="13" s="1"/>
  <c r="AG18" i="13" s="1"/>
  <c r="AS18" i="13" s="1"/>
  <c r="AD47" i="13"/>
  <c r="AE47" i="13" s="1"/>
  <c r="AF47" i="13" s="1"/>
  <c r="AG47" i="13" s="1"/>
  <c r="AS47" i="13" s="1"/>
  <c r="AD28" i="13"/>
  <c r="AE28" i="13" s="1"/>
  <c r="AF28" i="13" s="1"/>
  <c r="AG28" i="13" s="1"/>
  <c r="AS28" i="13" s="1"/>
  <c r="AD40" i="13"/>
  <c r="AE40" i="13" s="1"/>
  <c r="AF40" i="13" s="1"/>
  <c r="AG40" i="13" s="1"/>
  <c r="AS40" i="13" s="1"/>
  <c r="AD21" i="13"/>
  <c r="AE21" i="13" s="1"/>
  <c r="AF21" i="13" s="1"/>
  <c r="AG21" i="13" s="1"/>
  <c r="AS21" i="13" s="1"/>
  <c r="AD52" i="13"/>
  <c r="AE52" i="13" s="1"/>
  <c r="AF52" i="13" s="1"/>
  <c r="AG52" i="13" s="1"/>
  <c r="AS52" i="13" s="1"/>
  <c r="AD31" i="13"/>
  <c r="AE31" i="13" s="1"/>
  <c r="AF31" i="13" s="1"/>
  <c r="AG31" i="13" s="1"/>
  <c r="AS31" i="13" s="1"/>
  <c r="AD12" i="13"/>
  <c r="AE12" i="13" s="1"/>
  <c r="AF12" i="13" s="1"/>
  <c r="AG12" i="13" s="1"/>
  <c r="AS12" i="13" s="1"/>
  <c r="AD42" i="13"/>
  <c r="AE42" i="13" s="1"/>
  <c r="AF42" i="13" s="1"/>
  <c r="AG42" i="13" s="1"/>
  <c r="AS42" i="13" s="1"/>
  <c r="AD48" i="13"/>
  <c r="AE48" i="13" s="1"/>
  <c r="AF48" i="13" s="1"/>
  <c r="AG48" i="13" s="1"/>
  <c r="AS48" i="13" s="1"/>
  <c r="AD43" i="13"/>
  <c r="AE43" i="13" s="1"/>
  <c r="AF43" i="13" s="1"/>
  <c r="AG43" i="13" s="1"/>
  <c r="AS43" i="13" s="1"/>
  <c r="AD36" i="13"/>
  <c r="AE36" i="13" s="1"/>
  <c r="AF36" i="13" s="1"/>
  <c r="AG36" i="13" s="1"/>
  <c r="AS36" i="13" s="1"/>
  <c r="AD51" i="13"/>
  <c r="AE51" i="13" s="1"/>
  <c r="AF51" i="13" s="1"/>
  <c r="AG51" i="13" s="1"/>
  <c r="AS51" i="13" s="1"/>
  <c r="AD49" i="13"/>
  <c r="AE49" i="13" s="1"/>
  <c r="AF49" i="13" s="1"/>
  <c r="AG49" i="13" s="1"/>
  <c r="AS49" i="13" s="1"/>
  <c r="AD15" i="13"/>
  <c r="AE15" i="13" s="1"/>
  <c r="AF15" i="13" s="1"/>
  <c r="AG15" i="13" s="1"/>
  <c r="AS15" i="13" s="1"/>
  <c r="AD45" i="13"/>
  <c r="AE45" i="13" s="1"/>
  <c r="AF45" i="13" s="1"/>
  <c r="AG45" i="13" s="1"/>
  <c r="AS45" i="13" s="1"/>
  <c r="AD38" i="13"/>
  <c r="AE38" i="13" s="1"/>
  <c r="AF38" i="13" s="1"/>
  <c r="AG38" i="13" s="1"/>
  <c r="AS38" i="13" s="1"/>
  <c r="AD50" i="13"/>
  <c r="AE50" i="13" s="1"/>
  <c r="AF50" i="13" s="1"/>
  <c r="AG50" i="13" s="1"/>
  <c r="AS50" i="13" s="1"/>
  <c r="AD13" i="13"/>
  <c r="AE13" i="13" s="1"/>
  <c r="AF13" i="13" s="1"/>
  <c r="AG13" i="13" s="1"/>
  <c r="AS13" i="13" s="1"/>
  <c r="AD41" i="13"/>
  <c r="AE41" i="13" s="1"/>
  <c r="AF41" i="13" s="1"/>
  <c r="AG41" i="13" s="1"/>
  <c r="AS41" i="13" s="1"/>
  <c r="AD39" i="13"/>
  <c r="AE39" i="13" s="1"/>
  <c r="AF39" i="13" s="1"/>
  <c r="AG39" i="13" s="1"/>
  <c r="AS39" i="13" s="1"/>
  <c r="AD35" i="13"/>
  <c r="AE35" i="13" s="1"/>
  <c r="AF35" i="13" s="1"/>
  <c r="AG35" i="13" s="1"/>
  <c r="AS35" i="13" s="1"/>
  <c r="AD33" i="13"/>
  <c r="AE33" i="13" s="1"/>
  <c r="AF33" i="13" s="1"/>
  <c r="AG33" i="13" s="1"/>
  <c r="AS33" i="13" s="1"/>
  <c r="AD30" i="13"/>
  <c r="AE30" i="13" s="1"/>
  <c r="AF30" i="13" s="1"/>
  <c r="AG30" i="13" s="1"/>
  <c r="AS30" i="13" s="1"/>
  <c r="AD16" i="13"/>
  <c r="AE16" i="13" s="1"/>
  <c r="AF16" i="13" s="1"/>
  <c r="AG16" i="13" s="1"/>
  <c r="AS16" i="13" s="1"/>
  <c r="AD19" i="13"/>
  <c r="AE19" i="13" s="1"/>
  <c r="AF19" i="13" s="1"/>
  <c r="AG19" i="13" s="1"/>
  <c r="AS19" i="13" s="1"/>
  <c r="AD17" i="13"/>
  <c r="AE17" i="13" s="1"/>
  <c r="AF17" i="13" s="1"/>
  <c r="AG17" i="13" s="1"/>
  <c r="AS17" i="13" s="1"/>
  <c r="AD32" i="13"/>
  <c r="AE32" i="13" s="1"/>
  <c r="AF32" i="13" s="1"/>
  <c r="AG32" i="13" s="1"/>
  <c r="AS32" i="13" s="1"/>
  <c r="AD24" i="13"/>
  <c r="AE24" i="13" s="1"/>
  <c r="AF24" i="13" s="1"/>
  <c r="AG24" i="13" s="1"/>
  <c r="AS24" i="13" s="1"/>
  <c r="AD26" i="13"/>
  <c r="AE26" i="13" s="1"/>
  <c r="AF26" i="13" s="1"/>
  <c r="AG26" i="13" s="1"/>
  <c r="AS26" i="13" s="1"/>
  <c r="AD23" i="13"/>
  <c r="AE23" i="13" s="1"/>
  <c r="AF23" i="13" s="1"/>
  <c r="AG23" i="13" s="1"/>
  <c r="AS23" i="13" s="1"/>
  <c r="AD9" i="13"/>
  <c r="AE9" i="13" s="1"/>
  <c r="AF9" i="13" s="1"/>
  <c r="AG9" i="13" s="1"/>
  <c r="AS9" i="13" s="1"/>
  <c r="AD46" i="13"/>
  <c r="AE46" i="13" s="1"/>
  <c r="AF46" i="13" s="1"/>
  <c r="AG46" i="13" s="1"/>
  <c r="AS46" i="13" s="1"/>
  <c r="AD22" i="13"/>
  <c r="AE22" i="13" s="1"/>
  <c r="AF22" i="13" s="1"/>
  <c r="AG22" i="13" s="1"/>
  <c r="AS22" i="13" s="1"/>
  <c r="AD10" i="13"/>
  <c r="AE10" i="13" s="1"/>
  <c r="AF10" i="13" s="1"/>
  <c r="AG10" i="13" s="1"/>
  <c r="AS10" i="13" s="1"/>
  <c r="AD25" i="13"/>
  <c r="AE25" i="13" s="1"/>
  <c r="AF25" i="13" s="1"/>
  <c r="AG25" i="13" s="1"/>
  <c r="AS25" i="13" s="1"/>
  <c r="AD27" i="13"/>
  <c r="AE27" i="13" s="1"/>
  <c r="AF27" i="13" s="1"/>
  <c r="AG27" i="13" s="1"/>
  <c r="AS27" i="13" s="1"/>
  <c r="AD34" i="13"/>
  <c r="AE34" i="13" s="1"/>
  <c r="AF34" i="13" s="1"/>
  <c r="AG34" i="13" s="1"/>
  <c r="AS34" i="13" s="1"/>
  <c r="AD20" i="13"/>
  <c r="AE20" i="13" s="1"/>
  <c r="AF20" i="13" s="1"/>
  <c r="AG20" i="13" s="1"/>
  <c r="AS20" i="13" s="1"/>
  <c r="AD14" i="13"/>
  <c r="AE14" i="13" s="1"/>
  <c r="AF14" i="13" s="1"/>
  <c r="AG14" i="13" s="1"/>
  <c r="AS14" i="13" s="1"/>
  <c r="AD44" i="13"/>
  <c r="AE44" i="13" s="1"/>
  <c r="AF44" i="13" s="1"/>
  <c r="AG44" i="13" s="1"/>
  <c r="AS44" i="13" s="1"/>
  <c r="D56" i="8"/>
  <c r="E56" i="8"/>
  <c r="F56" i="8"/>
  <c r="G56" i="8"/>
  <c r="H56" i="8"/>
  <c r="K56" i="8"/>
  <c r="L56" i="8"/>
  <c r="M56" i="8"/>
  <c r="N56" i="8"/>
  <c r="O56" i="8"/>
  <c r="P56" i="8"/>
  <c r="R56" i="8"/>
  <c r="S56" i="8"/>
  <c r="T56" i="8"/>
  <c r="U56" i="8"/>
  <c r="V56" i="8"/>
  <c r="W56" i="8"/>
  <c r="C56" i="8"/>
  <c r="AR54" i="8"/>
  <c r="W54" i="8"/>
  <c r="V54" i="8"/>
  <c r="U54" i="8"/>
  <c r="T54" i="8"/>
  <c r="S54" i="8"/>
  <c r="R54" i="8"/>
  <c r="P54" i="8"/>
  <c r="O54" i="8"/>
  <c r="N54" i="8"/>
  <c r="M54" i="8"/>
  <c r="L54" i="8"/>
  <c r="K54" i="8"/>
  <c r="H54" i="8"/>
  <c r="G54" i="8"/>
  <c r="F54" i="8"/>
  <c r="E54" i="8"/>
  <c r="D54" i="8"/>
  <c r="C54" i="8"/>
  <c r="AR22" i="8"/>
  <c r="AK22" i="8"/>
  <c r="AJ22" i="8"/>
  <c r="AI22" i="8"/>
  <c r="AH22" i="8"/>
  <c r="AG22" i="8"/>
  <c r="AF22" i="8"/>
  <c r="AC22" i="8"/>
  <c r="AB22" i="8"/>
  <c r="AA22" i="8"/>
  <c r="Z22" i="8"/>
  <c r="Y22" i="8"/>
  <c r="AE22" i="8" s="1"/>
  <c r="X22" i="8"/>
  <c r="AR21" i="8"/>
  <c r="AK21" i="8"/>
  <c r="AJ21" i="8"/>
  <c r="AI21" i="8"/>
  <c r="AH21" i="8"/>
  <c r="AG21" i="8"/>
  <c r="AF21" i="8"/>
  <c r="AC21" i="8"/>
  <c r="AB21" i="8"/>
  <c r="AA21" i="8"/>
  <c r="Z21" i="8"/>
  <c r="Y21" i="8"/>
  <c r="AE21" i="8" s="1"/>
  <c r="X21" i="8"/>
  <c r="AR38" i="8"/>
  <c r="AK38" i="8"/>
  <c r="AJ38" i="8"/>
  <c r="AI38" i="8"/>
  <c r="AH38" i="8"/>
  <c r="AG38" i="8"/>
  <c r="AF38" i="8"/>
  <c r="AC38" i="8"/>
  <c r="AB38" i="8"/>
  <c r="AA38" i="8"/>
  <c r="Z38" i="8"/>
  <c r="Y38" i="8"/>
  <c r="AE38" i="8" s="1"/>
  <c r="X38" i="8"/>
  <c r="AR35" i="8"/>
  <c r="AK35" i="8"/>
  <c r="AJ35" i="8"/>
  <c r="AI35" i="8"/>
  <c r="AH35" i="8"/>
  <c r="AG35" i="8"/>
  <c r="AF35" i="8"/>
  <c r="AC35" i="8"/>
  <c r="AB35" i="8"/>
  <c r="AA35" i="8"/>
  <c r="Z35" i="8"/>
  <c r="Y35" i="8"/>
  <c r="AE35" i="8" s="1"/>
  <c r="X35" i="8"/>
  <c r="AR7" i="8"/>
  <c r="AK7" i="8"/>
  <c r="AJ7" i="8"/>
  <c r="AI7" i="8"/>
  <c r="AH7" i="8"/>
  <c r="AG7" i="8"/>
  <c r="AF7" i="8"/>
  <c r="AC7" i="8"/>
  <c r="AB7" i="8"/>
  <c r="AA7" i="8"/>
  <c r="Z7" i="8"/>
  <c r="Y7" i="8"/>
  <c r="AE7" i="8" s="1"/>
  <c r="X7" i="8"/>
  <c r="AR17" i="8"/>
  <c r="AK17" i="8"/>
  <c r="AJ17" i="8"/>
  <c r="AI17" i="8"/>
  <c r="AH17" i="8"/>
  <c r="AG17" i="8"/>
  <c r="AF17" i="8"/>
  <c r="AC17" i="8"/>
  <c r="AB17" i="8"/>
  <c r="AA17" i="8"/>
  <c r="Z17" i="8"/>
  <c r="Y17" i="8"/>
  <c r="AE17" i="8" s="1"/>
  <c r="X17" i="8"/>
  <c r="AK23" i="8"/>
  <c r="AJ23" i="8"/>
  <c r="AI23" i="8"/>
  <c r="AH23" i="8"/>
  <c r="AG23" i="8"/>
  <c r="AF23" i="8"/>
  <c r="AC23" i="8"/>
  <c r="AB23" i="8"/>
  <c r="AA23" i="8"/>
  <c r="Z23" i="8"/>
  <c r="Y23" i="8"/>
  <c r="AE23" i="8" s="1"/>
  <c r="X23" i="8"/>
  <c r="AR45" i="8"/>
  <c r="AK45" i="8"/>
  <c r="AJ45" i="8"/>
  <c r="AI45" i="8"/>
  <c r="AH45" i="8"/>
  <c r="AG45" i="8"/>
  <c r="AF45" i="8"/>
  <c r="AC45" i="8"/>
  <c r="AB45" i="8"/>
  <c r="AA45" i="8"/>
  <c r="Z45" i="8"/>
  <c r="Y45" i="8"/>
  <c r="AE45" i="8" s="1"/>
  <c r="X45" i="8"/>
  <c r="AR6" i="8"/>
  <c r="AK6" i="8"/>
  <c r="AJ6" i="8"/>
  <c r="AI6" i="8"/>
  <c r="AH6" i="8"/>
  <c r="AG6" i="8"/>
  <c r="AF6" i="8"/>
  <c r="AC6" i="8"/>
  <c r="AB6" i="8"/>
  <c r="AA6" i="8"/>
  <c r="Z6" i="8"/>
  <c r="Y6" i="8"/>
  <c r="AE6" i="8" s="1"/>
  <c r="X6" i="8"/>
  <c r="AR27" i="8"/>
  <c r="AK27" i="8"/>
  <c r="AJ27" i="8"/>
  <c r="AI27" i="8"/>
  <c r="AH27" i="8"/>
  <c r="AG27" i="8"/>
  <c r="AF27" i="8"/>
  <c r="AC27" i="8"/>
  <c r="AB27" i="8"/>
  <c r="AA27" i="8"/>
  <c r="Z27" i="8"/>
  <c r="Y27" i="8"/>
  <c r="AE27" i="8" s="1"/>
  <c r="X27" i="8"/>
  <c r="AR46" i="8"/>
  <c r="AK46" i="8"/>
  <c r="AJ46" i="8"/>
  <c r="AI46" i="8"/>
  <c r="AH46" i="8"/>
  <c r="AG46" i="8"/>
  <c r="AF46" i="8"/>
  <c r="AC46" i="8"/>
  <c r="AB46" i="8"/>
  <c r="AA46" i="8"/>
  <c r="Z46" i="8"/>
  <c r="Y46" i="8"/>
  <c r="AE46" i="8" s="1"/>
  <c r="X46" i="8"/>
  <c r="AR9" i="8"/>
  <c r="AK9" i="8"/>
  <c r="AJ9" i="8"/>
  <c r="AI9" i="8"/>
  <c r="AH9" i="8"/>
  <c r="AG9" i="8"/>
  <c r="AF9" i="8"/>
  <c r="AC9" i="8"/>
  <c r="AB9" i="8"/>
  <c r="AA9" i="8"/>
  <c r="Z9" i="8"/>
  <c r="Y9" i="8"/>
  <c r="AE9" i="8" s="1"/>
  <c r="X9" i="8"/>
  <c r="AR42" i="8"/>
  <c r="AK42" i="8"/>
  <c r="AJ42" i="8"/>
  <c r="AI42" i="8"/>
  <c r="AH42" i="8"/>
  <c r="AG42" i="8"/>
  <c r="AF42" i="8"/>
  <c r="AC42" i="8"/>
  <c r="AB42" i="8"/>
  <c r="AA42" i="8"/>
  <c r="Z42" i="8"/>
  <c r="Y42" i="8"/>
  <c r="AE42" i="8" s="1"/>
  <c r="X42" i="8"/>
  <c r="AR20" i="8"/>
  <c r="AK20" i="8"/>
  <c r="AJ20" i="8"/>
  <c r="AI20" i="8"/>
  <c r="AH20" i="8"/>
  <c r="AG20" i="8"/>
  <c r="AF20" i="8"/>
  <c r="AC20" i="8"/>
  <c r="AB20" i="8"/>
  <c r="AA20" i="8"/>
  <c r="Z20" i="8"/>
  <c r="Y20" i="8"/>
  <c r="AE20" i="8" s="1"/>
  <c r="X20" i="8"/>
  <c r="AR32" i="8"/>
  <c r="AK32" i="8"/>
  <c r="AJ32" i="8"/>
  <c r="AI32" i="8"/>
  <c r="AH32" i="8"/>
  <c r="AG32" i="8"/>
  <c r="AF32" i="8"/>
  <c r="AC32" i="8"/>
  <c r="AB32" i="8"/>
  <c r="AA32" i="8"/>
  <c r="Z32" i="8"/>
  <c r="Y32" i="8"/>
  <c r="AE32" i="8" s="1"/>
  <c r="X32" i="8"/>
  <c r="AR4" i="8"/>
  <c r="AK4" i="8"/>
  <c r="AJ4" i="8"/>
  <c r="AI4" i="8"/>
  <c r="AH4" i="8"/>
  <c r="AG4" i="8"/>
  <c r="AF4" i="8"/>
  <c r="AC4" i="8"/>
  <c r="AB4" i="8"/>
  <c r="AA4" i="8"/>
  <c r="Z4" i="8"/>
  <c r="Y4" i="8"/>
  <c r="AE4" i="8" s="1"/>
  <c r="X4" i="8"/>
  <c r="AR10" i="8"/>
  <c r="AK10" i="8"/>
  <c r="AJ10" i="8"/>
  <c r="AI10" i="8"/>
  <c r="AH10" i="8"/>
  <c r="AG10" i="8"/>
  <c r="AF10" i="8"/>
  <c r="AC10" i="8"/>
  <c r="AB10" i="8"/>
  <c r="AA10" i="8"/>
  <c r="Z10" i="8"/>
  <c r="Y10" i="8"/>
  <c r="AE10" i="8" s="1"/>
  <c r="X10" i="8"/>
  <c r="AR37" i="8"/>
  <c r="AK37" i="8"/>
  <c r="AJ37" i="8"/>
  <c r="AI37" i="8"/>
  <c r="AH37" i="8"/>
  <c r="AG37" i="8"/>
  <c r="AF37" i="8"/>
  <c r="AC37" i="8"/>
  <c r="AB37" i="8"/>
  <c r="AA37" i="8"/>
  <c r="Z37" i="8"/>
  <c r="Y37" i="8"/>
  <c r="AE37" i="8" s="1"/>
  <c r="X37" i="8"/>
  <c r="AR14" i="8"/>
  <c r="AK14" i="8"/>
  <c r="AJ14" i="8"/>
  <c r="AI14" i="8"/>
  <c r="AH14" i="8"/>
  <c r="AG14" i="8"/>
  <c r="AF14" i="8"/>
  <c r="AC14" i="8"/>
  <c r="AB14" i="8"/>
  <c r="AA14" i="8"/>
  <c r="Z14" i="8"/>
  <c r="Y14" i="8"/>
  <c r="AE14" i="8" s="1"/>
  <c r="X14" i="8"/>
  <c r="AR13" i="8"/>
  <c r="AK13" i="8"/>
  <c r="AJ13" i="8"/>
  <c r="AI13" i="8"/>
  <c r="AH13" i="8"/>
  <c r="AG13" i="8"/>
  <c r="AF13" i="8"/>
  <c r="AC13" i="8"/>
  <c r="AB13" i="8"/>
  <c r="AA13" i="8"/>
  <c r="Z13" i="8"/>
  <c r="Y13" i="8"/>
  <c r="AE13" i="8" s="1"/>
  <c r="X13" i="8"/>
  <c r="AR19" i="8"/>
  <c r="AK19" i="8"/>
  <c r="AJ19" i="8"/>
  <c r="AI19" i="8"/>
  <c r="AH19" i="8"/>
  <c r="AG19" i="8"/>
  <c r="AF19" i="8"/>
  <c r="AC19" i="8"/>
  <c r="AB19" i="8"/>
  <c r="AA19" i="8"/>
  <c r="Z19" i="8"/>
  <c r="Y19" i="8"/>
  <c r="AE19" i="8" s="1"/>
  <c r="X19" i="8"/>
  <c r="AR47" i="8"/>
  <c r="AK47" i="8"/>
  <c r="AJ47" i="8"/>
  <c r="AI47" i="8"/>
  <c r="AH47" i="8"/>
  <c r="AG47" i="8"/>
  <c r="AF47" i="8"/>
  <c r="AC47" i="8"/>
  <c r="AB47" i="8"/>
  <c r="AA47" i="8"/>
  <c r="Z47" i="8"/>
  <c r="Y47" i="8"/>
  <c r="AE47" i="8" s="1"/>
  <c r="X47" i="8"/>
  <c r="AR29" i="8"/>
  <c r="AK29" i="8"/>
  <c r="AJ29" i="8"/>
  <c r="AI29" i="8"/>
  <c r="AH29" i="8"/>
  <c r="AG29" i="8"/>
  <c r="AF29" i="8"/>
  <c r="AC29" i="8"/>
  <c r="AB29" i="8"/>
  <c r="AA29" i="8"/>
  <c r="Z29" i="8"/>
  <c r="Y29" i="8"/>
  <c r="AE29" i="8" s="1"/>
  <c r="X29" i="8"/>
  <c r="AR8" i="8"/>
  <c r="AK8" i="8"/>
  <c r="AJ8" i="8"/>
  <c r="AI8" i="8"/>
  <c r="AH8" i="8"/>
  <c r="AG8" i="8"/>
  <c r="AF8" i="8"/>
  <c r="AC8" i="8"/>
  <c r="AB8" i="8"/>
  <c r="AA8" i="8"/>
  <c r="Z8" i="8"/>
  <c r="Y8" i="8"/>
  <c r="AE8" i="8" s="1"/>
  <c r="X8" i="8"/>
  <c r="AR25" i="8"/>
  <c r="AK25" i="8"/>
  <c r="AJ25" i="8"/>
  <c r="AI25" i="8"/>
  <c r="AH25" i="8"/>
  <c r="AG25" i="8"/>
  <c r="AF25" i="8"/>
  <c r="AC25" i="8"/>
  <c r="AB25" i="8"/>
  <c r="AA25" i="8"/>
  <c r="Z25" i="8"/>
  <c r="Y25" i="8"/>
  <c r="AE25" i="8" s="1"/>
  <c r="X25" i="8"/>
  <c r="AR40" i="8"/>
  <c r="AK40" i="8"/>
  <c r="AJ40" i="8"/>
  <c r="AI40" i="8"/>
  <c r="AH40" i="8"/>
  <c r="AG40" i="8"/>
  <c r="AF40" i="8"/>
  <c r="AC40" i="8"/>
  <c r="AB40" i="8"/>
  <c r="AA40" i="8"/>
  <c r="Z40" i="8"/>
  <c r="Y40" i="8"/>
  <c r="AE40" i="8" s="1"/>
  <c r="X40" i="8"/>
  <c r="AR34" i="8"/>
  <c r="AK34" i="8"/>
  <c r="AJ34" i="8"/>
  <c r="AI34" i="8"/>
  <c r="AH34" i="8"/>
  <c r="AG34" i="8"/>
  <c r="AF34" i="8"/>
  <c r="AC34" i="8"/>
  <c r="AB34" i="8"/>
  <c r="AA34" i="8"/>
  <c r="Z34" i="8"/>
  <c r="Y34" i="8"/>
  <c r="AE34" i="8" s="1"/>
  <c r="X34" i="8"/>
  <c r="AR31" i="8"/>
  <c r="AK31" i="8"/>
  <c r="AJ31" i="8"/>
  <c r="AI31" i="8"/>
  <c r="AH31" i="8"/>
  <c r="AG31" i="8"/>
  <c r="AF31" i="8"/>
  <c r="AC31" i="8"/>
  <c r="AB31" i="8"/>
  <c r="AA31" i="8"/>
  <c r="Z31" i="8"/>
  <c r="Y31" i="8"/>
  <c r="AE31" i="8" s="1"/>
  <c r="X31" i="8"/>
  <c r="AR36" i="8"/>
  <c r="AK36" i="8"/>
  <c r="AJ36" i="8"/>
  <c r="AI36" i="8"/>
  <c r="AH36" i="8"/>
  <c r="AG36" i="8"/>
  <c r="AF36" i="8"/>
  <c r="AC36" i="8"/>
  <c r="AB36" i="8"/>
  <c r="AA36" i="8"/>
  <c r="Z36" i="8"/>
  <c r="Y36" i="8"/>
  <c r="AE36" i="8" s="1"/>
  <c r="X36" i="8"/>
  <c r="AR41" i="8"/>
  <c r="AK41" i="8"/>
  <c r="AJ41" i="8"/>
  <c r="AI41" i="8"/>
  <c r="AH41" i="8"/>
  <c r="AG41" i="8"/>
  <c r="AF41" i="8"/>
  <c r="AC41" i="8"/>
  <c r="AB41" i="8"/>
  <c r="AA41" i="8"/>
  <c r="Z41" i="8"/>
  <c r="Y41" i="8"/>
  <c r="AE41" i="8" s="1"/>
  <c r="X41" i="8"/>
  <c r="AR33" i="8"/>
  <c r="AK33" i="8"/>
  <c r="AJ33" i="8"/>
  <c r="AI33" i="8"/>
  <c r="AH33" i="8"/>
  <c r="AG33" i="8"/>
  <c r="AF33" i="8"/>
  <c r="AC33" i="8"/>
  <c r="AB33" i="8"/>
  <c r="AA33" i="8"/>
  <c r="Z33" i="8"/>
  <c r="Y33" i="8"/>
  <c r="AE33" i="8" s="1"/>
  <c r="X33" i="8"/>
  <c r="AR51" i="8"/>
  <c r="AK51" i="8"/>
  <c r="AJ51" i="8"/>
  <c r="AI51" i="8"/>
  <c r="AH51" i="8"/>
  <c r="AG51" i="8"/>
  <c r="AF51" i="8"/>
  <c r="AC51" i="8"/>
  <c r="AB51" i="8"/>
  <c r="AA51" i="8"/>
  <c r="Z51" i="8"/>
  <c r="Y51" i="8"/>
  <c r="AE51" i="8" s="1"/>
  <c r="X51" i="8"/>
  <c r="AR5" i="8"/>
  <c r="AK5" i="8"/>
  <c r="AJ5" i="8"/>
  <c r="AI5" i="8"/>
  <c r="AH5" i="8"/>
  <c r="AG5" i="8"/>
  <c r="AF5" i="8"/>
  <c r="AC5" i="8"/>
  <c r="AB5" i="8"/>
  <c r="AA5" i="8"/>
  <c r="Z5" i="8"/>
  <c r="Y5" i="8"/>
  <c r="AE5" i="8" s="1"/>
  <c r="X5" i="8"/>
  <c r="AR11" i="8"/>
  <c r="AK11" i="8"/>
  <c r="AJ11" i="8"/>
  <c r="AI11" i="8"/>
  <c r="AH11" i="8"/>
  <c r="AG11" i="8"/>
  <c r="AF11" i="8"/>
  <c r="AC11" i="8"/>
  <c r="AB11" i="8"/>
  <c r="AA11" i="8"/>
  <c r="Z11" i="8"/>
  <c r="Y11" i="8"/>
  <c r="AE11" i="8" s="1"/>
  <c r="X11" i="8"/>
  <c r="AR28" i="8"/>
  <c r="AK28" i="8"/>
  <c r="AJ28" i="8"/>
  <c r="AI28" i="8"/>
  <c r="AH28" i="8"/>
  <c r="AG28" i="8"/>
  <c r="AF28" i="8"/>
  <c r="AC28" i="8"/>
  <c r="AB28" i="8"/>
  <c r="AA28" i="8"/>
  <c r="Z28" i="8"/>
  <c r="Y28" i="8"/>
  <c r="AE28" i="8" s="1"/>
  <c r="X28" i="8"/>
  <c r="AR18" i="8"/>
  <c r="AK18" i="8"/>
  <c r="AJ18" i="8"/>
  <c r="AI18" i="8"/>
  <c r="AH18" i="8"/>
  <c r="AG18" i="8"/>
  <c r="AF18" i="8"/>
  <c r="AC18" i="8"/>
  <c r="AB18" i="8"/>
  <c r="AA18" i="8"/>
  <c r="Z18" i="8"/>
  <c r="Y18" i="8"/>
  <c r="AE18" i="8" s="1"/>
  <c r="X18" i="8"/>
  <c r="AR12" i="8"/>
  <c r="AK12" i="8"/>
  <c r="AJ12" i="8"/>
  <c r="AI12" i="8"/>
  <c r="AH12" i="8"/>
  <c r="AG12" i="8"/>
  <c r="AF12" i="8"/>
  <c r="AC12" i="8"/>
  <c r="AB12" i="8"/>
  <c r="AA12" i="8"/>
  <c r="Z12" i="8"/>
  <c r="Y12" i="8"/>
  <c r="AE12" i="8" s="1"/>
  <c r="X12" i="8"/>
  <c r="AR49" i="8"/>
  <c r="AK49" i="8"/>
  <c r="AL49" i="8" s="1"/>
  <c r="AJ49" i="8"/>
  <c r="AI49" i="8"/>
  <c r="AH49" i="8"/>
  <c r="AC49" i="8"/>
  <c r="AB49" i="8"/>
  <c r="AA49" i="8"/>
  <c r="Z49" i="8"/>
  <c r="Y49" i="8"/>
  <c r="AE49" i="8" s="1"/>
  <c r="X49" i="8"/>
  <c r="AR15" i="8"/>
  <c r="AK15" i="8"/>
  <c r="AJ15" i="8"/>
  <c r="AI15" i="8"/>
  <c r="AH15" i="8"/>
  <c r="AG15" i="8"/>
  <c r="AF15" i="8"/>
  <c r="AC15" i="8"/>
  <c r="AB15" i="8"/>
  <c r="AA15" i="8"/>
  <c r="Z15" i="8"/>
  <c r="Y15" i="8"/>
  <c r="AE15" i="8" s="1"/>
  <c r="X15" i="8"/>
  <c r="AK26" i="8"/>
  <c r="AJ26" i="8"/>
  <c r="AI26" i="8"/>
  <c r="AH26" i="8"/>
  <c r="AG26" i="8"/>
  <c r="AF26" i="8"/>
  <c r="AC26" i="8"/>
  <c r="AB26" i="8"/>
  <c r="AA26" i="8"/>
  <c r="Z26" i="8"/>
  <c r="Y26" i="8"/>
  <c r="AE26" i="8" s="1"/>
  <c r="X26" i="8"/>
  <c r="AR50" i="8"/>
  <c r="AK50" i="8"/>
  <c r="AJ50" i="8"/>
  <c r="AI50" i="8"/>
  <c r="AH50" i="8"/>
  <c r="AG50" i="8"/>
  <c r="AF50" i="8"/>
  <c r="AC50" i="8"/>
  <c r="AB50" i="8"/>
  <c r="AA50" i="8"/>
  <c r="Z50" i="8"/>
  <c r="Y50" i="8"/>
  <c r="AE50" i="8" s="1"/>
  <c r="X50" i="8"/>
  <c r="AR24" i="8"/>
  <c r="AK24" i="8"/>
  <c r="AJ24" i="8"/>
  <c r="AI24" i="8"/>
  <c r="AH24" i="8"/>
  <c r="AG24" i="8"/>
  <c r="AF24" i="8"/>
  <c r="AC24" i="8"/>
  <c r="AB24" i="8"/>
  <c r="AA24" i="8"/>
  <c r="Z24" i="8"/>
  <c r="Y24" i="8"/>
  <c r="AE24" i="8" s="1"/>
  <c r="X24" i="8"/>
  <c r="AR44" i="8"/>
  <c r="AK44" i="8"/>
  <c r="AJ44" i="8"/>
  <c r="AI44" i="8"/>
  <c r="AH44" i="8"/>
  <c r="AG44" i="8"/>
  <c r="AF44" i="8"/>
  <c r="AC44" i="8"/>
  <c r="AB44" i="8"/>
  <c r="AA44" i="8"/>
  <c r="Z44" i="8"/>
  <c r="Y44" i="8"/>
  <c r="AE44" i="8" s="1"/>
  <c r="X44" i="8"/>
  <c r="AR43" i="8"/>
  <c r="AK43" i="8"/>
  <c r="AJ43" i="8"/>
  <c r="AI43" i="8"/>
  <c r="AH43" i="8"/>
  <c r="AG43" i="8"/>
  <c r="AF43" i="8"/>
  <c r="AC43" i="8"/>
  <c r="AB43" i="8"/>
  <c r="AA43" i="8"/>
  <c r="Z43" i="8"/>
  <c r="Y43" i="8"/>
  <c r="AE43" i="8" s="1"/>
  <c r="X43" i="8"/>
  <c r="AR30" i="8"/>
  <c r="AK30" i="8"/>
  <c r="AJ30" i="8"/>
  <c r="AI30" i="8"/>
  <c r="AH30" i="8"/>
  <c r="AG30" i="8"/>
  <c r="AF30" i="8"/>
  <c r="AC30" i="8"/>
  <c r="AB30" i="8"/>
  <c r="AA30" i="8"/>
  <c r="Z30" i="8"/>
  <c r="Y30" i="8"/>
  <c r="AE30" i="8" s="1"/>
  <c r="X30" i="8"/>
  <c r="AR48" i="8"/>
  <c r="AK48" i="8"/>
  <c r="AJ48" i="8"/>
  <c r="AI48" i="8"/>
  <c r="AH48" i="8"/>
  <c r="AG48" i="8"/>
  <c r="AF48" i="8"/>
  <c r="AC48" i="8"/>
  <c r="AB48" i="8"/>
  <c r="AA48" i="8"/>
  <c r="Z48" i="8"/>
  <c r="Y48" i="8"/>
  <c r="AE48" i="8" s="1"/>
  <c r="X48" i="8"/>
  <c r="AR39" i="8"/>
  <c r="AK39" i="8"/>
  <c r="AJ39" i="8"/>
  <c r="AI39" i="8"/>
  <c r="AH39" i="8"/>
  <c r="AG39" i="8"/>
  <c r="AF39" i="8"/>
  <c r="AC39" i="8"/>
  <c r="AB39" i="8"/>
  <c r="AA39" i="8"/>
  <c r="Z39" i="8"/>
  <c r="Y39" i="8"/>
  <c r="AE39" i="8" s="1"/>
  <c r="X39" i="8"/>
  <c r="AR16" i="8"/>
  <c r="AK16" i="8"/>
  <c r="AJ16" i="8"/>
  <c r="AI16" i="8"/>
  <c r="AH16" i="8"/>
  <c r="AG16" i="8"/>
  <c r="AF16" i="8"/>
  <c r="AC16" i="8"/>
  <c r="AB16" i="8"/>
  <c r="AA16" i="8"/>
  <c r="Z16" i="8"/>
  <c r="Y16" i="8"/>
  <c r="AE16" i="8" s="1"/>
  <c r="X16" i="8"/>
  <c r="AT43" i="13" l="1"/>
  <c r="AV43" i="13"/>
  <c r="AV32" i="13"/>
  <c r="AT32" i="13"/>
  <c r="AT36" i="13"/>
  <c r="AV36" i="13"/>
  <c r="AV44" i="13"/>
  <c r="AT44" i="13"/>
  <c r="AV16" i="13"/>
  <c r="AT16" i="13"/>
  <c r="AV42" i="13"/>
  <c r="AT42" i="13"/>
  <c r="AV14" i="13"/>
  <c r="AT14" i="13"/>
  <c r="AT30" i="13"/>
  <c r="AV30" i="13"/>
  <c r="AT12" i="13"/>
  <c r="AV12" i="13"/>
  <c r="AV20" i="13"/>
  <c r="AT20" i="13"/>
  <c r="AV33" i="13"/>
  <c r="AT33" i="13"/>
  <c r="AT31" i="13"/>
  <c r="AV31" i="13"/>
  <c r="AV34" i="13"/>
  <c r="AT34" i="13"/>
  <c r="AV35" i="13"/>
  <c r="AT35" i="13"/>
  <c r="AT52" i="13"/>
  <c r="AV52" i="13"/>
  <c r="AV27" i="13"/>
  <c r="AT27" i="13"/>
  <c r="AV39" i="13"/>
  <c r="AT39" i="13"/>
  <c r="AV21" i="13"/>
  <c r="AT21" i="13"/>
  <c r="AT25" i="13"/>
  <c r="AV25" i="13"/>
  <c r="AV41" i="13"/>
  <c r="AT41" i="13"/>
  <c r="AT40" i="13"/>
  <c r="AV40" i="13"/>
  <c r="AV19" i="13"/>
  <c r="AT19" i="13"/>
  <c r="AV10" i="13"/>
  <c r="AT10" i="13"/>
  <c r="AT13" i="13"/>
  <c r="AV13" i="13"/>
  <c r="AV28" i="13"/>
  <c r="AT28" i="13"/>
  <c r="AT17" i="13"/>
  <c r="AV17" i="13"/>
  <c r="AT22" i="13"/>
  <c r="AV22" i="13"/>
  <c r="AV50" i="13"/>
  <c r="AT50" i="13"/>
  <c r="AT47" i="13"/>
  <c r="AV47" i="13"/>
  <c r="AT48" i="13"/>
  <c r="AV48" i="13"/>
  <c r="AV46" i="13"/>
  <c r="AT46" i="13"/>
  <c r="AV38" i="13"/>
  <c r="AT38" i="13"/>
  <c r="AV18" i="13"/>
  <c r="AT18" i="13"/>
  <c r="AT9" i="13"/>
  <c r="AV9" i="13"/>
  <c r="AT45" i="13"/>
  <c r="AV45" i="13"/>
  <c r="AT37" i="13"/>
  <c r="AV37" i="13"/>
  <c r="AV23" i="13"/>
  <c r="AT23" i="13"/>
  <c r="AT15" i="13"/>
  <c r="AV15" i="13"/>
  <c r="AV53" i="13"/>
  <c r="AT53" i="13"/>
  <c r="AT26" i="13"/>
  <c r="AV26" i="13"/>
  <c r="AT49" i="13"/>
  <c r="AV49" i="13"/>
  <c r="AT11" i="13"/>
  <c r="AV11" i="13"/>
  <c r="AV24" i="13"/>
  <c r="AT24" i="13"/>
  <c r="AV51" i="13"/>
  <c r="AT51" i="13"/>
  <c r="AT8" i="13"/>
  <c r="AV8" i="13"/>
  <c r="AC54" i="8"/>
  <c r="AB54" i="8"/>
  <c r="AL9" i="8"/>
  <c r="AL15" i="8"/>
  <c r="AL4" i="8"/>
  <c r="AL45" i="8"/>
  <c r="AL30" i="8"/>
  <c r="AF56" i="8"/>
  <c r="AL18" i="8"/>
  <c r="AL51" i="8"/>
  <c r="AL31" i="8"/>
  <c r="AL8" i="8"/>
  <c r="AL13" i="8"/>
  <c r="AA54" i="8"/>
  <c r="AF54" i="8"/>
  <c r="AL16" i="8"/>
  <c r="AL48" i="8"/>
  <c r="AL43" i="8"/>
  <c r="AJ56" i="8"/>
  <c r="AI56" i="8"/>
  <c r="AH56" i="8"/>
  <c r="AG56" i="8"/>
  <c r="AL38" i="8"/>
  <c r="AC56" i="8"/>
  <c r="AL39" i="8"/>
  <c r="AL50" i="8"/>
  <c r="AK56" i="8"/>
  <c r="AL12" i="8"/>
  <c r="AL5" i="8"/>
  <c r="AL36" i="8"/>
  <c r="AL25" i="8"/>
  <c r="AL19" i="8"/>
  <c r="AL10" i="8"/>
  <c r="AL42" i="8"/>
  <c r="AL6" i="8"/>
  <c r="X56" i="8"/>
  <c r="AL56" i="8" s="1"/>
  <c r="AL26" i="8"/>
  <c r="AB56" i="8"/>
  <c r="AL44" i="8"/>
  <c r="AA56" i="8"/>
  <c r="Z56" i="8"/>
  <c r="AL24" i="8"/>
  <c r="AL17" i="8"/>
  <c r="Y56" i="8"/>
  <c r="AL35" i="8"/>
  <c r="AJ54" i="8"/>
  <c r="AL11" i="8"/>
  <c r="AL41" i="8"/>
  <c r="AL40" i="8"/>
  <c r="AL47" i="8"/>
  <c r="AL37" i="8"/>
  <c r="AL20" i="8"/>
  <c r="AL27" i="8"/>
  <c r="J54" i="8"/>
  <c r="AL7" i="8"/>
  <c r="AL22" i="8"/>
  <c r="Z54" i="8"/>
  <c r="X54" i="8"/>
  <c r="AL28" i="8"/>
  <c r="AL33" i="8"/>
  <c r="AL34" i="8"/>
  <c r="AL29" i="8"/>
  <c r="AL14" i="8"/>
  <c r="AL32" i="8"/>
  <c r="AL46" i="8"/>
  <c r="AL23" i="8"/>
  <c r="AL21" i="8"/>
  <c r="AG54" i="8"/>
  <c r="Y54" i="8"/>
  <c r="AE54" i="8" s="1"/>
  <c r="AH54" i="8"/>
  <c r="AI54" i="8"/>
  <c r="AK54" i="8"/>
  <c r="AE56" i="8" l="1"/>
  <c r="AL54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Allan Pack</author>
  </authors>
  <commentList>
    <comment ref="R5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Allan Pack:</t>
        </r>
        <r>
          <rPr>
            <sz val="9"/>
            <color indexed="81"/>
            <rFont val="Tahoma"/>
            <family val="2"/>
          </rPr>
          <t xml:space="preserve">
ICC is for combined HC hospitals
</t>
        </r>
      </text>
    </comment>
    <comment ref="AU53" authorId="0" shapeId="0" xr:uid="{00000000-0006-0000-0100-000002000000}">
      <text>
        <r>
          <rPr>
            <b/>
            <sz val="9"/>
            <color indexed="81"/>
            <rFont val="Tahoma"/>
            <charset val="1"/>
          </rPr>
          <t>Allan Pack:</t>
        </r>
        <r>
          <rPr>
            <sz val="9"/>
            <color indexed="81"/>
            <rFont val="Tahoma"/>
            <charset val="1"/>
          </rPr>
          <t xml:space="preserve">
Used Holy Cross Markup only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Laura Mandel</author>
  </authors>
  <commentList>
    <comment ref="AF2" authorId="0" shapeId="0" xr:uid="{00000000-0006-0000-0400-000001000000}">
      <text>
        <r>
          <rPr>
            <b/>
            <sz val="9"/>
            <color indexed="81"/>
            <rFont val="Tahoma"/>
            <charset val="1"/>
          </rPr>
          <t>Laura Mandel:</t>
        </r>
        <r>
          <rPr>
            <sz val="9"/>
            <color indexed="81"/>
            <rFont val="Tahoma"/>
            <charset val="1"/>
          </rPr>
          <t xml:space="preserve">
did not update</t>
        </r>
      </text>
    </comment>
    <comment ref="AM2" authorId="0" shapeId="0" xr:uid="{00000000-0006-0000-0400-000002000000}">
      <text>
        <r>
          <rPr>
            <b/>
            <sz val="9"/>
            <color indexed="81"/>
            <rFont val="Tahoma"/>
            <charset val="1"/>
          </rPr>
          <t>Laura Mandel:</t>
        </r>
        <r>
          <rPr>
            <sz val="9"/>
            <color indexed="81"/>
            <rFont val="Tahoma"/>
            <charset val="1"/>
          </rPr>
          <t xml:space="preserve">
did not update</t>
        </r>
      </text>
    </comment>
    <comment ref="AT2" authorId="0" shapeId="0" xr:uid="{00000000-0006-0000-0400-000003000000}">
      <text>
        <r>
          <rPr>
            <b/>
            <sz val="9"/>
            <color indexed="81"/>
            <rFont val="Tahoma"/>
            <charset val="1"/>
          </rPr>
          <t>Laura Mandel:</t>
        </r>
        <r>
          <rPr>
            <sz val="9"/>
            <color indexed="81"/>
            <rFont val="Tahoma"/>
            <charset val="1"/>
          </rPr>
          <t xml:space="preserve">
did not update</t>
        </r>
      </text>
    </comment>
  </commentList>
</comments>
</file>

<file path=xl/sharedStrings.xml><?xml version="1.0" encoding="utf-8"?>
<sst xmlns="http://schemas.openxmlformats.org/spreadsheetml/2006/main" count="296" uniqueCount="257">
  <si>
    <t>UMMC</t>
  </si>
  <si>
    <t>Holy Cross</t>
  </si>
  <si>
    <t>Johns Hopkins</t>
  </si>
  <si>
    <t>St. Agnes Hospital</t>
  </si>
  <si>
    <t>Sinai Hospital</t>
  </si>
  <si>
    <t>MedStar Montgomery</t>
  </si>
  <si>
    <t>Suburban</t>
  </si>
  <si>
    <t>Western Maryland</t>
  </si>
  <si>
    <t>MedStar St. Mary's</t>
  </si>
  <si>
    <t>JH Bayview</t>
  </si>
  <si>
    <t>UM-Charles Regional</t>
  </si>
  <si>
    <t>UM-BWMC</t>
  </si>
  <si>
    <t>GBMC</t>
  </si>
  <si>
    <t>UM-Upper Chesapeake</t>
  </si>
  <si>
    <t>Atlantic General</t>
  </si>
  <si>
    <t>MedStar Southern MD</t>
  </si>
  <si>
    <t>Levindale</t>
  </si>
  <si>
    <t>HC-Germantown</t>
  </si>
  <si>
    <t>Hospital Name</t>
  </si>
  <si>
    <t>Meritus</t>
  </si>
  <si>
    <t>Frederick</t>
  </si>
  <si>
    <t>UM-Harford</t>
  </si>
  <si>
    <t>Mercy</t>
  </si>
  <si>
    <t>UM-Dorchester</t>
  </si>
  <si>
    <t>St. Agnes</t>
  </si>
  <si>
    <t>Sinai</t>
  </si>
  <si>
    <t>Bon Secours</t>
  </si>
  <si>
    <t>MedStar Fr Square</t>
  </si>
  <si>
    <t>Garrett</t>
  </si>
  <si>
    <t>Peninsula</t>
  </si>
  <si>
    <t>Anne Arundel</t>
  </si>
  <si>
    <t>MedStar Union Mem</t>
  </si>
  <si>
    <t>UM-Chestertown</t>
  </si>
  <si>
    <t>Union of Cecil</t>
  </si>
  <si>
    <t>Carroll</t>
  </si>
  <si>
    <t>MedStar Harbor</t>
  </si>
  <si>
    <t>UM-Easton</t>
  </si>
  <si>
    <t>UMMC Midtown</t>
  </si>
  <si>
    <t>Calvert</t>
  </si>
  <si>
    <t>Northwest</t>
  </si>
  <si>
    <t>McCready</t>
  </si>
  <si>
    <t>Howard County</t>
  </si>
  <si>
    <t>Doctors</t>
  </si>
  <si>
    <t>MedStar Good Sam</t>
  </si>
  <si>
    <t>Shady Grove</t>
  </si>
  <si>
    <t>UMROI</t>
  </si>
  <si>
    <t>UM-St. Joe</t>
  </si>
  <si>
    <t>Washington Adventist</t>
  </si>
  <si>
    <t>Ft. Washington</t>
  </si>
  <si>
    <t>Peer Group</t>
  </si>
  <si>
    <t>Holy Cross Hospitals</t>
  </si>
  <si>
    <t>Row Labels</t>
  </si>
  <si>
    <t>Grand Total</t>
  </si>
  <si>
    <t>Sum of DEP_AMOR</t>
  </si>
  <si>
    <t>Sum of OPERAT_LEASES</t>
  </si>
  <si>
    <t>Sum of INTEREST</t>
  </si>
  <si>
    <t>Column Labels</t>
  </si>
  <si>
    <t>Total Sum of DEP_AMOR</t>
  </si>
  <si>
    <t>Total Sum of OPERAT_LEASES</t>
  </si>
  <si>
    <t>Total Sum of INTEREST</t>
  </si>
  <si>
    <t>Sum of TOT_COST</t>
  </si>
  <si>
    <t>Total Sum of TOT_COST</t>
  </si>
  <si>
    <t>C</t>
  </si>
  <si>
    <t>Sum of Capital Cost Share</t>
  </si>
  <si>
    <t>Total Sum of Capital Cost Share</t>
  </si>
  <si>
    <t>Standard Deviation</t>
  </si>
  <si>
    <t xml:space="preserve">1 Std Deviation </t>
  </si>
  <si>
    <t>HOSP id</t>
  </si>
  <si>
    <t>ICC Result</t>
  </si>
  <si>
    <t>ICC Rank</t>
  </si>
  <si>
    <t>2013-2018 TCOC per Capita Growth Rate</t>
  </si>
  <si>
    <t>TCOC Rank</t>
  </si>
  <si>
    <t>Total  Rank Points (Low Score is Better)</t>
  </si>
  <si>
    <t>Within Quintile Ranking</t>
  </si>
  <si>
    <t>Max Ranking in Each Quintile</t>
  </si>
  <si>
    <t>PAU Dollars</t>
  </si>
  <si>
    <t>PAU Attainment Quintile</t>
  </si>
  <si>
    <t>Anne Arundel Medical Center</t>
  </si>
  <si>
    <t>Greater Baltimore Medical Center</t>
  </si>
  <si>
    <t>Johns Hopkins Hospital</t>
  </si>
  <si>
    <t>MedStar Franklin Square Hospital Center</t>
  </si>
  <si>
    <t>University of Maryland Baltimore Washington Medical Center</t>
  </si>
  <si>
    <t>Atlantic General Hospital</t>
  </si>
  <si>
    <t>University of Maryland Medical Center</t>
  </si>
  <si>
    <t>MedStar Good Samaritan Hospital</t>
  </si>
  <si>
    <t>Johns Hopkins Bayview Medical Center</t>
  </si>
  <si>
    <t>Peninsula Regional Medical Center</t>
  </si>
  <si>
    <t>Union Hospital of Cecil County</t>
  </si>
  <si>
    <t>Meritus Medical Center</t>
  </si>
  <si>
    <t>Suburban Hospital</t>
  </si>
  <si>
    <t>Fort Washington Medical Center</t>
  </si>
  <si>
    <t>MedStar St. Mary's Hospital</t>
  </si>
  <si>
    <t>Harford Memorial Hospital</t>
  </si>
  <si>
    <t>Garrett County Memorial Hospital</t>
  </si>
  <si>
    <t>Carroll Hospital Center</t>
  </si>
  <si>
    <t>Washington Adventist Hospital</t>
  </si>
  <si>
    <t>Shady Grove Adventist Hospital</t>
  </si>
  <si>
    <t>Mercy Medical Center</t>
  </si>
  <si>
    <t>Northwest Hospital Center</t>
  </si>
  <si>
    <t>Howard County General Hospital</t>
  </si>
  <si>
    <t>Frederick Memorial Hospital</t>
  </si>
  <si>
    <t>MedStar Union Memorial Hospital</t>
  </si>
  <si>
    <t>Laurel Regional Hospital</t>
  </si>
  <si>
    <t>McCready Memorial Hospital</t>
  </si>
  <si>
    <t>University of Maryland St. Joseph Medical Center</t>
  </si>
  <si>
    <t>Doctors Community Hospital</t>
  </si>
  <si>
    <t>University of Maryland Shore Medical Center at Dorchester</t>
  </si>
  <si>
    <t>University of Maryland Shore Medical Center at Easton</t>
  </si>
  <si>
    <t>University of Maryland Charles Regional Medical Center</t>
  </si>
  <si>
    <t>MedStar Southern Maryland Hospital Center</t>
  </si>
  <si>
    <t>Prince Georges Hospital Center</t>
  </si>
  <si>
    <t>University of Maryland Shore Medical Center at Chestertown</t>
  </si>
  <si>
    <t>Bon Secours Hospital</t>
  </si>
  <si>
    <t>Western Maryland Regional Medical Center</t>
  </si>
  <si>
    <t>University of Maryland Medical Center Midtown Campus</t>
  </si>
  <si>
    <t>Calvert Memorial Hospital</t>
  </si>
  <si>
    <t>University of Maryland Rehabilitation &amp; Orthopaedic Institute</t>
  </si>
  <si>
    <t>Upper Chesapeake Medical Center</t>
  </si>
  <si>
    <t>MedStar Montgomery Medical Center</t>
  </si>
  <si>
    <t>MedStar Harbor Hospital Center</t>
  </si>
  <si>
    <t>Statewide Average</t>
  </si>
  <si>
    <t>Additional Capital Funding Eligibility (Peer Group Capital Cost % Minus Hospital Cost %)</t>
  </si>
  <si>
    <t>RY 2019 GBR</t>
  </si>
  <si>
    <t>PAU revenue</t>
  </si>
  <si>
    <t>Total eligible (IP and Obs &gt; 24 hours)</t>
  </si>
  <si>
    <t>Total</t>
  </si>
  <si>
    <t>% of eligble (PAU revenue / IP Revenue)</t>
  </si>
  <si>
    <t>% of total</t>
  </si>
  <si>
    <t>Geographic all payer PQI Per capita (per 1000 adults)</t>
  </si>
  <si>
    <t>MPA PQI per capita (per 1000 adults)</t>
  </si>
  <si>
    <t>Hospital ID</t>
  </si>
  <si>
    <t>CY12 PAU</t>
  </si>
  <si>
    <t>CY13 PAU</t>
  </si>
  <si>
    <t>CY14 PAU</t>
  </si>
  <si>
    <t>CY15 PAU</t>
  </si>
  <si>
    <t>CY16 PAU</t>
  </si>
  <si>
    <t>CY17 PAU</t>
  </si>
  <si>
    <t>CY12</t>
  </si>
  <si>
    <t>CY13</t>
  </si>
  <si>
    <t>CY14</t>
  </si>
  <si>
    <t>CY15</t>
  </si>
  <si>
    <t>CY16</t>
  </si>
  <si>
    <t>CY17</t>
  </si>
  <si>
    <t>% change CY13 to CY17</t>
  </si>
  <si>
    <t xml:space="preserve"> </t>
  </si>
  <si>
    <t>UM-Laurel</t>
  </si>
  <si>
    <t>UM-PGHC</t>
  </si>
  <si>
    <t>statewide</t>
  </si>
  <si>
    <t>Note: All data pulled from case-mix on 3.5.19 using PAU dataset created Feb 2019. CYTD is through September 2018. PAU defined as "actual PAU" - actual dollars used prior to RY20. Differences between this run and previous runs for ICC include the inclusion of shock trauma, as well as fixes for rehab/chronic.</t>
  </si>
  <si>
    <t>Note: UM Shore Chestertown is undergoing an audit for PQI results - may need to be removed from quartile/quintile analysis</t>
  </si>
  <si>
    <t>Note: Levindale IP and OP total was taken from previous versions of the spreadsheet rather than recalculated</t>
  </si>
  <si>
    <t>A</t>
  </si>
  <si>
    <t xml:space="preserve">B </t>
  </si>
  <si>
    <t>D</t>
  </si>
  <si>
    <t>E</t>
  </si>
  <si>
    <t>F</t>
  </si>
  <si>
    <t>H</t>
  </si>
  <si>
    <t>I</t>
  </si>
  <si>
    <t>M</t>
  </si>
  <si>
    <t>T</t>
  </si>
  <si>
    <t>U</t>
  </si>
  <si>
    <t>2010 Patient Days</t>
  </si>
  <si>
    <t>FY2013 OP Surgery</t>
  </si>
  <si>
    <t>Total Starting Volume</t>
  </si>
  <si>
    <t>2018 Patient Days</t>
  </si>
  <si>
    <t>2018 Obsveration Volume Greater than 24 Hours</t>
  </si>
  <si>
    <t>CY2017 OP Surgery</t>
  </si>
  <si>
    <t>Total Ending Volume</t>
  </si>
  <si>
    <t>Change</t>
  </si>
  <si>
    <t>AB</t>
  </si>
  <si>
    <t>AC</t>
  </si>
  <si>
    <t>AD</t>
  </si>
  <si>
    <t>Excess Capacity Per Diem to be Removed from Capital Financing</t>
  </si>
  <si>
    <t>Excess Capacity Cost to be Removed from Capital Financing</t>
  </si>
  <si>
    <t>Total Annual HSCRCCapital  Financing Net of PAU</t>
  </si>
  <si>
    <t>Total Annual HSCRCCapital  Financing Net of PAU and Excess Capacity</t>
  </si>
  <si>
    <t>Salvage Value</t>
  </si>
  <si>
    <t>Life</t>
  </si>
  <si>
    <t>Fill in when capital project comes in</t>
  </si>
  <si>
    <t>Rate</t>
  </si>
  <si>
    <t>Number of Periods</t>
  </si>
  <si>
    <t xml:space="preserve"> Capital Cost Percentage (2018 ACS) </t>
  </si>
  <si>
    <t xml:space="preserve"> Capital Cost $ (2018 ACS) </t>
  </si>
  <si>
    <t>Current Total Costs (2018)</t>
  </si>
  <si>
    <t>Capital Cost with New Project</t>
  </si>
  <si>
    <t>50% of Group, 50% of Request</t>
  </si>
  <si>
    <t>N</t>
  </si>
  <si>
    <t>AL</t>
  </si>
  <si>
    <t>Hypothetical Capital - Project Size (50% GBR)</t>
  </si>
  <si>
    <t>PAU Credit (Discredit) - Hospitals Beyond Std Deviation Capped at One Standard Deviation Change</t>
  </si>
  <si>
    <t xml:space="preserve">PAU Credit (Discredit) - Scaled for Efficiency </t>
  </si>
  <si>
    <t>HSCRC Effective Financing</t>
  </si>
  <si>
    <t>PAU Credit - Scaled for Efficiency (50% Variable Cost)</t>
  </si>
  <si>
    <t>AI</t>
  </si>
  <si>
    <t>AM</t>
  </si>
  <si>
    <t>CY18 PAU</t>
  </si>
  <si>
    <t>CY18</t>
  </si>
  <si>
    <t>2018 PAU % of eligible revenue (IP + OBS 24 hrs)</t>
  </si>
  <si>
    <t>Cy13 to cy18 PAU change</t>
  </si>
  <si>
    <t>2019 Hospital Markup</t>
  </si>
  <si>
    <t>Total Annual HSCRCCapital  Financing Net of PAU and Excess Capacity (with Markup)</t>
  </si>
  <si>
    <t>70% Interest, 100% Depreciation Cap</t>
  </si>
  <si>
    <t>% change CY13 to CY18</t>
  </si>
  <si>
    <t>X</t>
  </si>
  <si>
    <t>AA</t>
  </si>
  <si>
    <t>AF=AE/2</t>
  </si>
  <si>
    <t>AG=Z+AF</t>
  </si>
  <si>
    <t>AH</t>
  </si>
  <si>
    <t>AJ=AH+AI</t>
  </si>
  <si>
    <t>AK</t>
  </si>
  <si>
    <t>AN=AK+AL+AM</t>
  </si>
  <si>
    <t>AO=AN-AJ</t>
  </si>
  <si>
    <t>AP</t>
  </si>
  <si>
    <t>Increment</t>
  </si>
  <si>
    <t>Base Threshold $</t>
  </si>
  <si>
    <t>Base Threshold %</t>
  </si>
  <si>
    <t>% Change from Incremental Threshold</t>
  </si>
  <si>
    <t>Threshold Scaled for Distance  from Incremental Threshold</t>
  </si>
  <si>
    <t>Threshold $ Amount</t>
  </si>
  <si>
    <t>Statewide Average GBR</t>
  </si>
  <si>
    <t>GBR Amount</t>
  </si>
  <si>
    <t>Threshold Test (Insert Value)</t>
  </si>
  <si>
    <t>Requested % of Cost (incl new D&amp;I) - Pro Forma Capital Ratio</t>
  </si>
  <si>
    <t>Peer Group Capital Cost Percentage (2018 ACS) - Peer Group Capital Ratio</t>
  </si>
  <si>
    <t>Capital Funding Available without Integrated Efficiency Scaling</t>
  </si>
  <si>
    <t xml:space="preserve">Scaled for Integrated Efficiency </t>
  </si>
  <si>
    <t>Integrated Efficiency Quintile</t>
  </si>
  <si>
    <t>G</t>
  </si>
  <si>
    <t xml:space="preserve">Hypothetical Capital - Depreciation </t>
  </si>
  <si>
    <t xml:space="preserve">Hypothetical Capital -Loan </t>
  </si>
  <si>
    <t xml:space="preserve">Hypothetical Capital -Interest </t>
  </si>
  <si>
    <t>J=H*I</t>
  </si>
  <si>
    <t>K=E+G+J</t>
  </si>
  <si>
    <t>L=K/(E+G+H)</t>
  </si>
  <si>
    <t>O=(L/2)+(N/2)</t>
  </si>
  <si>
    <t>P=O-I</t>
  </si>
  <si>
    <t>Q=P*H</t>
  </si>
  <si>
    <t>R</t>
  </si>
  <si>
    <t>S</t>
  </si>
  <si>
    <t>V=S+U</t>
  </si>
  <si>
    <t xml:space="preserve">W  </t>
  </si>
  <si>
    <t>Y</t>
  </si>
  <si>
    <t>Integreated Efficiency Scaling</t>
  </si>
  <si>
    <t>Z=Q*Y</t>
  </si>
  <si>
    <t>AE=AD*Y</t>
  </si>
  <si>
    <t>AQ=AO*AP</t>
  </si>
  <si>
    <t>AR=E+(G*70%)</t>
  </si>
  <si>
    <t>AS=Lesser of AQ &amp; AR</t>
  </si>
  <si>
    <t>AT=AS/(E+G)</t>
  </si>
  <si>
    <t>AU</t>
  </si>
  <si>
    <t>AV=AU*AS</t>
  </si>
  <si>
    <t>Step 1</t>
  </si>
  <si>
    <t>Step 2a</t>
  </si>
  <si>
    <t>Step 2b</t>
  </si>
  <si>
    <t>Step 3a</t>
  </si>
  <si>
    <t>Step 3b</t>
  </si>
  <si>
    <t>Final Output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</si>
</sst>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6" formatCode="&quot;$&quot;#,##0_);[Red]\(&quot;$&quot;#,##0\)"/>
    <numFmt numFmtId="43" formatCode="_(* #,##0.00_);_(* \(#,##0.00\);_(* &quot;-&quot;??_);_(@_)"/>
    <numFmt numFmtId="164" formatCode="#,##0.0"/>
    <numFmt numFmtId="165" formatCode="_(* #,##0.0_);_(* \(#,##0.0\);_(* &quot;-&quot;??_);_(@_)"/>
    <numFmt numFmtId="166" formatCode="_(* #,##0_);_(* \(#,##0\);_(* &quot;-&quot;??_);_(@_)"/>
    <numFmt numFmtId="167" formatCode="0.0"/>
    <numFmt numFmtId="168" formatCode="0.0%"/>
    <numFmt numFmtId="169" formatCode="_(&quot;$&quot;* #,##0_);_(&quot;$&quot;* \(#,##0\);_(&quot;$&quot;* &quot;-&quot;??_);_(@_)"/>
    <numFmt numFmtId="170" formatCode="&quot;$&quot;#,##0"/>
    <numFmt numFmtId="171" formatCode="_(* #,##0.0000_);_(* \(#,##0.0000\);_(* &quot;-&quot;??_);_(@_)"/>
    <numFmt numFmtId="172" formatCode="#,##0.00;\-#,##0.00"/>
    <numFmt numFmtId="173" formatCode="0.0000000000000000%"/>
    <numFmt numFmtId="174" formatCode="&quot;$&quot;#,##0.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2"/>
      <name val="Arial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color indexed="8"/>
      <name val="Arial"/>
      <family val="2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Arial"/>
      <family val="2"/>
    </font>
    <font>
      <b/>
      <sz val="18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u val="singleAccounting"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26"/>
      <name val="Arial"/>
      <family val="2"/>
    </font>
    <font>
      <b/>
      <sz val="26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0C0C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theme="9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</cellStyleXfs>
  <cellXfs count="17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66" fontId="0" fillId="0" borderId="0" xfId="1" applyNumberFormat="1" applyFont="1"/>
    <xf numFmtId="1" fontId="0" fillId="0" borderId="0" xfId="0" applyNumberFormat="1"/>
    <xf numFmtId="166" fontId="0" fillId="0" borderId="0" xfId="0" applyNumberFormat="1"/>
    <xf numFmtId="1" fontId="0" fillId="0" borderId="0" xfId="0" pivotButton="1" applyNumberFormat="1"/>
    <xf numFmtId="9" fontId="0" fillId="0" borderId="0" xfId="2" applyFont="1"/>
    <xf numFmtId="168" fontId="0" fillId="0" borderId="0" xfId="2" applyNumberFormat="1" applyFont="1"/>
    <xf numFmtId="10" fontId="0" fillId="0" borderId="0" xfId="2" applyNumberFormat="1" applyFont="1"/>
    <xf numFmtId="10" fontId="0" fillId="0" borderId="0" xfId="0" applyNumberFormat="1"/>
    <xf numFmtId="168" fontId="0" fillId="0" borderId="0" xfId="0" applyNumberFormat="1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166" fontId="5" fillId="0" borderId="3" xfId="1" applyNumberFormat="1" applyFont="1" applyFill="1" applyBorder="1"/>
    <xf numFmtId="0" fontId="6" fillId="0" borderId="0" xfId="0" applyFont="1" applyAlignment="1">
      <alignment horizontal="centerContinuous"/>
    </xf>
    <xf numFmtId="169" fontId="0" fillId="0" borderId="0" xfId="0" applyNumberFormat="1"/>
    <xf numFmtId="0" fontId="0" fillId="0" borderId="0" xfId="0" applyAlignment="1">
      <alignment horizontal="center" vertical="center"/>
    </xf>
    <xf numFmtId="10" fontId="0" fillId="0" borderId="0" xfId="2" applyNumberFormat="1" applyFont="1" applyFill="1"/>
    <xf numFmtId="0" fontId="6" fillId="0" borderId="0" xfId="0" applyFont="1"/>
    <xf numFmtId="10" fontId="5" fillId="0" borderId="3" xfId="2" applyNumberFormat="1" applyFont="1" applyFill="1" applyBorder="1"/>
    <xf numFmtId="0" fontId="0" fillId="0" borderId="0" xfId="0" applyAlignment="1">
      <alignment wrapText="1"/>
    </xf>
    <xf numFmtId="0" fontId="10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10" fontId="5" fillId="0" borderId="7" xfId="0" applyNumberFormat="1" applyFont="1" applyBorder="1" applyAlignment="1">
      <alignment horizontal="center"/>
    </xf>
    <xf numFmtId="3" fontId="5" fillId="0" borderId="7" xfId="0" applyNumberFormat="1" applyFont="1" applyBorder="1" applyAlignment="1">
      <alignment horizontal="center"/>
    </xf>
    <xf numFmtId="3" fontId="5" fillId="0" borderId="8" xfId="0" applyNumberFormat="1" applyFont="1" applyBorder="1" applyAlignment="1">
      <alignment horizontal="right"/>
    </xf>
    <xf numFmtId="3" fontId="0" fillId="0" borderId="7" xfId="0" applyNumberFormat="1" applyBorder="1" applyAlignment="1">
      <alignment horizontal="center"/>
    </xf>
    <xf numFmtId="9" fontId="1" fillId="0" borderId="0" xfId="2" applyFont="1" applyAlignment="1">
      <alignment horizontal="right"/>
    </xf>
    <xf numFmtId="3" fontId="5" fillId="0" borderId="7" xfId="0" applyNumberFormat="1" applyFont="1" applyBorder="1" applyAlignment="1">
      <alignment horizontal="right"/>
    </xf>
    <xf numFmtId="166" fontId="5" fillId="0" borderId="0" xfId="1" applyNumberFormat="1" applyFont="1" applyFill="1" applyBorder="1" applyAlignment="1">
      <alignment horizontal="right"/>
    </xf>
    <xf numFmtId="170" fontId="5" fillId="0" borderId="0" xfId="2" applyNumberFormat="1" applyFont="1" applyFill="1" applyBorder="1" applyAlignment="1">
      <alignment horizontal="right"/>
    </xf>
    <xf numFmtId="3" fontId="5" fillId="0" borderId="0" xfId="0" applyNumberFormat="1" applyFont="1" applyAlignment="1">
      <alignment horizontal="right"/>
    </xf>
    <xf numFmtId="170" fontId="5" fillId="0" borderId="0" xfId="0" applyNumberFormat="1" applyFont="1" applyAlignment="1">
      <alignment horizontal="right"/>
    </xf>
    <xf numFmtId="168" fontId="5" fillId="0" borderId="0" xfId="2" applyNumberFormat="1" applyFont="1" applyFill="1" applyBorder="1" applyAlignment="1">
      <alignment horizontal="right"/>
    </xf>
    <xf numFmtId="3" fontId="5" fillId="0" borderId="0" xfId="0" applyNumberFormat="1" applyFont="1"/>
    <xf numFmtId="0" fontId="9" fillId="0" borderId="0" xfId="0" applyFont="1"/>
    <xf numFmtId="6" fontId="9" fillId="0" borderId="0" xfId="0" applyNumberFormat="1" applyFont="1"/>
    <xf numFmtId="9" fontId="5" fillId="0" borderId="0" xfId="2" applyFont="1" applyFill="1" applyBorder="1"/>
    <xf numFmtId="169" fontId="7" fillId="0" borderId="0" xfId="2" applyNumberFormat="1" applyFont="1" applyFill="1"/>
    <xf numFmtId="0" fontId="0" fillId="0" borderId="0" xfId="0" applyAlignment="1">
      <alignment horizontal="left" vertical="center"/>
    </xf>
    <xf numFmtId="43" fontId="0" fillId="0" borderId="0" xfId="1" applyFont="1" applyFill="1"/>
    <xf numFmtId="3" fontId="0" fillId="0" borderId="0" xfId="0" applyNumberFormat="1"/>
    <xf numFmtId="166" fontId="0" fillId="0" borderId="0" xfId="1" applyNumberFormat="1" applyFont="1" applyFill="1"/>
    <xf numFmtId="0" fontId="0" fillId="0" borderId="0" xfId="0" applyAlignment="1">
      <alignment horizontal="center"/>
    </xf>
    <xf numFmtId="10" fontId="5" fillId="0" borderId="10" xfId="0" applyNumberFormat="1" applyFont="1" applyBorder="1"/>
    <xf numFmtId="10" fontId="5" fillId="0" borderId="3" xfId="0" applyNumberFormat="1" applyFont="1" applyBorder="1"/>
    <xf numFmtId="166" fontId="5" fillId="0" borderId="0" xfId="1" applyNumberFormat="1" applyFont="1" applyFill="1" applyBorder="1"/>
    <xf numFmtId="3" fontId="8" fillId="0" borderId="0" xfId="0" applyNumberFormat="1" applyFont="1"/>
    <xf numFmtId="43" fontId="5" fillId="0" borderId="3" xfId="1" applyFont="1" applyFill="1" applyBorder="1"/>
    <xf numFmtId="169" fontId="5" fillId="0" borderId="0" xfId="0" applyNumberFormat="1" applyFont="1"/>
    <xf numFmtId="10" fontId="5" fillId="0" borderId="0" xfId="0" applyNumberFormat="1" applyFont="1"/>
    <xf numFmtId="168" fontId="5" fillId="0" borderId="0" xfId="2" applyNumberFormat="1" applyFont="1" applyFill="1" applyBorder="1"/>
    <xf numFmtId="169" fontId="5" fillId="0" borderId="0" xfId="2" applyNumberFormat="1" applyFont="1" applyFill="1" applyBorder="1"/>
    <xf numFmtId="164" fontId="8" fillId="0" borderId="0" xfId="0" applyNumberFormat="1" applyFont="1"/>
    <xf numFmtId="43" fontId="0" fillId="0" borderId="0" xfId="0" applyNumberFormat="1"/>
    <xf numFmtId="10" fontId="5" fillId="0" borderId="7" xfId="2" applyNumberFormat="1" applyFont="1" applyFill="1" applyBorder="1" applyAlignment="1">
      <alignment horizontal="right"/>
    </xf>
    <xf numFmtId="1" fontId="5" fillId="0" borderId="7" xfId="2" applyNumberFormat="1" applyFont="1" applyFill="1" applyBorder="1" applyAlignment="1">
      <alignment horizontal="right"/>
    </xf>
    <xf numFmtId="10" fontId="5" fillId="0" borderId="0" xfId="2" applyNumberFormat="1" applyFont="1" applyFill="1" applyBorder="1" applyAlignment="1">
      <alignment horizontal="right"/>
    </xf>
    <xf numFmtId="171" fontId="0" fillId="0" borderId="0" xfId="0" applyNumberFormat="1"/>
    <xf numFmtId="170" fontId="5" fillId="0" borderId="0" xfId="1" applyNumberFormat="1" applyFont="1" applyFill="1" applyBorder="1" applyAlignment="1">
      <alignment horizontal="right"/>
    </xf>
    <xf numFmtId="0" fontId="7" fillId="0" borderId="0" xfId="3"/>
    <xf numFmtId="0" fontId="7" fillId="0" borderId="11" xfId="3" applyBorder="1"/>
    <xf numFmtId="0" fontId="6" fillId="4" borderId="11" xfId="3" applyFont="1" applyFill="1" applyBorder="1" applyAlignment="1">
      <alignment horizontal="center" vertical="center" wrapText="1"/>
    </xf>
    <xf numFmtId="166" fontId="6" fillId="5" borderId="11" xfId="1" applyNumberFormat="1" applyFont="1" applyFill="1" applyBorder="1" applyAlignment="1" applyProtection="1">
      <alignment horizontal="center" vertical="center" wrapText="1"/>
    </xf>
    <xf numFmtId="0" fontId="6" fillId="5" borderId="11" xfId="3" applyFont="1" applyFill="1" applyBorder="1" applyAlignment="1">
      <alignment horizontal="center" vertical="center" wrapText="1"/>
    </xf>
    <xf numFmtId="0" fontId="6" fillId="6" borderId="11" xfId="3" applyFont="1" applyFill="1" applyBorder="1" applyAlignment="1">
      <alignment horizontal="center" vertical="center" wrapText="1"/>
    </xf>
    <xf numFmtId="0" fontId="13" fillId="7" borderId="11" xfId="3" applyFont="1" applyFill="1" applyBorder="1" applyAlignment="1">
      <alignment horizontal="right" wrapText="1"/>
    </xf>
    <xf numFmtId="0" fontId="13" fillId="7" borderId="11" xfId="3" applyFont="1" applyFill="1" applyBorder="1" applyAlignment="1">
      <alignment horizontal="left" wrapText="1"/>
    </xf>
    <xf numFmtId="166" fontId="13" fillId="7" borderId="11" xfId="1" applyNumberFormat="1" applyFont="1" applyFill="1" applyBorder="1" applyAlignment="1" applyProtection="1">
      <alignment horizontal="right" wrapText="1"/>
    </xf>
    <xf numFmtId="10" fontId="13" fillId="7" borderId="11" xfId="2" applyNumberFormat="1" applyFont="1" applyFill="1" applyBorder="1" applyAlignment="1" applyProtection="1">
      <alignment horizontal="right" wrapText="1"/>
    </xf>
    <xf numFmtId="10" fontId="0" fillId="0" borderId="11" xfId="2" applyNumberFormat="1" applyFont="1" applyBorder="1"/>
    <xf numFmtId="168" fontId="7" fillId="6" borderId="11" xfId="2" applyNumberFormat="1" applyFont="1" applyFill="1" applyBorder="1"/>
    <xf numFmtId="166" fontId="0" fillId="0" borderId="11" xfId="1" applyNumberFormat="1" applyFont="1" applyBorder="1"/>
    <xf numFmtId="10" fontId="7" fillId="6" borderId="11" xfId="2" applyNumberFormat="1" applyFont="1" applyFill="1" applyBorder="1"/>
    <xf numFmtId="0" fontId="7" fillId="6" borderId="0" xfId="3" applyFill="1"/>
    <xf numFmtId="0" fontId="15" fillId="0" borderId="0" xfId="0" applyFont="1" applyAlignment="1">
      <alignment horizontal="center" vertical="center"/>
    </xf>
    <xf numFmtId="10" fontId="17" fillId="0" borderId="0" xfId="2" applyNumberFormat="1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10" fontId="15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5" fillId="0" borderId="0" xfId="0" applyFont="1" applyAlignment="1">
      <alignment horizontal="center" wrapText="1"/>
    </xf>
    <xf numFmtId="169" fontId="15" fillId="0" borderId="0" xfId="0" applyNumberFormat="1" applyFont="1" applyAlignment="1">
      <alignment horizontal="center"/>
    </xf>
    <xf numFmtId="9" fontId="0" fillId="0" borderId="0" xfId="2" applyFont="1" applyFill="1"/>
    <xf numFmtId="0" fontId="5" fillId="0" borderId="0" xfId="0" applyFont="1"/>
    <xf numFmtId="166" fontId="9" fillId="0" borderId="0" xfId="1" applyNumberFormat="1" applyFont="1"/>
    <xf numFmtId="170" fontId="9" fillId="0" borderId="0" xfId="0" applyNumberFormat="1" applyFont="1"/>
    <xf numFmtId="0" fontId="18" fillId="0" borderId="4" xfId="0" applyFont="1" applyBorder="1" applyAlignment="1">
      <alignment horizontal="center" vertical="center" wrapText="1"/>
    </xf>
    <xf numFmtId="9" fontId="18" fillId="0" borderId="5" xfId="2" applyFont="1" applyFill="1" applyBorder="1" applyAlignment="1">
      <alignment horizontal="center" vertical="center" wrapText="1"/>
    </xf>
    <xf numFmtId="169" fontId="18" fillId="0" borderId="4" xfId="0" applyNumberFormat="1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43" fontId="0" fillId="0" borderId="0" xfId="1" applyFont="1" applyBorder="1"/>
    <xf numFmtId="10" fontId="0" fillId="0" borderId="0" xfId="2" applyNumberFormat="1" applyFont="1" applyBorder="1"/>
    <xf numFmtId="166" fontId="5" fillId="0" borderId="0" xfId="1" applyNumberFormat="1" applyFont="1" applyBorder="1" applyAlignment="1">
      <alignment horizontal="right"/>
    </xf>
    <xf numFmtId="3" fontId="5" fillId="0" borderId="9" xfId="0" applyNumberFormat="1" applyFont="1" applyBorder="1" applyAlignment="1">
      <alignment horizontal="center"/>
    </xf>
    <xf numFmtId="43" fontId="5" fillId="0" borderId="0" xfId="1" applyFont="1" applyFill="1" applyBorder="1"/>
    <xf numFmtId="166" fontId="20" fillId="0" borderId="16" xfId="1" applyNumberFormat="1" applyFont="1" applyFill="1" applyBorder="1" applyAlignment="1">
      <alignment horizontal="center" wrapText="1"/>
    </xf>
    <xf numFmtId="166" fontId="20" fillId="0" borderId="17" xfId="1" applyNumberFormat="1" applyFont="1" applyFill="1" applyBorder="1" applyAlignment="1">
      <alignment horizontal="center" wrapText="1"/>
    </xf>
    <xf numFmtId="166" fontId="20" fillId="0" borderId="18" xfId="1" applyNumberFormat="1" applyFont="1" applyFill="1" applyBorder="1" applyAlignment="1">
      <alignment horizontal="center" wrapText="1"/>
    </xf>
    <xf numFmtId="168" fontId="20" fillId="0" borderId="17" xfId="2" applyNumberFormat="1" applyFont="1" applyFill="1" applyBorder="1" applyAlignment="1">
      <alignment horizontal="center" wrapText="1"/>
    </xf>
    <xf numFmtId="170" fontId="20" fillId="0" borderId="16" xfId="2" applyNumberFormat="1" applyFont="1" applyFill="1" applyBorder="1" applyAlignment="1">
      <alignment horizontal="center" wrapText="1"/>
    </xf>
    <xf numFmtId="170" fontId="20" fillId="0" borderId="18" xfId="2" applyNumberFormat="1" applyFont="1" applyFill="1" applyBorder="1" applyAlignment="1">
      <alignment horizontal="center" wrapText="1"/>
    </xf>
    <xf numFmtId="0" fontId="18" fillId="0" borderId="16" xfId="0" applyFont="1" applyBorder="1" applyAlignment="1">
      <alignment horizontal="center" vertical="center" wrapText="1"/>
    </xf>
    <xf numFmtId="166" fontId="5" fillId="0" borderId="7" xfId="1" applyNumberFormat="1" applyFont="1" applyFill="1" applyBorder="1" applyAlignment="1">
      <alignment horizontal="right"/>
    </xf>
    <xf numFmtId="166" fontId="6" fillId="0" borderId="0" xfId="1" applyNumberFormat="1" applyFont="1" applyFill="1"/>
    <xf numFmtId="166" fontId="6" fillId="0" borderId="0" xfId="0" applyNumberFormat="1" applyFont="1"/>
    <xf numFmtId="166" fontId="0" fillId="0" borderId="0" xfId="2" applyNumberFormat="1" applyFont="1" applyFill="1" applyAlignment="1">
      <alignment wrapText="1"/>
    </xf>
    <xf numFmtId="165" fontId="0" fillId="0" borderId="0" xfId="1" applyNumberFormat="1" applyFont="1" applyFill="1"/>
    <xf numFmtId="43" fontId="0" fillId="0" borderId="0" xfId="2" applyNumberFormat="1" applyFont="1" applyFill="1"/>
    <xf numFmtId="43" fontId="5" fillId="0" borderId="7" xfId="1" applyFont="1" applyFill="1" applyBorder="1" applyAlignment="1">
      <alignment horizontal="right"/>
    </xf>
    <xf numFmtId="10" fontId="9" fillId="0" borderId="7" xfId="2" applyNumberFormat="1" applyFont="1" applyBorder="1"/>
    <xf numFmtId="173" fontId="0" fillId="0" borderId="0" xfId="0" applyNumberFormat="1"/>
    <xf numFmtId="174" fontId="0" fillId="0" borderId="0" xfId="0" applyNumberFormat="1"/>
    <xf numFmtId="10" fontId="9" fillId="0" borderId="0" xfId="2" applyNumberFormat="1" applyFont="1" applyBorder="1"/>
    <xf numFmtId="166" fontId="0" fillId="0" borderId="13" xfId="1" applyNumberFormat="1" applyFont="1" applyBorder="1" applyAlignment="1">
      <alignment horizontal="center"/>
    </xf>
    <xf numFmtId="0" fontId="2" fillId="3" borderId="2" xfId="0" applyFont="1" applyFill="1" applyBorder="1"/>
    <xf numFmtId="166" fontId="0" fillId="2" borderId="0" xfId="1" applyNumberFormat="1" applyFont="1" applyFill="1"/>
    <xf numFmtId="166" fontId="6" fillId="2" borderId="11" xfId="1" applyNumberFormat="1" applyFont="1" applyFill="1" applyBorder="1" applyAlignment="1" applyProtection="1">
      <alignment horizontal="center" vertical="center" wrapText="1"/>
    </xf>
    <xf numFmtId="166" fontId="13" fillId="2" borderId="11" xfId="1" applyNumberFormat="1" applyFont="1" applyFill="1" applyBorder="1" applyAlignment="1" applyProtection="1">
      <alignment horizontal="right" wrapText="1"/>
    </xf>
    <xf numFmtId="166" fontId="0" fillId="2" borderId="0" xfId="1" applyNumberFormat="1" applyFont="1" applyFill="1" applyBorder="1"/>
    <xf numFmtId="166" fontId="0" fillId="2" borderId="11" xfId="1" applyNumberFormat="1" applyFont="1" applyFill="1" applyBorder="1"/>
    <xf numFmtId="0" fontId="7" fillId="2" borderId="0" xfId="3" applyFill="1"/>
    <xf numFmtId="0" fontId="6" fillId="2" borderId="11" xfId="3" applyFont="1" applyFill="1" applyBorder="1" applyAlignment="1">
      <alignment horizontal="center" vertical="center" wrapText="1"/>
    </xf>
    <xf numFmtId="0" fontId="2" fillId="9" borderId="1" xfId="3" applyFont="1" applyFill="1" applyBorder="1"/>
    <xf numFmtId="0" fontId="2" fillId="9" borderId="0" xfId="3" applyFont="1" applyFill="1"/>
    <xf numFmtId="10" fontId="0" fillId="2" borderId="11" xfId="2" applyNumberFormat="1" applyFont="1" applyFill="1" applyBorder="1"/>
    <xf numFmtId="168" fontId="0" fillId="2" borderId="11" xfId="2" applyNumberFormat="1" applyFont="1" applyFill="1" applyBorder="1"/>
    <xf numFmtId="167" fontId="7" fillId="2" borderId="0" xfId="3" applyNumberFormat="1" applyFill="1"/>
    <xf numFmtId="168" fontId="0" fillId="2" borderId="0" xfId="2" applyNumberFormat="1" applyFont="1" applyFill="1"/>
    <xf numFmtId="172" fontId="14" fillId="2" borderId="0" xfId="3" applyNumberFormat="1" applyFont="1" applyFill="1" applyAlignment="1">
      <alignment vertical="center"/>
    </xf>
    <xf numFmtId="1" fontId="7" fillId="2" borderId="0" xfId="3" applyNumberFormat="1" applyFill="1"/>
    <xf numFmtId="167" fontId="2" fillId="9" borderId="2" xfId="3" applyNumberFormat="1" applyFont="1" applyFill="1" applyBorder="1"/>
    <xf numFmtId="1" fontId="2" fillId="9" borderId="2" xfId="3" applyNumberFormat="1" applyFont="1" applyFill="1" applyBorder="1"/>
    <xf numFmtId="43" fontId="6" fillId="0" borderId="0" xfId="0" applyNumberFormat="1" applyFont="1"/>
    <xf numFmtId="171" fontId="5" fillId="0" borderId="0" xfId="1" applyNumberFormat="1" applyFont="1" applyBorder="1" applyAlignment="1">
      <alignment horizontal="right"/>
    </xf>
    <xf numFmtId="9" fontId="15" fillId="0" borderId="0" xfId="2" applyFont="1" applyFill="1" applyAlignment="1">
      <alignment horizontal="center"/>
    </xf>
    <xf numFmtId="166" fontId="13" fillId="2" borderId="0" xfId="1" applyNumberFormat="1" applyFont="1" applyFill="1" applyBorder="1" applyAlignment="1" applyProtection="1">
      <alignment horizontal="right" wrapText="1"/>
    </xf>
    <xf numFmtId="0" fontId="0" fillId="2" borderId="0" xfId="0" applyFill="1"/>
    <xf numFmtId="166" fontId="23" fillId="0" borderId="0" xfId="1" applyNumberFormat="1" applyFont="1" applyAlignment="1">
      <alignment horizontal="center"/>
    </xf>
    <xf numFmtId="0" fontId="2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/>
    <xf numFmtId="9" fontId="0" fillId="0" borderId="0" xfId="0" applyNumberFormat="1"/>
    <xf numFmtId="166" fontId="24" fillId="0" borderId="0" xfId="1" applyNumberFormat="1" applyFont="1" applyAlignment="1">
      <alignment horizontal="center"/>
    </xf>
    <xf numFmtId="10" fontId="0" fillId="8" borderId="0" xfId="0" applyNumberFormat="1" applyFill="1"/>
    <xf numFmtId="0" fontId="0" fillId="2" borderId="0" xfId="0" applyFill="1" applyAlignment="1">
      <alignment horizontal="left"/>
    </xf>
    <xf numFmtId="10" fontId="0" fillId="2" borderId="0" xfId="2" applyNumberFormat="1" applyFont="1" applyFill="1"/>
    <xf numFmtId="3" fontId="5" fillId="2" borderId="9" xfId="0" applyNumberFormat="1" applyFont="1" applyFill="1" applyBorder="1" applyAlignment="1">
      <alignment horizontal="center"/>
    </xf>
    <xf numFmtId="0" fontId="25" fillId="0" borderId="0" xfId="0" applyFont="1"/>
    <xf numFmtId="0" fontId="26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 wrapText="1"/>
    </xf>
    <xf numFmtId="10" fontId="26" fillId="0" borderId="0" xfId="2" applyNumberFormat="1" applyFont="1" applyFill="1"/>
    <xf numFmtId="0" fontId="26" fillId="0" borderId="0" xfId="0" applyFont="1"/>
    <xf numFmtId="0" fontId="26" fillId="12" borderId="0" xfId="0" applyFont="1" applyFill="1" applyAlignment="1">
      <alignment horizontal="center"/>
    </xf>
    <xf numFmtId="9" fontId="2" fillId="2" borderId="0" xfId="2" applyFont="1" applyFill="1" applyAlignment="1">
      <alignment horizontal="center" vertical="center" wrapText="1"/>
    </xf>
    <xf numFmtId="0" fontId="25" fillId="10" borderId="0" xfId="0" applyFont="1" applyFill="1" applyAlignment="1">
      <alignment horizontal="center" wrapText="1"/>
    </xf>
    <xf numFmtId="0" fontId="25" fillId="11" borderId="0" xfId="0" applyFont="1" applyFill="1" applyAlignment="1">
      <alignment horizontal="center"/>
    </xf>
    <xf numFmtId="10" fontId="26" fillId="12" borderId="0" xfId="2" applyNumberFormat="1" applyFont="1" applyFill="1" applyBorder="1" applyAlignment="1">
      <alignment horizontal="center"/>
    </xf>
    <xf numFmtId="0" fontId="26" fillId="10" borderId="0" xfId="0" applyFont="1" applyFill="1" applyAlignment="1">
      <alignment horizontal="center"/>
    </xf>
    <xf numFmtId="0" fontId="26" fillId="11" borderId="0" xfId="0" applyFont="1" applyFill="1" applyAlignment="1">
      <alignment horizontal="center"/>
    </xf>
    <xf numFmtId="0" fontId="7" fillId="2" borderId="0" xfId="3" applyFill="1" applyAlignment="1">
      <alignment horizontal="center"/>
    </xf>
    <xf numFmtId="0" fontId="7" fillId="0" borderId="12" xfId="3" applyBorder="1" applyAlignment="1">
      <alignment horizontal="center"/>
    </xf>
    <xf numFmtId="0" fontId="7" fillId="0" borderId="13" xfId="3" applyBorder="1" applyAlignment="1">
      <alignment horizontal="center"/>
    </xf>
    <xf numFmtId="166" fontId="0" fillId="0" borderId="12" xfId="1" applyNumberFormat="1" applyFont="1" applyBorder="1" applyAlignment="1">
      <alignment horizontal="center"/>
    </xf>
    <xf numFmtId="166" fontId="0" fillId="0" borderId="13" xfId="1" applyNumberFormat="1" applyFont="1" applyBorder="1" applyAlignment="1">
      <alignment horizontal="center"/>
    </xf>
    <xf numFmtId="166" fontId="0" fillId="2" borderId="12" xfId="1" applyNumberFormat="1" applyFont="1" applyFill="1" applyBorder="1" applyAlignment="1">
      <alignment horizontal="center"/>
    </xf>
    <xf numFmtId="166" fontId="0" fillId="2" borderId="13" xfId="1" applyNumberFormat="1" applyFont="1" applyFill="1" applyBorder="1" applyAlignment="1">
      <alignment horizontal="center"/>
    </xf>
    <xf numFmtId="0" fontId="7" fillId="2" borderId="14" xfId="3" applyFill="1" applyBorder="1" applyAlignment="1">
      <alignment horizontal="center"/>
    </xf>
    <xf numFmtId="0" fontId="7" fillId="2" borderId="15" xfId="3" applyFill="1" applyBorder="1" applyAlignment="1">
      <alignment horizontal="center"/>
    </xf>
  </cellXfs>
  <cellStyles count="4">
    <cellStyle name="Comma" xfId="1" builtinId="3"/>
    <cellStyle name="Normal" xfId="0" builtinId="0"/>
    <cellStyle name="Normal 2" xfId="3" xr:uid="{00000000-0005-0000-0000-000002000000}"/>
    <cellStyle name="Percent" xfId="2" builtinId="5"/>
  </cellStyles>
  <dxfs count="75"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505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5050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8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theme="9" tint="0.59996337778862885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fill>
        <patternFill>
          <bgColor rgb="FFFF5050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505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theme="8" tint="0.39994506668294322"/>
        </patternFill>
      </fill>
    </dxf>
    <dxf>
      <numFmt numFmtId="14" formatCode="0.00%"/>
    </dxf>
    <dxf>
      <numFmt numFmtId="14" formatCode="0.00%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8" formatCode="0.0%"/>
    </dxf>
    <dxf>
      <numFmt numFmtId="166" formatCode="_(* #,##0_);_(* \(#,##0\);_(* &quot;-&quot;??_);_(@_)"/>
    </dxf>
    <dxf>
      <numFmt numFmtId="166" formatCode="_(* #,##0_);_(* \(#,##0\);_(* &quot;-&quot;??_);_(@_)"/>
    </dxf>
    <dxf>
      <numFmt numFmtId="168" formatCode="0.0%"/>
    </dxf>
    <dxf>
      <numFmt numFmtId="14" formatCode="0.00%"/>
    </dxf>
    <dxf>
      <numFmt numFmtId="14" formatCode="0.00%"/>
    </dxf>
    <dxf>
      <numFmt numFmtId="14" formatCode="0.00%"/>
    </dxf>
    <dxf>
      <numFmt numFmtId="14" formatCode="0.00%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68" formatCode="0.0%"/>
    </dxf>
    <dxf>
      <numFmt numFmtId="166" formatCode="_(* #,##0_);_(* \(#,##0\);_(* &quot;-&quot;??_);_(@_)"/>
    </dxf>
    <dxf>
      <numFmt numFmtId="166" formatCode="_(* #,##0_);_(* \(#,##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djustment%20Methodologies\ROC\FY%202019\Data%20Variables\RY19%20ICC%20Methodology%20v26%20%20-%20Minimum%202%25%20Productivity%20Adjustment%20(Capital%20Version%20no%20Productivity%20Adj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pack.HSCRC\Desktop\Ranking%20grid%20ICC%20v7%20with%20ICC%20and%20TCOC%20Calculation%20includ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djustment%20Methodologies\ROC\FY%202019\Data%20Variables\FY19%20Hosp%20Markup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of Contents"/>
      <sheetName val="REM Calculation"/>
      <sheetName val="REM Calculation (w profit adj)"/>
      <sheetName val="REM Summary"/>
      <sheetName val="ICC Calculation"/>
      <sheetName val="Rate Application Summary"/>
      <sheetName val="ICC Summary"/>
      <sheetName val="Drug Overhead"/>
      <sheetName val="LMA"/>
      <sheetName val="IME"/>
      <sheetName val="RESCMAD"/>
      <sheetName val="Prorated Residents"/>
      <sheetName val="DME"/>
      <sheetName val="PROFIT"/>
      <sheetName val="Excess Capacity"/>
      <sheetName val="Room &amp; Board Costs Percentage"/>
      <sheetName val="Quality Adjustments"/>
      <sheetName val="PAU &amp; Total Volume"/>
      <sheetName val="Variable Input"/>
      <sheetName val="GBR Revenue for ICC"/>
      <sheetName val="GBR Case Mix Reconciliation"/>
      <sheetName val="Oncology Drugs"/>
      <sheetName val="Chronic Revenue"/>
      <sheetName val="Categorical Exclusions"/>
      <sheetName val="vlookup"/>
    </sheetNames>
    <sheetDataSet>
      <sheetData sheetId="0"/>
      <sheetData sheetId="1"/>
      <sheetData sheetId="2"/>
      <sheetData sheetId="3"/>
      <sheetData sheetId="4">
        <row r="1">
          <cell r="A1" t="str">
            <v>ICC CALCULATION SHEET</v>
          </cell>
        </row>
        <row r="2">
          <cell r="A2" t="str">
            <v>HOSPID</v>
          </cell>
          <cell r="B2" t="str">
            <v>HOSPITAL NAME</v>
          </cell>
          <cell r="C2" t="str">
            <v>PEER GROUP</v>
          </cell>
          <cell r="D2" t="str">
            <v>REM PEER STANDARD EFFICIENCY CHARGE Less Profit (ICC Standard)</v>
          </cell>
          <cell r="E2" t="str">
            <v xml:space="preserve"> Excess Capacity per Hospital</v>
          </cell>
          <cell r="F2" t="str">
            <v>Weighted Excess Capacity</v>
          </cell>
          <cell r="G2" t="str">
            <v xml:space="preserve"> Excess Capacity per Peer Group</v>
          </cell>
          <cell r="H2" t="str">
            <v>ICC Standard Adjusted for Excess Capacity</v>
          </cell>
          <cell r="I2" t="str">
            <v>ECMAD</v>
          </cell>
          <cell r="J2" t="str">
            <v>IME Adjustment Per ECMAD</v>
          </cell>
          <cell r="K2" t="str">
            <v>ICC Standard Adjusted for IME</v>
          </cell>
          <cell r="L2" t="str">
            <v>TOTAL ICC PERMANENT REVENUE ADJUSTED FOR IME/DSH</v>
          </cell>
          <cell r="M2" t="str">
            <v>LMA</v>
          </cell>
          <cell r="N2" t="str">
            <v>TOTAL ICC PERMANENT REVENUE ADJUSTED FOR LMA</v>
          </cell>
          <cell r="O2" t="str">
            <v>ICC Standard Adjusted for LMA</v>
          </cell>
          <cell r="P2" t="str">
            <v>DIRECT STRIP</v>
          </cell>
          <cell r="Q2" t="str">
            <v>TOTAL ICC PERMANENT REVENUE ADJUSTED FOR DIRECT STRIP</v>
          </cell>
          <cell r="R2" t="str">
            <v>ICC Standard Adjusted for Direct Strip</v>
          </cell>
          <cell r="S2" t="str">
            <v>MARKUP</v>
          </cell>
          <cell r="T2" t="str">
            <v>TOTAL ICC PERMANENT REVENUE ADJUSTED FOR MARKUP</v>
          </cell>
          <cell r="U2" t="str">
            <v>ICC Standard Adjusted for Markup</v>
          </cell>
          <cell r="V2" t="str">
            <v>PAU &amp; Genreal Volume ECMADS</v>
          </cell>
          <cell r="W2" t="str">
            <v>ECMADS ADJUSTED FOR PAU &amp; General Volume</v>
          </cell>
          <cell r="X2" t="str">
            <v xml:space="preserve">TOTAL ECMAD APPROVED ICC  REVENUE </v>
          </cell>
          <cell r="Y2" t="str">
            <v>TOTAL PERMANENT ICC REVENUE</v>
          </cell>
          <cell r="Z2" t="str">
            <v>% OVER/UNDER  TOTAL PERMANENT REVENUE</v>
          </cell>
          <cell r="AA2" t="str">
            <v>Non-ECMAD Revenue to be added back to the ICC</v>
          </cell>
          <cell r="AB2" t="str">
            <v>Non-ECMAD Revenue to be added back to the ICC with ICC Result</v>
          </cell>
          <cell r="AC2" t="str">
            <v>TOTAL Rate Application REVENUE without Drugs</v>
          </cell>
          <cell r="AD2" t="str">
            <v>TOTAL ICC Approved Rate Application REVENUE without Drugs</v>
          </cell>
          <cell r="AE2" t="str">
            <v>Excess Capacity per Hospital per Year</v>
          </cell>
          <cell r="AF2" t="str">
            <v>Change in Bed Days+Observation Greater than 24 hours+OP Surgery Days with LOS Greater than 1</v>
          </cell>
          <cell r="AG2" t="str">
            <v>Excess Capacity per Hospital per Day</v>
          </cell>
        </row>
        <row r="3">
          <cell r="A3">
            <v>210001</v>
          </cell>
          <cell r="B3" t="str">
            <v>Meritus</v>
          </cell>
          <cell r="C3">
            <v>3</v>
          </cell>
          <cell r="D3">
            <v>10668.198627397007</v>
          </cell>
          <cell r="E3">
            <v>-163.82816551061757</v>
          </cell>
          <cell r="F3">
            <v>-9.2221943970214788</v>
          </cell>
          <cell r="G3">
            <v>0</v>
          </cell>
          <cell r="H3">
            <v>10668.198627397007</v>
          </cell>
          <cell r="I3">
            <v>26140.832594666001</v>
          </cell>
          <cell r="J3">
            <v>0</v>
          </cell>
          <cell r="K3">
            <v>10668.198627397007</v>
          </cell>
          <cell r="L3">
            <v>278875594.40543079</v>
          </cell>
          <cell r="M3">
            <v>0.99671861092415948</v>
          </cell>
          <cell r="N3">
            <v>277960495.07643026</v>
          </cell>
          <cell r="O3">
            <v>10633.192116962169</v>
          </cell>
          <cell r="P3">
            <v>2989786.2344885785</v>
          </cell>
          <cell r="Q3">
            <v>280950281.31091887</v>
          </cell>
          <cell r="R3">
            <v>10747.564382025321</v>
          </cell>
          <cell r="S3">
            <v>1.0965672937194539</v>
          </cell>
          <cell r="T3">
            <v>308080889.6468336</v>
          </cell>
          <cell r="U3">
            <v>11785.427588473103</v>
          </cell>
          <cell r="V3">
            <v>0</v>
          </cell>
          <cell r="W3">
            <v>26140.832594666001</v>
          </cell>
          <cell r="X3">
            <v>308080889.6468336</v>
          </cell>
          <cell r="Y3">
            <v>329830702.48681539</v>
          </cell>
          <cell r="Z3">
            <v>-6.5942353686286093E-2</v>
          </cell>
          <cell r="AA3">
            <v>0</v>
          </cell>
          <cell r="AB3">
            <v>0</v>
          </cell>
          <cell r="AC3">
            <v>329830702.48681539</v>
          </cell>
          <cell r="AD3">
            <v>308080889.6468336</v>
          </cell>
          <cell r="AE3">
            <v>0</v>
          </cell>
          <cell r="AF3">
            <v>-4057</v>
          </cell>
          <cell r="AG3">
            <v>0</v>
          </cell>
        </row>
        <row r="4">
          <cell r="A4">
            <v>210002</v>
          </cell>
          <cell r="B4" t="str">
            <v>University Medical Center</v>
          </cell>
          <cell r="C4">
            <v>5</v>
          </cell>
          <cell r="D4">
            <v>14181.014971417038</v>
          </cell>
          <cell r="E4">
            <v>302.77479576783185</v>
          </cell>
          <cell r="F4">
            <v>53.296775289550418</v>
          </cell>
          <cell r="G4">
            <v>0</v>
          </cell>
          <cell r="H4">
            <v>14181.014971417038</v>
          </cell>
          <cell r="I4">
            <v>57211.0058728</v>
          </cell>
          <cell r="J4">
            <v>2569.0957412038069</v>
          </cell>
          <cell r="K4">
            <v>16750.110712620844</v>
          </cell>
          <cell r="L4">
            <v>958290682.3498013</v>
          </cell>
          <cell r="M4">
            <v>0.99671861092415948</v>
          </cell>
          <cell r="N4">
            <v>955146157.77325892</v>
          </cell>
          <cell r="O4">
            <v>16695.14708230933</v>
          </cell>
          <cell r="P4">
            <v>50470187.115919642</v>
          </cell>
          <cell r="Q4">
            <v>1005616344.8891785</v>
          </cell>
          <cell r="R4">
            <v>17577.323271068053</v>
          </cell>
          <cell r="S4">
            <v>1.0953337535721144</v>
          </cell>
          <cell r="T4">
            <v>1101485525.7009339</v>
          </cell>
          <cell r="U4">
            <v>19253.03547624945</v>
          </cell>
          <cell r="V4">
            <v>0</v>
          </cell>
          <cell r="W4">
            <v>57211.0058728</v>
          </cell>
          <cell r="X4">
            <v>1101485525.7009339</v>
          </cell>
          <cell r="Y4">
            <v>1273664967.1720386</v>
          </cell>
          <cell r="Z4">
            <v>-0.13518424853389854</v>
          </cell>
          <cell r="AA4">
            <v>0</v>
          </cell>
          <cell r="AB4">
            <v>0</v>
          </cell>
          <cell r="AC4">
            <v>1273664967.1720386</v>
          </cell>
          <cell r="AD4">
            <v>1101485525.7009339</v>
          </cell>
          <cell r="AE4">
            <v>0</v>
          </cell>
          <cell r="AF4">
            <v>11025</v>
          </cell>
          <cell r="AG4">
            <v>0</v>
          </cell>
        </row>
        <row r="5">
          <cell r="A5">
            <v>210003</v>
          </cell>
          <cell r="B5" t="str">
            <v>Prince Georges Hospital</v>
          </cell>
          <cell r="C5">
            <v>4</v>
          </cell>
          <cell r="D5">
            <v>12721.879942318987</v>
          </cell>
          <cell r="E5">
            <v>-541.3310965016185</v>
          </cell>
          <cell r="F5">
            <v>-52.604731746479402</v>
          </cell>
          <cell r="G5">
            <v>0</v>
          </cell>
          <cell r="H5">
            <v>12721.879942318987</v>
          </cell>
          <cell r="I5">
            <v>18351.342086531</v>
          </cell>
          <cell r="J5">
            <v>313.56929315721459</v>
          </cell>
          <cell r="K5">
            <v>13035.449235476201</v>
          </cell>
          <cell r="L5">
            <v>239217988.17183274</v>
          </cell>
          <cell r="M5">
            <v>1.0181752931904677</v>
          </cell>
          <cell r="N5">
            <v>243565845.24328965</v>
          </cell>
          <cell r="O5">
            <v>13272.372347200439</v>
          </cell>
          <cell r="P5">
            <v>10185974.57290497</v>
          </cell>
          <cell r="Q5">
            <v>253751819.81619462</v>
          </cell>
          <cell r="R5">
            <v>13827.425733752532</v>
          </cell>
          <cell r="S5">
            <v>1.0963306121172727</v>
          </cell>
          <cell r="T5">
            <v>278195887.94496053</v>
          </cell>
          <cell r="U5">
            <v>15159.430118691042</v>
          </cell>
          <cell r="V5">
            <v>0</v>
          </cell>
          <cell r="W5">
            <v>18351.342086531</v>
          </cell>
          <cell r="X5">
            <v>278195887.94496053</v>
          </cell>
          <cell r="Y5">
            <v>295344174.70824897</v>
          </cell>
          <cell r="Z5">
            <v>-5.8062045003014151E-2</v>
          </cell>
          <cell r="AA5">
            <v>0</v>
          </cell>
          <cell r="AB5">
            <v>0</v>
          </cell>
          <cell r="AC5">
            <v>295344174.70824897</v>
          </cell>
          <cell r="AD5">
            <v>278195887.94496053</v>
          </cell>
          <cell r="AE5">
            <v>0</v>
          </cell>
          <cell r="AF5">
            <v>-8313</v>
          </cell>
          <cell r="AG5">
            <v>0</v>
          </cell>
        </row>
        <row r="6">
          <cell r="A6">
            <v>210004</v>
          </cell>
          <cell r="B6" t="str">
            <v>Holy Cross Hospital</v>
          </cell>
          <cell r="C6" t="str">
            <v>NA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39261.555103209997</v>
          </cell>
          <cell r="J6">
            <v>58.015791825075844</v>
          </cell>
          <cell r="K6">
            <v>58.015791825075844</v>
          </cell>
          <cell r="L6">
            <v>2277790.2075965754</v>
          </cell>
          <cell r="M6">
            <v>1.0181752931904677</v>
          </cell>
          <cell r="N6">
            <v>2319189.7124460195</v>
          </cell>
          <cell r="O6">
            <v>59.070245851173738</v>
          </cell>
          <cell r="P6">
            <v>2634548.7538250005</v>
          </cell>
          <cell r="Q6">
            <v>4953738.4662710205</v>
          </cell>
          <cell r="R6">
            <v>126.1727522827033</v>
          </cell>
          <cell r="S6">
            <v>1.0903345654382657</v>
          </cell>
          <cell r="T6">
            <v>5401232.2779164342</v>
          </cell>
          <cell r="U6">
            <v>137.57051303031125</v>
          </cell>
          <cell r="V6">
            <v>0</v>
          </cell>
          <cell r="W6">
            <v>39261.555103209997</v>
          </cell>
          <cell r="X6">
            <v>5401232.2779164342</v>
          </cell>
          <cell r="Y6">
            <v>499459970.45110905</v>
          </cell>
          <cell r="Z6">
            <v>-0.98918585552904659</v>
          </cell>
          <cell r="AA6">
            <v>0</v>
          </cell>
          <cell r="AB6">
            <v>0</v>
          </cell>
          <cell r="AC6">
            <v>499459970.45110905</v>
          </cell>
          <cell r="AD6">
            <v>5401232.2779164342</v>
          </cell>
          <cell r="AE6">
            <v>0</v>
          </cell>
          <cell r="AF6">
            <v>-1024</v>
          </cell>
          <cell r="AG6">
            <v>0</v>
          </cell>
        </row>
        <row r="7">
          <cell r="A7">
            <v>210005</v>
          </cell>
          <cell r="B7" t="str">
            <v>Frederick Memorial Hospital</v>
          </cell>
          <cell r="C7">
            <v>3</v>
          </cell>
          <cell r="D7">
            <v>10668.198627397007</v>
          </cell>
          <cell r="E7">
            <v>-27.251108573032962</v>
          </cell>
          <cell r="F7">
            <v>-1.5839512306650154</v>
          </cell>
          <cell r="G7">
            <v>0</v>
          </cell>
          <cell r="H7">
            <v>10668.198627397007</v>
          </cell>
          <cell r="I7">
            <v>26991.768667982102</v>
          </cell>
          <cell r="J7">
            <v>0</v>
          </cell>
          <cell r="K7">
            <v>10668.198627397007</v>
          </cell>
          <cell r="L7">
            <v>287953549.45478421</v>
          </cell>
          <cell r="M7">
            <v>0.99671861092415948</v>
          </cell>
          <cell r="N7">
            <v>287008661.82325381</v>
          </cell>
          <cell r="O7">
            <v>10633.192116962171</v>
          </cell>
          <cell r="P7">
            <v>231876.639054</v>
          </cell>
          <cell r="Q7">
            <v>287240538.46230781</v>
          </cell>
          <cell r="R7">
            <v>10641.782759609796</v>
          </cell>
          <cell r="S7">
            <v>1.0916089502900421</v>
          </cell>
          <cell r="T7">
            <v>313554342.67158628</v>
          </cell>
          <cell r="U7">
            <v>11616.665307432317</v>
          </cell>
          <cell r="V7">
            <v>0</v>
          </cell>
          <cell r="W7">
            <v>26991.768667982102</v>
          </cell>
          <cell r="X7">
            <v>313554342.67158628</v>
          </cell>
          <cell r="Y7">
            <v>345130119.42826605</v>
          </cell>
          <cell r="Z7">
            <v>-9.1489484629702633E-2</v>
          </cell>
          <cell r="AA7">
            <v>0</v>
          </cell>
          <cell r="AB7">
            <v>0</v>
          </cell>
          <cell r="AC7">
            <v>345130119.42826605</v>
          </cell>
          <cell r="AD7">
            <v>313554342.67158628</v>
          </cell>
          <cell r="AE7">
            <v>0</v>
          </cell>
          <cell r="AF7">
            <v>-1421</v>
          </cell>
          <cell r="AG7">
            <v>0</v>
          </cell>
        </row>
        <row r="8">
          <cell r="A8">
            <v>210006</v>
          </cell>
          <cell r="B8" t="str">
            <v>Harford Memorial Hospital</v>
          </cell>
          <cell r="C8">
            <v>3</v>
          </cell>
          <cell r="D8">
            <v>10668.198627397007</v>
          </cell>
          <cell r="E8">
            <v>-288.22531342988407</v>
          </cell>
          <cell r="F8">
            <v>-4.7696353674186076</v>
          </cell>
          <cell r="G8">
            <v>0</v>
          </cell>
          <cell r="H8">
            <v>10668.198627397007</v>
          </cell>
          <cell r="I8">
            <v>7684.6973904148999</v>
          </cell>
          <cell r="J8">
            <v>0</v>
          </cell>
          <cell r="K8">
            <v>10668.198627397007</v>
          </cell>
          <cell r="L8">
            <v>81981878.152385592</v>
          </cell>
          <cell r="M8">
            <v>0.99671861092415948</v>
          </cell>
          <cell r="N8">
            <v>81712863.712999463</v>
          </cell>
          <cell r="O8">
            <v>10633.192116962169</v>
          </cell>
          <cell r="P8">
            <v>0</v>
          </cell>
          <cell r="Q8">
            <v>81712863.712999463</v>
          </cell>
          <cell r="R8">
            <v>10633.192116962169</v>
          </cell>
          <cell r="S8">
            <v>1.0939146714145691</v>
          </cell>
          <cell r="T8">
            <v>89386900.458949268</v>
          </cell>
          <cell r="U8">
            <v>11631.804860714656</v>
          </cell>
          <cell r="V8">
            <v>0</v>
          </cell>
          <cell r="W8">
            <v>7684.6973904148999</v>
          </cell>
          <cell r="X8">
            <v>89386900.458949268</v>
          </cell>
          <cell r="Y8">
            <v>104865457.19329548</v>
          </cell>
          <cell r="Z8">
            <v>-0.14760395986082464</v>
          </cell>
          <cell r="AA8">
            <v>0</v>
          </cell>
          <cell r="AB8">
            <v>0</v>
          </cell>
          <cell r="AC8">
            <v>104865457.19329548</v>
          </cell>
          <cell r="AD8">
            <v>89386900.458949268</v>
          </cell>
          <cell r="AE8">
            <v>0</v>
          </cell>
          <cell r="AF8">
            <v>-2299</v>
          </cell>
          <cell r="AG8">
            <v>0</v>
          </cell>
        </row>
        <row r="9">
          <cell r="A9">
            <v>210008</v>
          </cell>
          <cell r="B9" t="str">
            <v>Mercy Medical Center</v>
          </cell>
          <cell r="C9">
            <v>4</v>
          </cell>
          <cell r="D9">
            <v>12721.879942318987</v>
          </cell>
          <cell r="E9">
            <v>-321.5802390844205</v>
          </cell>
          <cell r="F9">
            <v>-62.764184331945813</v>
          </cell>
          <cell r="G9">
            <v>0</v>
          </cell>
          <cell r="H9">
            <v>12721.879942318987</v>
          </cell>
          <cell r="I9">
            <v>36857.725540600004</v>
          </cell>
          <cell r="J9">
            <v>170.11134473669281</v>
          </cell>
          <cell r="K9">
            <v>12891.99128705568</v>
          </cell>
          <cell r="L9">
            <v>475169476.53010488</v>
          </cell>
          <cell r="M9">
            <v>0.99671861092415948</v>
          </cell>
          <cell r="N9">
            <v>473610260.60064614</v>
          </cell>
          <cell r="O9">
            <v>12849.687647680505</v>
          </cell>
          <cell r="P9">
            <v>4838568.8813399989</v>
          </cell>
          <cell r="Q9">
            <v>478448829.48198617</v>
          </cell>
          <cell r="R9">
            <v>12980.964572948456</v>
          </cell>
          <cell r="S9">
            <v>1.0915692701204411</v>
          </cell>
          <cell r="T9">
            <v>522260039.58763105</v>
          </cell>
          <cell r="U9">
            <v>14169.622024352651</v>
          </cell>
          <cell r="V9">
            <v>0</v>
          </cell>
          <cell r="W9">
            <v>36857.725540600004</v>
          </cell>
          <cell r="X9">
            <v>522260039.58763105</v>
          </cell>
          <cell r="Y9">
            <v>514742872.44003814</v>
          </cell>
          <cell r="Z9">
            <v>1.4603732368277944E-2</v>
          </cell>
          <cell r="AA9">
            <v>0</v>
          </cell>
          <cell r="AB9">
            <v>0</v>
          </cell>
          <cell r="AC9">
            <v>514742872.44003814</v>
          </cell>
          <cell r="AD9">
            <v>522260039.58763105</v>
          </cell>
          <cell r="AE9">
            <v>0</v>
          </cell>
          <cell r="AF9">
            <v>-12517</v>
          </cell>
          <cell r="AG9">
            <v>0</v>
          </cell>
        </row>
        <row r="10">
          <cell r="A10">
            <v>210009</v>
          </cell>
          <cell r="B10" t="str">
            <v>Johns Hopkins Hospital</v>
          </cell>
          <cell r="C10">
            <v>5</v>
          </cell>
          <cell r="D10">
            <v>14181.014971417038</v>
          </cell>
          <cell r="E10">
            <v>695.00507641598529</v>
          </cell>
          <cell r="F10">
            <v>226.02876213553495</v>
          </cell>
          <cell r="G10">
            <v>0</v>
          </cell>
          <cell r="H10">
            <v>14181.014971417038</v>
          </cell>
          <cell r="I10">
            <v>105699.78411400001</v>
          </cell>
          <cell r="J10">
            <v>2397.7436878126437</v>
          </cell>
          <cell r="K10">
            <v>16578.758659229683</v>
          </cell>
          <cell r="L10">
            <v>1752371211.1586857</v>
          </cell>
          <cell r="M10">
            <v>0.99671861092415948</v>
          </cell>
          <cell r="N10">
            <v>1746620999.4095721</v>
          </cell>
          <cell r="O10">
            <v>16524.357301674288</v>
          </cell>
          <cell r="P10">
            <v>116319894.1339108</v>
          </cell>
          <cell r="Q10">
            <v>1862940893.543483</v>
          </cell>
          <cell r="R10">
            <v>17624.831584653493</v>
          </cell>
          <cell r="S10">
            <v>1.0878263145968667</v>
          </cell>
          <cell r="T10">
            <v>2026556126.5352011</v>
          </cell>
          <cell r="U10">
            <v>19172.755588124066</v>
          </cell>
          <cell r="V10">
            <v>0</v>
          </cell>
          <cell r="W10">
            <v>105699.78411400001</v>
          </cell>
          <cell r="X10">
            <v>2026556126.5352011</v>
          </cell>
          <cell r="Y10">
            <v>2180928462.1173449</v>
          </cell>
          <cell r="Z10">
            <v>-7.0782851553173876E-2</v>
          </cell>
          <cell r="AA10">
            <v>0</v>
          </cell>
          <cell r="AB10">
            <v>0</v>
          </cell>
          <cell r="AC10">
            <v>2180928462.1173449</v>
          </cell>
          <cell r="AD10">
            <v>2026556126.5352011</v>
          </cell>
          <cell r="AE10">
            <v>0</v>
          </cell>
          <cell r="AF10">
            <v>37174</v>
          </cell>
          <cell r="AG10">
            <v>0</v>
          </cell>
        </row>
        <row r="11">
          <cell r="A11">
            <v>210010</v>
          </cell>
          <cell r="B11" t="str">
            <v>Shore Medical Dorchester</v>
          </cell>
          <cell r="C11">
            <v>3</v>
          </cell>
          <cell r="D11">
            <v>10668.198627397007</v>
          </cell>
          <cell r="E11">
            <v>-999.94061612232952</v>
          </cell>
          <cell r="F11">
            <v>-6.9401507519860184</v>
          </cell>
          <cell r="G11">
            <v>0</v>
          </cell>
          <cell r="H11">
            <v>10668.198627397007</v>
          </cell>
          <cell r="I11">
            <v>3223.0601202619996</v>
          </cell>
          <cell r="J11">
            <v>0</v>
          </cell>
          <cell r="K11">
            <v>10668.198627397007</v>
          </cell>
          <cell r="L11">
            <v>34384245.550997093</v>
          </cell>
          <cell r="M11">
            <v>0.99671861092415948</v>
          </cell>
          <cell r="N11">
            <v>34271417.463265032</v>
          </cell>
          <cell r="O11">
            <v>10633.192116962167</v>
          </cell>
          <cell r="P11">
            <v>186133.59</v>
          </cell>
          <cell r="Q11">
            <v>34457551.053265035</v>
          </cell>
          <cell r="R11">
            <v>10690.94269655262</v>
          </cell>
          <cell r="S11">
            <v>1.1016552782985627</v>
          </cell>
          <cell r="T11">
            <v>37960342.995071627</v>
          </cell>
          <cell r="U11">
            <v>11777.733451644664</v>
          </cell>
          <cell r="V11">
            <v>0</v>
          </cell>
          <cell r="W11">
            <v>3223.0601202619996</v>
          </cell>
          <cell r="X11">
            <v>37960342.995071627</v>
          </cell>
          <cell r="Y11">
            <v>46622237.324348755</v>
          </cell>
          <cell r="Z11">
            <v>-0.18578890302961504</v>
          </cell>
          <cell r="AA11">
            <v>0</v>
          </cell>
          <cell r="AB11">
            <v>0</v>
          </cell>
          <cell r="AC11">
            <v>46622237.324348755</v>
          </cell>
          <cell r="AD11">
            <v>37960342.995071627</v>
          </cell>
          <cell r="AE11">
            <v>0</v>
          </cell>
          <cell r="AF11">
            <v>-3105</v>
          </cell>
          <cell r="AG11">
            <v>0</v>
          </cell>
        </row>
        <row r="12">
          <cell r="A12">
            <v>210011</v>
          </cell>
          <cell r="B12" t="str">
            <v>St. Agnes Hospital</v>
          </cell>
          <cell r="C12">
            <v>1</v>
          </cell>
          <cell r="D12">
            <v>10849.063446821609</v>
          </cell>
          <cell r="E12">
            <v>-490.75588143927337</v>
          </cell>
          <cell r="F12">
            <v>-62.611823539882415</v>
          </cell>
          <cell r="G12">
            <v>0</v>
          </cell>
          <cell r="H12">
            <v>10849.063446821609</v>
          </cell>
          <cell r="I12">
            <v>28288.952845800002</v>
          </cell>
          <cell r="J12">
            <v>309.36138897328016</v>
          </cell>
          <cell r="K12">
            <v>11158.424835794889</v>
          </cell>
          <cell r="L12">
            <v>315660154.01320523</v>
          </cell>
          <cell r="M12">
            <v>0.99671861092415948</v>
          </cell>
          <cell r="N12">
            <v>314624350.23214817</v>
          </cell>
          <cell r="O12">
            <v>11121.809702435125</v>
          </cell>
          <cell r="P12">
            <v>7476727.5782749997</v>
          </cell>
          <cell r="Q12">
            <v>322101077.8104232</v>
          </cell>
          <cell r="R12">
            <v>11386.108194465913</v>
          </cell>
          <cell r="S12">
            <v>1.0962741841922081</v>
          </cell>
          <cell r="T12">
            <v>353111096.30405265</v>
          </cell>
          <cell r="U12">
            <v>12482.296472012335</v>
          </cell>
          <cell r="V12">
            <v>0</v>
          </cell>
          <cell r="W12">
            <v>28288.952845800002</v>
          </cell>
          <cell r="X12">
            <v>353111096.30405265</v>
          </cell>
          <cell r="Y12">
            <v>416605340.21283895</v>
          </cell>
          <cell r="Z12">
            <v>-0.15240861741318013</v>
          </cell>
          <cell r="AA12">
            <v>0</v>
          </cell>
          <cell r="AB12">
            <v>0</v>
          </cell>
          <cell r="AC12">
            <v>416605340.21283895</v>
          </cell>
          <cell r="AD12">
            <v>353111096.30405265</v>
          </cell>
          <cell r="AE12">
            <v>0</v>
          </cell>
          <cell r="AF12">
            <v>-14317</v>
          </cell>
          <cell r="AG12">
            <v>0</v>
          </cell>
        </row>
        <row r="13">
          <cell r="A13">
            <v>210012</v>
          </cell>
          <cell r="B13" t="str">
            <v>Sinai Hospital</v>
          </cell>
          <cell r="C13">
            <v>4</v>
          </cell>
          <cell r="D13">
            <v>12721.879942318987</v>
          </cell>
          <cell r="E13">
            <v>-505.63581406817087</v>
          </cell>
          <cell r="F13">
            <v>-109.2905004700154</v>
          </cell>
          <cell r="G13">
            <v>0</v>
          </cell>
          <cell r="H13">
            <v>12721.879942318987</v>
          </cell>
          <cell r="I13">
            <v>40817.893074500003</v>
          </cell>
          <cell r="J13">
            <v>370.06676360412382</v>
          </cell>
          <cell r="K13">
            <v>13091.94670592311</v>
          </cell>
          <cell r="L13">
            <v>534385680.77942204</v>
          </cell>
          <cell r="M13">
            <v>0.99671861092415948</v>
          </cell>
          <cell r="N13">
            <v>532632153.44422686</v>
          </cell>
          <cell r="O13">
            <v>13048.986935020808</v>
          </cell>
          <cell r="P13">
            <v>18525777.538903046</v>
          </cell>
          <cell r="Q13">
            <v>551157930.98312986</v>
          </cell>
          <cell r="R13">
            <v>13502.851065270994</v>
          </cell>
          <cell r="S13">
            <v>1.0952231825796594</v>
          </cell>
          <cell r="T13">
            <v>603640943.2753638</v>
          </cell>
          <cell r="U13">
            <v>14788.635517605242</v>
          </cell>
          <cell r="V13">
            <v>0</v>
          </cell>
          <cell r="W13">
            <v>40817.893074500003</v>
          </cell>
          <cell r="X13">
            <v>603640943.2753638</v>
          </cell>
          <cell r="Y13">
            <v>736251535.72155106</v>
          </cell>
          <cell r="Z13">
            <v>-0.18011587889758962</v>
          </cell>
          <cell r="AA13">
            <v>0</v>
          </cell>
          <cell r="AB13">
            <v>0</v>
          </cell>
          <cell r="AC13">
            <v>736251535.72155106</v>
          </cell>
          <cell r="AD13">
            <v>603640943.2753638</v>
          </cell>
          <cell r="AE13">
            <v>0</v>
          </cell>
          <cell r="AF13">
            <v>-17953</v>
          </cell>
          <cell r="AG13">
            <v>0</v>
          </cell>
        </row>
        <row r="14">
          <cell r="A14">
            <v>210013</v>
          </cell>
          <cell r="B14" t="str">
            <v>Bon Secours Hospital</v>
          </cell>
          <cell r="C14">
            <v>4</v>
          </cell>
          <cell r="D14">
            <v>12721.879942318987</v>
          </cell>
          <cell r="E14">
            <v>-1876.0132418557082</v>
          </cell>
          <cell r="F14">
            <v>-49.560192310555223</v>
          </cell>
          <cell r="G14">
            <v>0</v>
          </cell>
          <cell r="H14">
            <v>12721.879942318987</v>
          </cell>
          <cell r="I14">
            <v>4988.8802519729998</v>
          </cell>
          <cell r="J14">
            <v>0</v>
          </cell>
          <cell r="K14">
            <v>12721.879942318987</v>
          </cell>
          <cell r="L14">
            <v>63467935.612206601</v>
          </cell>
          <cell r="M14">
            <v>0.99671861092415948</v>
          </cell>
          <cell r="N14">
            <v>63259672.621622555</v>
          </cell>
          <cell r="O14">
            <v>12680.134504452108</v>
          </cell>
          <cell r="P14">
            <v>0</v>
          </cell>
          <cell r="Q14">
            <v>63259672.621622555</v>
          </cell>
          <cell r="R14">
            <v>12680.134504452108</v>
          </cell>
          <cell r="S14">
            <v>1.1026804682882889</v>
          </cell>
          <cell r="T14">
            <v>69755205.430174604</v>
          </cell>
          <cell r="U14">
            <v>13982.136653327738</v>
          </cell>
          <cell r="V14">
            <v>0</v>
          </cell>
          <cell r="W14">
            <v>4988.8802519729998</v>
          </cell>
          <cell r="X14">
            <v>69755205.430174604</v>
          </cell>
          <cell r="Y14">
            <v>108653486.92404035</v>
          </cell>
          <cell r="Z14">
            <v>-0.35800306640006441</v>
          </cell>
          <cell r="AA14">
            <v>0</v>
          </cell>
          <cell r="AB14">
            <v>0</v>
          </cell>
          <cell r="AC14">
            <v>108653486.92404035</v>
          </cell>
          <cell r="AD14">
            <v>69755205.430174604</v>
          </cell>
          <cell r="AE14">
            <v>0</v>
          </cell>
          <cell r="AF14">
            <v>-17420</v>
          </cell>
          <cell r="AG14">
            <v>0</v>
          </cell>
        </row>
        <row r="15">
          <cell r="A15">
            <v>210015</v>
          </cell>
          <cell r="B15" t="str">
            <v>Franklin Square Hospital Center</v>
          </cell>
          <cell r="C15">
            <v>1</v>
          </cell>
          <cell r="D15">
            <v>10849.063446821609</v>
          </cell>
          <cell r="E15">
            <v>-48.473825137589891</v>
          </cell>
          <cell r="F15">
            <v>-7.5460486157392088</v>
          </cell>
          <cell r="G15">
            <v>0</v>
          </cell>
          <cell r="H15">
            <v>10849.063446821609</v>
          </cell>
          <cell r="I15">
            <v>34517.420973100001</v>
          </cell>
          <cell r="J15">
            <v>270.90460286551996</v>
          </cell>
          <cell r="K15">
            <v>11119.968049687128</v>
          </cell>
          <cell r="L15">
            <v>383832618.37847239</v>
          </cell>
          <cell r="M15">
            <v>0.99671861092415948</v>
          </cell>
          <cell r="N15">
            <v>382573114.217574</v>
          </cell>
          <cell r="O15">
            <v>11083.479108005189</v>
          </cell>
          <cell r="P15">
            <v>9515709.111311961</v>
          </cell>
          <cell r="Q15">
            <v>392088823.32888597</v>
          </cell>
          <cell r="R15">
            <v>11359.157557989263</v>
          </cell>
          <cell r="S15">
            <v>1.0973336341529938</v>
          </cell>
          <cell r="T15">
            <v>430252253.41425759</v>
          </cell>
          <cell r="U15">
            <v>12464.785644024805</v>
          </cell>
          <cell r="V15">
            <v>0</v>
          </cell>
          <cell r="W15">
            <v>34517.420973100001</v>
          </cell>
          <cell r="X15">
            <v>430252253.41425759</v>
          </cell>
          <cell r="Y15">
            <v>503648906.98643422</v>
          </cell>
          <cell r="Z15">
            <v>-0.1457297981868817</v>
          </cell>
          <cell r="AA15">
            <v>0</v>
          </cell>
          <cell r="AB15">
            <v>0</v>
          </cell>
          <cell r="AC15">
            <v>503648906.98643422</v>
          </cell>
          <cell r="AD15">
            <v>430252253.41425759</v>
          </cell>
          <cell r="AE15">
            <v>0</v>
          </cell>
          <cell r="AF15">
            <v>-2027</v>
          </cell>
          <cell r="AG15">
            <v>0</v>
          </cell>
        </row>
        <row r="16">
          <cell r="A16">
            <v>210016</v>
          </cell>
          <cell r="B16" t="str">
            <v>Washington Adventist Hospital</v>
          </cell>
          <cell r="C16">
            <v>3</v>
          </cell>
          <cell r="D16">
            <v>10668.198627397007</v>
          </cell>
          <cell r="E16">
            <v>-1083.9758270973441</v>
          </cell>
          <cell r="F16">
            <v>-45.995916747405715</v>
          </cell>
          <cell r="G16">
            <v>0</v>
          </cell>
          <cell r="H16">
            <v>10668.198627397007</v>
          </cell>
          <cell r="I16">
            <v>19704.86180056</v>
          </cell>
          <cell r="J16">
            <v>0</v>
          </cell>
          <cell r="K16">
            <v>10668.198627397007</v>
          </cell>
          <cell r="L16">
            <v>210215379.6137819</v>
          </cell>
          <cell r="M16">
            <v>1.0181752931904677</v>
          </cell>
          <cell r="N16">
            <v>214036105.77140787</v>
          </cell>
          <cell r="O16">
            <v>10862.096265264094</v>
          </cell>
          <cell r="P16">
            <v>0</v>
          </cell>
          <cell r="Q16">
            <v>214036105.77140787</v>
          </cell>
          <cell r="R16">
            <v>10862.096265264094</v>
          </cell>
          <cell r="S16">
            <v>1.0977784116737554</v>
          </cell>
          <cell r="T16">
            <v>234964216.23457205</v>
          </cell>
          <cell r="U16">
            <v>11924.174785529047</v>
          </cell>
          <cell r="V16">
            <v>0</v>
          </cell>
          <cell r="W16">
            <v>19704.86180056</v>
          </cell>
          <cell r="X16">
            <v>234964216.23457205</v>
          </cell>
          <cell r="Y16">
            <v>271458806.7144438</v>
          </cell>
          <cell r="Z16">
            <v>-0.13443877883933075</v>
          </cell>
          <cell r="AA16">
            <v>0</v>
          </cell>
          <cell r="AB16">
            <v>0</v>
          </cell>
          <cell r="AC16">
            <v>271458806.7144438</v>
          </cell>
          <cell r="AD16">
            <v>234964216.23457205</v>
          </cell>
          <cell r="AE16">
            <v>0</v>
          </cell>
          <cell r="AF16">
            <v>-24083</v>
          </cell>
          <cell r="AG16">
            <v>0</v>
          </cell>
        </row>
        <row r="17">
          <cell r="A17">
            <v>210017</v>
          </cell>
          <cell r="B17" t="str">
            <v>Garrett County Memorial Hospital</v>
          </cell>
          <cell r="C17">
            <v>3</v>
          </cell>
          <cell r="D17">
            <v>10668.198627397007</v>
          </cell>
          <cell r="E17">
            <v>-71.517469912160763</v>
          </cell>
          <cell r="F17">
            <v>-0.84497557320933381</v>
          </cell>
          <cell r="G17">
            <v>0</v>
          </cell>
          <cell r="H17">
            <v>10668.198627397007</v>
          </cell>
          <cell r="I17">
            <v>5486.6306340900001</v>
          </cell>
          <cell r="J17">
            <v>0</v>
          </cell>
          <cell r="K17">
            <v>10668.198627397007</v>
          </cell>
          <cell r="L17">
            <v>58532465.399633311</v>
          </cell>
          <cell r="M17">
            <v>0.93365670027608294</v>
          </cell>
          <cell r="N17">
            <v>54649228.504045635</v>
          </cell>
          <cell r="O17">
            <v>9960.435128345327</v>
          </cell>
          <cell r="P17">
            <v>0</v>
          </cell>
          <cell r="Q17">
            <v>54649228.504045635</v>
          </cell>
          <cell r="R17">
            <v>9960.435128345327</v>
          </cell>
          <cell r="S17">
            <v>1.0961785275385361</v>
          </cell>
          <cell r="T17">
            <v>59905310.832681738</v>
          </cell>
          <cell r="U17">
            <v>10918.415112632691</v>
          </cell>
          <cell r="V17">
            <v>0</v>
          </cell>
          <cell r="W17">
            <v>5486.6306340900001</v>
          </cell>
          <cell r="X17">
            <v>59905310.832681738</v>
          </cell>
          <cell r="Y17">
            <v>59460262.921447515</v>
          </cell>
          <cell r="Z17">
            <v>7.4847955486199158E-3</v>
          </cell>
          <cell r="AA17">
            <v>0</v>
          </cell>
          <cell r="AB17">
            <v>0</v>
          </cell>
          <cell r="AC17">
            <v>59460262.921447515</v>
          </cell>
          <cell r="AD17">
            <v>59905310.832681738</v>
          </cell>
          <cell r="AE17">
            <v>0</v>
          </cell>
          <cell r="AF17">
            <v>-307</v>
          </cell>
          <cell r="AG17">
            <v>0</v>
          </cell>
        </row>
        <row r="18">
          <cell r="A18">
            <v>210018</v>
          </cell>
          <cell r="B18" t="str">
            <v>Montgomery General Hospital</v>
          </cell>
          <cell r="C18">
            <v>3</v>
          </cell>
          <cell r="D18">
            <v>10668.198627397007</v>
          </cell>
          <cell r="E18">
            <v>-683.60302639796191</v>
          </cell>
          <cell r="F18">
            <v>-16.655372717705465</v>
          </cell>
          <cell r="G18">
            <v>0</v>
          </cell>
          <cell r="H18">
            <v>10668.198627397007</v>
          </cell>
          <cell r="I18">
            <v>11314.20623191</v>
          </cell>
          <cell r="J18">
            <v>0</v>
          </cell>
          <cell r="K18">
            <v>10668.198627397007</v>
          </cell>
          <cell r="L18">
            <v>120702199.39334893</v>
          </cell>
          <cell r="M18">
            <v>1.0181752931904677</v>
          </cell>
          <cell r="N18">
            <v>122895997.25605735</v>
          </cell>
          <cell r="O18">
            <v>10862.096265264094</v>
          </cell>
          <cell r="P18">
            <v>0</v>
          </cell>
          <cell r="Q18">
            <v>122895997.25605735</v>
          </cell>
          <cell r="R18">
            <v>10862.096265264094</v>
          </cell>
          <cell r="S18">
            <v>1.0933405894355734</v>
          </cell>
          <cell r="T18">
            <v>134367182.07921037</v>
          </cell>
          <cell r="U18">
            <v>11875.970733169786</v>
          </cell>
          <cell r="V18">
            <v>0</v>
          </cell>
          <cell r="W18">
            <v>11314.20623191</v>
          </cell>
          <cell r="X18">
            <v>134367182.07921037</v>
          </cell>
          <cell r="Y18">
            <v>169258685.04539415</v>
          </cell>
          <cell r="Z18">
            <v>-0.20614305822372481</v>
          </cell>
          <cell r="AA18">
            <v>0</v>
          </cell>
          <cell r="AB18">
            <v>0</v>
          </cell>
          <cell r="AC18">
            <v>169258685.04539415</v>
          </cell>
          <cell r="AD18">
            <v>134367182.07921037</v>
          </cell>
          <cell r="AE18">
            <v>0</v>
          </cell>
          <cell r="AF18">
            <v>-10183</v>
          </cell>
          <cell r="AG18">
            <v>0</v>
          </cell>
        </row>
        <row r="19">
          <cell r="A19">
            <v>210019</v>
          </cell>
          <cell r="B19" t="str">
            <v>Peninsula Regional Medical Center</v>
          </cell>
          <cell r="C19">
            <v>3</v>
          </cell>
          <cell r="D19">
            <v>10668.198627397007</v>
          </cell>
          <cell r="E19">
            <v>-534.23195612769155</v>
          </cell>
          <cell r="F19">
            <v>-39.537231088220175</v>
          </cell>
          <cell r="G19">
            <v>0</v>
          </cell>
          <cell r="H19">
            <v>10668.198627397007</v>
          </cell>
          <cell r="I19">
            <v>34367.670821700005</v>
          </cell>
          <cell r="J19">
            <v>0</v>
          </cell>
          <cell r="K19">
            <v>10668.198627397007</v>
          </cell>
          <cell r="L19">
            <v>366641138.68689215</v>
          </cell>
          <cell r="M19">
            <v>0.97123634700015304</v>
          </cell>
          <cell r="N19">
            <v>356095200.1982336</v>
          </cell>
          <cell r="O19">
            <v>10361.342263945115</v>
          </cell>
          <cell r="P19">
            <v>1722609.3142588786</v>
          </cell>
          <cell r="Q19">
            <v>357817809.51249248</v>
          </cell>
          <cell r="R19">
            <v>10411.465221744489</v>
          </cell>
          <cell r="S19">
            <v>1.0978696918984006</v>
          </cell>
          <cell r="T19">
            <v>392837328.28524071</v>
          </cell>
          <cell r="U19">
            <v>11430.432115207535</v>
          </cell>
          <cell r="V19">
            <v>0</v>
          </cell>
          <cell r="W19">
            <v>34367.670821700005</v>
          </cell>
          <cell r="X19">
            <v>392837328.28524071</v>
          </cell>
          <cell r="Y19">
            <v>425806581.2555005</v>
          </cell>
          <cell r="Z19">
            <v>-7.7427767492576516E-2</v>
          </cell>
          <cell r="AA19">
            <v>0</v>
          </cell>
          <cell r="AB19">
            <v>0</v>
          </cell>
          <cell r="AC19">
            <v>425806581.2555005</v>
          </cell>
          <cell r="AD19">
            <v>392837328.28524071</v>
          </cell>
          <cell r="AE19">
            <v>0</v>
          </cell>
          <cell r="AF19">
            <v>-17516</v>
          </cell>
          <cell r="AG19">
            <v>0</v>
          </cell>
        </row>
        <row r="20">
          <cell r="A20">
            <v>210022</v>
          </cell>
          <cell r="B20" t="str">
            <v>Suburban Hospital</v>
          </cell>
          <cell r="C20">
            <v>1</v>
          </cell>
          <cell r="D20">
            <v>10849.063446821609</v>
          </cell>
          <cell r="E20">
            <v>313.76386321565343</v>
          </cell>
          <cell r="F20">
            <v>36.984358666789049</v>
          </cell>
          <cell r="G20">
            <v>0</v>
          </cell>
          <cell r="H20">
            <v>10849.063446821609</v>
          </cell>
          <cell r="I20">
            <v>26136.125134620001</v>
          </cell>
          <cell r="J20">
            <v>18.347585117407249</v>
          </cell>
          <cell r="K20">
            <v>10867.411031939017</v>
          </cell>
          <cell r="L20">
            <v>284032014.62010801</v>
          </cell>
          <cell r="M20">
            <v>1.0181752931904677</v>
          </cell>
          <cell r="N20">
            <v>289194379.76130772</v>
          </cell>
          <cell r="O20">
            <v>11064.929413665832</v>
          </cell>
          <cell r="P20">
            <v>3699168.624917252</v>
          </cell>
          <cell r="Q20">
            <v>292893548.38622499</v>
          </cell>
          <cell r="R20">
            <v>11206.464113467884</v>
          </cell>
          <cell r="S20">
            <v>1.0909290081011322</v>
          </cell>
          <cell r="T20">
            <v>319526068.22020543</v>
          </cell>
          <cell r="U20">
            <v>12225.456779626453</v>
          </cell>
          <cell r="V20">
            <v>0</v>
          </cell>
          <cell r="W20">
            <v>26136.125134620001</v>
          </cell>
          <cell r="X20">
            <v>319526068.22020543</v>
          </cell>
          <cell r="Y20">
            <v>319383849.22565889</v>
          </cell>
          <cell r="Z20">
            <v>4.4529175439311786E-4</v>
          </cell>
          <cell r="AA20">
            <v>0</v>
          </cell>
          <cell r="AB20">
            <v>0</v>
          </cell>
          <cell r="AC20">
            <v>319383849.22565889</v>
          </cell>
          <cell r="AD20">
            <v>319526068.22020543</v>
          </cell>
          <cell r="AE20">
            <v>0</v>
          </cell>
          <cell r="AF20">
            <v>5986</v>
          </cell>
          <cell r="AG20">
            <v>0</v>
          </cell>
        </row>
        <row r="21">
          <cell r="A21">
            <v>210023</v>
          </cell>
          <cell r="B21" t="str">
            <v>Anne Arundel Medical Center</v>
          </cell>
          <cell r="C21">
            <v>3</v>
          </cell>
          <cell r="D21">
            <v>10668.198627397007</v>
          </cell>
          <cell r="E21">
            <v>269.6794416625479</v>
          </cell>
          <cell r="F21">
            <v>28.906924527056688</v>
          </cell>
          <cell r="G21">
            <v>0</v>
          </cell>
          <cell r="H21">
            <v>10668.198627397007</v>
          </cell>
          <cell r="I21">
            <v>49776.890090499997</v>
          </cell>
          <cell r="J21">
            <v>0</v>
          </cell>
          <cell r="K21">
            <v>10668.198627397007</v>
          </cell>
          <cell r="L21">
            <v>531029750.53956378</v>
          </cell>
          <cell r="M21">
            <v>0.99671861092415948</v>
          </cell>
          <cell r="N21">
            <v>529287235.31719691</v>
          </cell>
          <cell r="O21">
            <v>10633.192116962169</v>
          </cell>
          <cell r="P21">
            <v>0</v>
          </cell>
          <cell r="Q21">
            <v>529287235.31719691</v>
          </cell>
          <cell r="R21">
            <v>10633.192116962169</v>
          </cell>
          <cell r="S21">
            <v>1.0881017105926887</v>
          </cell>
          <cell r="T21">
            <v>575918346.1435169</v>
          </cell>
          <cell r="U21">
            <v>11569.994531527229</v>
          </cell>
          <cell r="V21">
            <v>0</v>
          </cell>
          <cell r="W21">
            <v>49776.890090499997</v>
          </cell>
          <cell r="X21">
            <v>575918346.1435169</v>
          </cell>
          <cell r="Y21">
            <v>580705724.89731121</v>
          </cell>
          <cell r="Z21">
            <v>-8.2440701865663657E-3</v>
          </cell>
          <cell r="AA21">
            <v>0</v>
          </cell>
          <cell r="AB21">
            <v>0</v>
          </cell>
          <cell r="AC21">
            <v>580705724.89731121</v>
          </cell>
          <cell r="AD21">
            <v>575918346.1435169</v>
          </cell>
          <cell r="AE21">
            <v>0</v>
          </cell>
          <cell r="AF21">
            <v>7652</v>
          </cell>
          <cell r="AG21">
            <v>0</v>
          </cell>
        </row>
        <row r="22">
          <cell r="A22">
            <v>210024</v>
          </cell>
          <cell r="B22" t="str">
            <v>Union Memorial Hospital</v>
          </cell>
          <cell r="C22">
            <v>4</v>
          </cell>
          <cell r="D22">
            <v>12721.879942318987</v>
          </cell>
          <cell r="E22">
            <v>-845.27995966252286</v>
          </cell>
          <cell r="F22">
            <v>-122.74195550649009</v>
          </cell>
          <cell r="G22">
            <v>0</v>
          </cell>
          <cell r="H22">
            <v>12721.879942318987</v>
          </cell>
          <cell r="I22">
            <v>27421.95803003</v>
          </cell>
          <cell r="J22">
            <v>384.71961631890446</v>
          </cell>
          <cell r="K22">
            <v>13106.59955863789</v>
          </cell>
          <cell r="L22">
            <v>359408623.01337796</v>
          </cell>
          <cell r="M22">
            <v>0.99671861092415948</v>
          </cell>
          <cell r="N22">
            <v>358229263.48405898</v>
          </cell>
          <cell r="O22">
            <v>13063.591706024759</v>
          </cell>
          <cell r="P22">
            <v>18112729.835636299</v>
          </cell>
          <cell r="Q22">
            <v>376341993.31969529</v>
          </cell>
          <cell r="R22">
            <v>13724.110908038012</v>
          </cell>
          <cell r="S22">
            <v>1.0963236833132124</v>
          </cell>
          <cell r="T22">
            <v>412592640.30168474</v>
          </cell>
          <cell r="U22">
            <v>15046.06782089927</v>
          </cell>
          <cell r="V22">
            <v>0</v>
          </cell>
          <cell r="W22">
            <v>27421.95803003</v>
          </cell>
          <cell r="X22">
            <v>412592640.30168474</v>
          </cell>
          <cell r="Y22">
            <v>424692466.45998043</v>
          </cell>
          <cell r="Z22">
            <v>-2.8490795372834499E-2</v>
          </cell>
          <cell r="AA22">
            <v>0</v>
          </cell>
          <cell r="AB22">
            <v>0</v>
          </cell>
          <cell r="AC22">
            <v>424692466.45998043</v>
          </cell>
          <cell r="AD22">
            <v>412592640.30168474</v>
          </cell>
          <cell r="AE22">
            <v>0</v>
          </cell>
          <cell r="AF22">
            <v>-19341</v>
          </cell>
          <cell r="AG22">
            <v>0</v>
          </cell>
        </row>
        <row r="23">
          <cell r="A23">
            <v>210027</v>
          </cell>
          <cell r="B23" t="str">
            <v>Western Maryland Regional Medical Center</v>
          </cell>
          <cell r="C23">
            <v>3</v>
          </cell>
          <cell r="D23">
            <v>10668.198627397007</v>
          </cell>
          <cell r="E23">
            <v>-568.64006733565463</v>
          </cell>
          <cell r="F23">
            <v>-27.290143845096537</v>
          </cell>
          <cell r="G23">
            <v>0</v>
          </cell>
          <cell r="H23">
            <v>10668.198627397007</v>
          </cell>
          <cell r="I23">
            <v>22286.5107279</v>
          </cell>
          <cell r="J23">
            <v>0</v>
          </cell>
          <cell r="K23">
            <v>10668.198627397007</v>
          </cell>
          <cell r="L23">
            <v>237756923.15685144</v>
          </cell>
          <cell r="M23">
            <v>0.99671861092415948</v>
          </cell>
          <cell r="N23">
            <v>236976750.18649909</v>
          </cell>
          <cell r="O23">
            <v>10633.192116962169</v>
          </cell>
          <cell r="P23">
            <v>1566434.7687343666</v>
          </cell>
          <cell r="Q23">
            <v>238543184.95523345</v>
          </cell>
          <cell r="R23">
            <v>10703.478344710391</v>
          </cell>
          <cell r="S23">
            <v>1.1009509493306491</v>
          </cell>
          <cell r="T23">
            <v>262624345.93282089</v>
          </cell>
          <cell r="U23">
            <v>11784.004644748949</v>
          </cell>
          <cell r="V23">
            <v>0</v>
          </cell>
          <cell r="W23">
            <v>22286.5107279</v>
          </cell>
          <cell r="X23">
            <v>262624345.93282089</v>
          </cell>
          <cell r="Y23">
            <v>310998985.60852623</v>
          </cell>
          <cell r="Z23">
            <v>-0.15554597254087998</v>
          </cell>
          <cell r="AA23">
            <v>0</v>
          </cell>
          <cell r="AB23">
            <v>0</v>
          </cell>
          <cell r="AC23">
            <v>310998985.60852623</v>
          </cell>
          <cell r="AD23">
            <v>262624345.93282089</v>
          </cell>
          <cell r="AE23">
            <v>0</v>
          </cell>
          <cell r="AF23">
            <v>-13010</v>
          </cell>
          <cell r="AG23">
            <v>0</v>
          </cell>
        </row>
        <row r="24">
          <cell r="A24">
            <v>210028</v>
          </cell>
          <cell r="B24" t="str">
            <v>St. Mary's Hospital</v>
          </cell>
          <cell r="C24">
            <v>3</v>
          </cell>
          <cell r="D24">
            <v>10668.198627397007</v>
          </cell>
          <cell r="E24">
            <v>272.23608709388986</v>
          </cell>
          <cell r="F24">
            <v>7.8568616738866313</v>
          </cell>
          <cell r="G24">
            <v>0</v>
          </cell>
          <cell r="H24">
            <v>10668.198627397007</v>
          </cell>
          <cell r="I24">
            <v>13402.2317893</v>
          </cell>
          <cell r="J24">
            <v>0</v>
          </cell>
          <cell r="K24">
            <v>10668.198627397007</v>
          </cell>
          <cell r="L24">
            <v>142977670.77866679</v>
          </cell>
          <cell r="M24">
            <v>0.99671861092415948</v>
          </cell>
          <cell r="N24">
            <v>142508505.41168454</v>
          </cell>
          <cell r="O24">
            <v>10633.192116962169</v>
          </cell>
          <cell r="P24">
            <v>0</v>
          </cell>
          <cell r="Q24">
            <v>142508505.41168454</v>
          </cell>
          <cell r="R24">
            <v>10633.192116962169</v>
          </cell>
          <cell r="S24">
            <v>1.0923191168670769</v>
          </cell>
          <cell r="T24">
            <v>155664764.77733833</v>
          </cell>
          <cell r="U24">
            <v>11614.839022678081</v>
          </cell>
          <cell r="V24">
            <v>0</v>
          </cell>
          <cell r="W24">
            <v>13402.2317893</v>
          </cell>
          <cell r="X24">
            <v>155664764.77733833</v>
          </cell>
          <cell r="Y24">
            <v>177221386.76402891</v>
          </cell>
          <cell r="Z24">
            <v>-0.12163668494137969</v>
          </cell>
          <cell r="AA24">
            <v>0</v>
          </cell>
          <cell r="AB24">
            <v>0</v>
          </cell>
          <cell r="AC24">
            <v>177221386.76402891</v>
          </cell>
          <cell r="AD24">
            <v>155664764.77733833</v>
          </cell>
          <cell r="AE24">
            <v>0</v>
          </cell>
          <cell r="AF24">
            <v>2506</v>
          </cell>
          <cell r="AG24">
            <v>0</v>
          </cell>
        </row>
        <row r="25">
          <cell r="A25">
            <v>210029</v>
          </cell>
          <cell r="B25" t="str">
            <v>Johns Hopkins Bayview Medical Center</v>
          </cell>
          <cell r="C25">
            <v>4</v>
          </cell>
          <cell r="D25">
            <v>12721.879942318987</v>
          </cell>
          <cell r="E25">
            <v>-196.91973846464171</v>
          </cell>
          <cell r="F25">
            <v>-40.304159858247147</v>
          </cell>
          <cell r="G25">
            <v>0</v>
          </cell>
          <cell r="H25">
            <v>12721.879942318987</v>
          </cell>
          <cell r="I25">
            <v>38651.523662900006</v>
          </cell>
          <cell r="J25">
            <v>435.25739736617777</v>
          </cell>
          <cell r="K25">
            <v>13157.137339685165</v>
          </cell>
          <cell r="L25">
            <v>508543405.22086638</v>
          </cell>
          <cell r="M25">
            <v>0.99671861092415948</v>
          </cell>
          <cell r="N25">
            <v>506874676.44638389</v>
          </cell>
          <cell r="O25">
            <v>13113.963652949389</v>
          </cell>
          <cell r="P25">
            <v>22179247.654259458</v>
          </cell>
          <cell r="Q25">
            <v>529053924.10064334</v>
          </cell>
          <cell r="R25">
            <v>13687.789612507831</v>
          </cell>
          <cell r="S25">
            <v>1.0977598582507571</v>
          </cell>
          <cell r="T25">
            <v>580774160.72772896</v>
          </cell>
          <cell r="U25">
            <v>15025.90598479278</v>
          </cell>
          <cell r="V25">
            <v>0</v>
          </cell>
          <cell r="W25">
            <v>38651.523662900006</v>
          </cell>
          <cell r="X25">
            <v>580774160.72772896</v>
          </cell>
          <cell r="Y25">
            <v>614652945.22472346</v>
          </cell>
          <cell r="Z25">
            <v>-5.511855879029115E-2</v>
          </cell>
          <cell r="AA25">
            <v>0</v>
          </cell>
          <cell r="AB25">
            <v>0</v>
          </cell>
          <cell r="AC25">
            <v>614652945.22472346</v>
          </cell>
          <cell r="AD25">
            <v>580774160.72772896</v>
          </cell>
          <cell r="AE25">
            <v>0</v>
          </cell>
          <cell r="AF25">
            <v>-6370</v>
          </cell>
          <cell r="AG25">
            <v>0</v>
          </cell>
        </row>
        <row r="26">
          <cell r="A26">
            <v>210030</v>
          </cell>
          <cell r="B26" t="str">
            <v>Chester River Hospital Center</v>
          </cell>
          <cell r="C26">
            <v>3</v>
          </cell>
          <cell r="D26">
            <v>10668.198627397007</v>
          </cell>
          <cell r="E26">
            <v>-1576.6920850021913</v>
          </cell>
          <cell r="F26">
            <v>-11.257883625363883</v>
          </cell>
          <cell r="G26">
            <v>0</v>
          </cell>
          <cell r="H26">
            <v>10668.198627397007</v>
          </cell>
          <cell r="I26">
            <v>3315.7637481900001</v>
          </cell>
          <cell r="J26">
            <v>0</v>
          </cell>
          <cell r="K26">
            <v>10668.198627397007</v>
          </cell>
          <cell r="L26">
            <v>35373226.267213315</v>
          </cell>
          <cell r="M26">
            <v>0.99671861092415948</v>
          </cell>
          <cell r="N26">
            <v>35257152.948962845</v>
          </cell>
          <cell r="O26">
            <v>10633.192116962169</v>
          </cell>
          <cell r="P26">
            <v>0</v>
          </cell>
          <cell r="Q26">
            <v>35257152.948962845</v>
          </cell>
          <cell r="R26">
            <v>10633.192116962169</v>
          </cell>
          <cell r="S26">
            <v>1.1003347580106044</v>
          </cell>
          <cell r="T26">
            <v>38794670.858239897</v>
          </cell>
          <cell r="U26">
            <v>11700.070874897834</v>
          </cell>
          <cell r="V26">
            <v>0</v>
          </cell>
          <cell r="W26">
            <v>3315.7637481900001</v>
          </cell>
          <cell r="X26">
            <v>38794670.858239897</v>
          </cell>
          <cell r="Y26">
            <v>52657632.199776225</v>
          </cell>
          <cell r="Z26">
            <v>-0.26326594574062978</v>
          </cell>
          <cell r="AA26">
            <v>0</v>
          </cell>
          <cell r="AB26">
            <v>0</v>
          </cell>
          <cell r="AC26">
            <v>52657632.199776225</v>
          </cell>
          <cell r="AD26">
            <v>38794670.858239897</v>
          </cell>
          <cell r="AE26">
            <v>0</v>
          </cell>
          <cell r="AF26">
            <v>-7037</v>
          </cell>
          <cell r="AG26">
            <v>0</v>
          </cell>
        </row>
        <row r="27">
          <cell r="A27">
            <v>210032</v>
          </cell>
          <cell r="B27" t="str">
            <v>Union of Cecil</v>
          </cell>
          <cell r="C27">
            <v>3</v>
          </cell>
          <cell r="D27">
            <v>10668.198627397007</v>
          </cell>
          <cell r="E27">
            <v>-809.07908188566557</v>
          </cell>
          <cell r="F27">
            <v>-17.083736866286415</v>
          </cell>
          <cell r="G27">
            <v>0</v>
          </cell>
          <cell r="H27">
            <v>10668.198627397007</v>
          </cell>
          <cell r="I27">
            <v>9805.4067098600008</v>
          </cell>
          <cell r="J27">
            <v>0</v>
          </cell>
          <cell r="K27">
            <v>10668.198627397007</v>
          </cell>
          <cell r="L27">
            <v>104606026.40319785</v>
          </cell>
          <cell r="M27">
            <v>0.99671861092415948</v>
          </cell>
          <cell r="N27">
            <v>104262773.33089131</v>
          </cell>
          <cell r="O27">
            <v>10633.192116962169</v>
          </cell>
          <cell r="P27">
            <v>0</v>
          </cell>
          <cell r="Q27">
            <v>104262773.33089131</v>
          </cell>
          <cell r="R27">
            <v>10633.192116962169</v>
          </cell>
          <cell r="S27">
            <v>1.0967871336900321</v>
          </cell>
          <cell r="T27">
            <v>114354068.3121618</v>
          </cell>
          <cell r="U27">
            <v>11662.348303938381</v>
          </cell>
          <cell r="V27">
            <v>0</v>
          </cell>
          <cell r="W27">
            <v>9805.4067098600008</v>
          </cell>
          <cell r="X27">
            <v>114354068.3121618</v>
          </cell>
          <cell r="Y27">
            <v>157201086.48878291</v>
          </cell>
          <cell r="Z27">
            <v>-0.27256184504601666</v>
          </cell>
          <cell r="AA27">
            <v>0</v>
          </cell>
          <cell r="AB27">
            <v>0</v>
          </cell>
          <cell r="AC27">
            <v>157201086.48878291</v>
          </cell>
          <cell r="AD27">
            <v>114354068.3121618</v>
          </cell>
          <cell r="AE27">
            <v>0</v>
          </cell>
          <cell r="AF27">
            <v>-9771</v>
          </cell>
          <cell r="AG27">
            <v>0</v>
          </cell>
        </row>
        <row r="28">
          <cell r="A28">
            <v>210033</v>
          </cell>
          <cell r="B28" t="str">
            <v>Carroll Hospital Center</v>
          </cell>
          <cell r="C28">
            <v>3</v>
          </cell>
          <cell r="D28">
            <v>10668.198627397007</v>
          </cell>
          <cell r="E28">
            <v>-528.21533139938992</v>
          </cell>
          <cell r="F28">
            <v>-18.293630783574713</v>
          </cell>
          <cell r="G28">
            <v>0</v>
          </cell>
          <cell r="H28">
            <v>10668.198627397007</v>
          </cell>
          <cell r="I28">
            <v>16082.8354555033</v>
          </cell>
          <cell r="J28">
            <v>0</v>
          </cell>
          <cell r="K28">
            <v>10668.198627397007</v>
          </cell>
          <cell r="L28">
            <v>171574883.13105223</v>
          </cell>
          <cell r="M28">
            <v>0.99671861092415948</v>
          </cell>
          <cell r="N28">
            <v>171011879.18385738</v>
          </cell>
          <cell r="O28">
            <v>10633.192116962169</v>
          </cell>
          <cell r="P28">
            <v>0</v>
          </cell>
          <cell r="Q28">
            <v>171011879.18385738</v>
          </cell>
          <cell r="R28">
            <v>10633.192116962169</v>
          </cell>
          <cell r="S28">
            <v>1.0941992733223276</v>
          </cell>
          <cell r="T28">
            <v>187121073.93246242</v>
          </cell>
          <cell r="U28">
            <v>11634.831087476708</v>
          </cell>
          <cell r="V28">
            <v>0</v>
          </cell>
          <cell r="W28">
            <v>16082.8354555033</v>
          </cell>
          <cell r="X28">
            <v>187121073.93246242</v>
          </cell>
          <cell r="Y28">
            <v>227073514.60514149</v>
          </cell>
          <cell r="Z28">
            <v>-0.17594496100592105</v>
          </cell>
          <cell r="AA28">
            <v>0</v>
          </cell>
          <cell r="AB28">
            <v>0</v>
          </cell>
          <cell r="AC28">
            <v>227073514.60514149</v>
          </cell>
          <cell r="AD28">
            <v>187121073.93246242</v>
          </cell>
          <cell r="AE28">
            <v>0</v>
          </cell>
          <cell r="AF28">
            <v>-8213</v>
          </cell>
          <cell r="AG28">
            <v>0</v>
          </cell>
        </row>
        <row r="29">
          <cell r="A29">
            <v>210034</v>
          </cell>
          <cell r="B29" t="str">
            <v>Harbor Hospital Center</v>
          </cell>
          <cell r="C29">
            <v>4</v>
          </cell>
          <cell r="D29">
            <v>12721.879942318987</v>
          </cell>
          <cell r="E29">
            <v>-1274.2254492915188</v>
          </cell>
          <cell r="F29">
            <v>-78.210487820677216</v>
          </cell>
          <cell r="G29">
            <v>0</v>
          </cell>
          <cell r="H29">
            <v>12721.879942318987</v>
          </cell>
          <cell r="I29">
            <v>11591.101699076</v>
          </cell>
          <cell r="J29">
            <v>466.65328162332861</v>
          </cell>
          <cell r="K29">
            <v>13188.533223942315</v>
          </cell>
          <cell r="L29">
            <v>152869629.86035803</v>
          </cell>
          <cell r="M29">
            <v>0.99671861092415948</v>
          </cell>
          <cell r="N29">
            <v>152368005.12690645</v>
          </cell>
          <cell r="O29">
            <v>13145.256515094909</v>
          </cell>
          <cell r="P29">
            <v>5343650.5046180002</v>
          </cell>
          <cell r="Q29">
            <v>157711655.63152444</v>
          </cell>
          <cell r="R29">
            <v>13606.269682207743</v>
          </cell>
          <cell r="S29">
            <v>1.0977881752632692</v>
          </cell>
          <cell r="T29">
            <v>173133990.65348032</v>
          </cell>
          <cell r="U29">
            <v>14936.801966570782</v>
          </cell>
          <cell r="V29">
            <v>0</v>
          </cell>
          <cell r="W29">
            <v>11591.101699076</v>
          </cell>
          <cell r="X29">
            <v>173133990.65348032</v>
          </cell>
          <cell r="Y29">
            <v>184391461.46041027</v>
          </cell>
          <cell r="Z29">
            <v>-6.1052017906734646E-2</v>
          </cell>
          <cell r="AA29">
            <v>0</v>
          </cell>
          <cell r="AB29">
            <v>0</v>
          </cell>
          <cell r="AC29">
            <v>184391461.46041027</v>
          </cell>
          <cell r="AD29">
            <v>173133990.65348032</v>
          </cell>
          <cell r="AE29">
            <v>0</v>
          </cell>
          <cell r="AF29">
            <v>-15431</v>
          </cell>
          <cell r="AG29">
            <v>0</v>
          </cell>
        </row>
        <row r="30">
          <cell r="A30">
            <v>210035</v>
          </cell>
          <cell r="B30" t="str">
            <v xml:space="preserve">Charles Regional </v>
          </cell>
          <cell r="C30">
            <v>3</v>
          </cell>
          <cell r="D30">
            <v>10668.198627397007</v>
          </cell>
          <cell r="E30">
            <v>-475.87588367901861</v>
          </cell>
          <cell r="F30">
            <v>-12.234563144656594</v>
          </cell>
          <cell r="G30">
            <v>0</v>
          </cell>
          <cell r="H30">
            <v>10668.198627397007</v>
          </cell>
          <cell r="I30">
            <v>11939.01456433</v>
          </cell>
          <cell r="J30">
            <v>0</v>
          </cell>
          <cell r="K30">
            <v>10668.198627397007</v>
          </cell>
          <cell r="L30">
            <v>127367778.78765818</v>
          </cell>
          <cell r="M30">
            <v>0.99671861092415948</v>
          </cell>
          <cell r="N30">
            <v>126949835.54973029</v>
          </cell>
          <cell r="O30">
            <v>10633.192116962169</v>
          </cell>
          <cell r="P30">
            <v>0</v>
          </cell>
          <cell r="Q30">
            <v>126949835.54973029</v>
          </cell>
          <cell r="R30">
            <v>10633.192116962169</v>
          </cell>
          <cell r="S30">
            <v>1.0966373052921363</v>
          </cell>
          <cell r="T30">
            <v>139217925.56453606</v>
          </cell>
          <cell r="U30">
            <v>11660.755149798979</v>
          </cell>
          <cell r="V30">
            <v>0</v>
          </cell>
          <cell r="W30">
            <v>11939.01456433</v>
          </cell>
          <cell r="X30">
            <v>139217925.56453606</v>
          </cell>
          <cell r="Y30">
            <v>152579689.24600491</v>
          </cell>
          <cell r="Z30">
            <v>-8.7572361350963357E-2</v>
          </cell>
          <cell r="AA30">
            <v>0</v>
          </cell>
          <cell r="AB30">
            <v>0</v>
          </cell>
          <cell r="AC30">
            <v>152579689.24600491</v>
          </cell>
          <cell r="AD30">
            <v>139217925.56453606</v>
          </cell>
          <cell r="AE30">
            <v>0</v>
          </cell>
          <cell r="AF30">
            <v>-4557</v>
          </cell>
          <cell r="AG30">
            <v>0</v>
          </cell>
        </row>
        <row r="31">
          <cell r="A31">
            <v>210037</v>
          </cell>
          <cell r="B31" t="str">
            <v>Shore Medical Easton</v>
          </cell>
          <cell r="C31">
            <v>3</v>
          </cell>
          <cell r="D31">
            <v>10668.198627397007</v>
          </cell>
          <cell r="E31">
            <v>-314.46803139664826</v>
          </cell>
          <cell r="F31">
            <v>-9.4451424106188195</v>
          </cell>
          <cell r="G31">
            <v>0</v>
          </cell>
          <cell r="H31">
            <v>10668.198627397007</v>
          </cell>
          <cell r="I31">
            <v>13947.800279370002</v>
          </cell>
          <cell r="J31">
            <v>0</v>
          </cell>
          <cell r="K31">
            <v>10668.198627397007</v>
          </cell>
          <cell r="L31">
            <v>148797903.79558265</v>
          </cell>
          <cell r="M31">
            <v>0.99671861092415948</v>
          </cell>
          <cell r="N31">
            <v>148309639.97955987</v>
          </cell>
          <cell r="O31">
            <v>10633.192116962171</v>
          </cell>
          <cell r="P31">
            <v>706256.9</v>
          </cell>
          <cell r="Q31">
            <v>149015896.87955987</v>
          </cell>
          <cell r="R31">
            <v>10683.827836276609</v>
          </cell>
          <cell r="S31">
            <v>1.099095772439604</v>
          </cell>
          <cell r="T31">
            <v>163782742.28662023</v>
          </cell>
          <cell r="U31">
            <v>11742.55000832418</v>
          </cell>
          <cell r="V31">
            <v>0</v>
          </cell>
          <cell r="W31">
            <v>13947.800279370002</v>
          </cell>
          <cell r="X31">
            <v>163782742.28662023</v>
          </cell>
          <cell r="Y31">
            <v>202600336.53343871</v>
          </cell>
          <cell r="Z31">
            <v>-0.1915968892796569</v>
          </cell>
          <cell r="AA31">
            <v>0</v>
          </cell>
          <cell r="AB31">
            <v>0</v>
          </cell>
          <cell r="AC31">
            <v>202600336.53343871</v>
          </cell>
          <cell r="AD31">
            <v>163782742.28662023</v>
          </cell>
          <cell r="AE31">
            <v>0</v>
          </cell>
          <cell r="AF31">
            <v>-3887</v>
          </cell>
          <cell r="AG31">
            <v>0</v>
          </cell>
        </row>
        <row r="32">
          <cell r="A32">
            <v>210038</v>
          </cell>
          <cell r="B32" t="str">
            <v>UMMC Midtown</v>
          </cell>
          <cell r="C32">
            <v>4</v>
          </cell>
          <cell r="D32">
            <v>12721.879942318987</v>
          </cell>
          <cell r="E32">
            <v>-1169.2892917530412</v>
          </cell>
          <cell r="F32">
            <v>-62.938244299189947</v>
          </cell>
          <cell r="G32">
            <v>0</v>
          </cell>
          <cell r="H32">
            <v>12721.879942318987</v>
          </cell>
          <cell r="I32">
            <v>10164.795545526</v>
          </cell>
          <cell r="J32">
            <v>419.16396631843389</v>
          </cell>
          <cell r="K32">
            <v>13141.043908637421</v>
          </cell>
          <cell r="L32">
            <v>133576024.58607922</v>
          </cell>
          <cell r="M32">
            <v>0.99671861092415948</v>
          </cell>
          <cell r="N32">
            <v>133137709.67820826</v>
          </cell>
          <cell r="O32">
            <v>13097.923030710477</v>
          </cell>
          <cell r="P32">
            <v>2306065.8169178362</v>
          </cell>
          <cell r="Q32">
            <v>135443775.4951261</v>
          </cell>
          <cell r="R32">
            <v>13324.790930471909</v>
          </cell>
          <cell r="S32">
            <v>1.1005377242992815</v>
          </cell>
          <cell r="T32">
            <v>149060984.45390886</v>
          </cell>
          <cell r="U32">
            <v>14664.43508738526</v>
          </cell>
          <cell r="V32">
            <v>0</v>
          </cell>
          <cell r="W32">
            <v>10164.795545526</v>
          </cell>
          <cell r="X32">
            <v>149060984.45390886</v>
          </cell>
          <cell r="Y32">
            <v>206176397.46601671</v>
          </cell>
          <cell r="Z32">
            <v>-0.27702207291463599</v>
          </cell>
          <cell r="AA32">
            <v>0</v>
          </cell>
          <cell r="AB32">
            <v>0</v>
          </cell>
          <cell r="AC32">
            <v>206176397.46601671</v>
          </cell>
          <cell r="AD32">
            <v>149060984.45390886</v>
          </cell>
          <cell r="AE32">
            <v>0</v>
          </cell>
          <cell r="AF32">
            <v>-14959</v>
          </cell>
          <cell r="AG32">
            <v>0</v>
          </cell>
        </row>
        <row r="33">
          <cell r="A33">
            <v>210039</v>
          </cell>
          <cell r="B33" t="str">
            <v>Calvert Memorial Hospital</v>
          </cell>
          <cell r="C33">
            <v>3</v>
          </cell>
          <cell r="D33">
            <v>10668.198627397007</v>
          </cell>
          <cell r="E33">
            <v>-553.10170065058617</v>
          </cell>
          <cell r="F33">
            <v>-12.118186656099251</v>
          </cell>
          <cell r="G33">
            <v>0</v>
          </cell>
          <cell r="H33">
            <v>10668.198627397007</v>
          </cell>
          <cell r="I33">
            <v>10174.34254904</v>
          </cell>
          <cell r="J33">
            <v>0</v>
          </cell>
          <cell r="K33">
            <v>10668.198627397007</v>
          </cell>
          <cell r="L33">
            <v>108541907.21633549</v>
          </cell>
          <cell r="M33">
            <v>0.99671861092415948</v>
          </cell>
          <cell r="N33">
            <v>108185738.98772492</v>
          </cell>
          <cell r="O33">
            <v>10633.192116962169</v>
          </cell>
          <cell r="P33">
            <v>0</v>
          </cell>
          <cell r="Q33">
            <v>108185738.98772492</v>
          </cell>
          <cell r="R33">
            <v>10633.192116962169</v>
          </cell>
          <cell r="S33">
            <v>1.0896460964193784</v>
          </cell>
          <cell r="T33">
            <v>117884168.17622021</v>
          </cell>
          <cell r="U33">
            <v>11586.416282725135</v>
          </cell>
          <cell r="V33">
            <v>0</v>
          </cell>
          <cell r="W33">
            <v>10174.34254904</v>
          </cell>
          <cell r="X33">
            <v>117884168.17622021</v>
          </cell>
          <cell r="Y33">
            <v>139359371.57154268</v>
          </cell>
          <cell r="Z33">
            <v>-0.15409945634189215</v>
          </cell>
          <cell r="AA33">
            <v>0</v>
          </cell>
          <cell r="AB33">
            <v>0</v>
          </cell>
          <cell r="AC33">
            <v>139359371.57154268</v>
          </cell>
          <cell r="AD33">
            <v>117884168.17622021</v>
          </cell>
          <cell r="AE33">
            <v>0</v>
          </cell>
          <cell r="AF33">
            <v>-5818</v>
          </cell>
          <cell r="AG33">
            <v>0</v>
          </cell>
        </row>
        <row r="34">
          <cell r="A34">
            <v>210040</v>
          </cell>
          <cell r="B34" t="str">
            <v>Northwest Hospital Center</v>
          </cell>
          <cell r="C34">
            <v>3</v>
          </cell>
          <cell r="D34">
            <v>10668.198627397007</v>
          </cell>
          <cell r="E34">
            <v>-198.40966789067326</v>
          </cell>
          <cell r="F34">
            <v>-7.2711977492227193</v>
          </cell>
          <cell r="G34">
            <v>0</v>
          </cell>
          <cell r="H34">
            <v>10668.198627397007</v>
          </cell>
          <cell r="I34">
            <v>17018.325947789999</v>
          </cell>
          <cell r="J34">
            <v>0</v>
          </cell>
          <cell r="K34">
            <v>10668.198627397007</v>
          </cell>
          <cell r="L34">
            <v>181554881.51680812</v>
          </cell>
          <cell r="M34">
            <v>0.99671861092415948</v>
          </cell>
          <cell r="N34">
            <v>180959129.31193334</v>
          </cell>
          <cell r="O34">
            <v>10633.192116962167</v>
          </cell>
          <cell r="P34">
            <v>0</v>
          </cell>
          <cell r="Q34">
            <v>180959129.31193334</v>
          </cell>
          <cell r="R34">
            <v>10633.192116962167</v>
          </cell>
          <cell r="S34">
            <v>1.0952725835986694</v>
          </cell>
          <cell r="T34">
            <v>198199573.08724692</v>
          </cell>
          <cell r="U34">
            <v>11646.243801846158</v>
          </cell>
          <cell r="V34">
            <v>0</v>
          </cell>
          <cell r="W34">
            <v>17018.325947789999</v>
          </cell>
          <cell r="X34">
            <v>198199573.08724692</v>
          </cell>
          <cell r="Y34">
            <v>258091217.17584682</v>
          </cell>
          <cell r="Z34">
            <v>-0.23205611079664734</v>
          </cell>
          <cell r="AA34">
            <v>0</v>
          </cell>
          <cell r="AB34">
            <v>0</v>
          </cell>
          <cell r="AC34">
            <v>258091217.17584682</v>
          </cell>
          <cell r="AD34">
            <v>198199573.08724692</v>
          </cell>
          <cell r="AE34">
            <v>0</v>
          </cell>
          <cell r="AF34">
            <v>-3917</v>
          </cell>
          <cell r="AG34">
            <v>0</v>
          </cell>
        </row>
        <row r="35">
          <cell r="A35">
            <v>210043</v>
          </cell>
          <cell r="B35" t="str">
            <v>Baltimore Washington Medical Center</v>
          </cell>
          <cell r="C35">
            <v>1</v>
          </cell>
          <cell r="D35">
            <v>10849.063446821609</v>
          </cell>
          <cell r="E35">
            <v>-304.58711923048469</v>
          </cell>
          <cell r="F35">
            <v>-43.418179750348614</v>
          </cell>
          <cell r="G35">
            <v>0</v>
          </cell>
          <cell r="H35">
            <v>10849.063446821609</v>
          </cell>
          <cell r="I35">
            <v>31607.206303679999</v>
          </cell>
          <cell r="J35">
            <v>26.550459977189675</v>
          </cell>
          <cell r="K35">
            <v>10875.613906798799</v>
          </cell>
          <cell r="L35">
            <v>343747772.43136084</v>
          </cell>
          <cell r="M35">
            <v>0.99671861092415948</v>
          </cell>
          <cell r="N35">
            <v>342619802.24606007</v>
          </cell>
          <cell r="O35">
            <v>10839.926786131969</v>
          </cell>
          <cell r="P35">
            <v>580332.93895700003</v>
          </cell>
          <cell r="Q35">
            <v>343200135.18501705</v>
          </cell>
          <cell r="R35">
            <v>10858.287565423287</v>
          </cell>
          <cell r="S35">
            <v>1.094298357272198</v>
          </cell>
          <cell r="T35">
            <v>375563344.14856046</v>
          </cell>
          <cell r="U35">
            <v>11882.206245631838</v>
          </cell>
          <cell r="V35">
            <v>0</v>
          </cell>
          <cell r="W35">
            <v>31607.206303679999</v>
          </cell>
          <cell r="X35">
            <v>375563344.14856046</v>
          </cell>
          <cell r="Y35">
            <v>412066564.11851323</v>
          </cell>
          <cell r="Z35">
            <v>-8.8585736258509407E-2</v>
          </cell>
          <cell r="AA35">
            <v>0</v>
          </cell>
          <cell r="AB35">
            <v>0</v>
          </cell>
          <cell r="AC35">
            <v>412066564.11851323</v>
          </cell>
          <cell r="AD35">
            <v>375563344.14856046</v>
          </cell>
          <cell r="AE35">
            <v>0</v>
          </cell>
          <cell r="AF35">
            <v>-9525</v>
          </cell>
          <cell r="AG35">
            <v>0</v>
          </cell>
        </row>
        <row r="36">
          <cell r="A36">
            <v>210044</v>
          </cell>
          <cell r="B36" t="str">
            <v>Greater Baltimore Medical Center</v>
          </cell>
          <cell r="C36">
            <v>1</v>
          </cell>
          <cell r="D36">
            <v>10849.063446821609</v>
          </cell>
          <cell r="E36">
            <v>-235.32733034800097</v>
          </cell>
          <cell r="F36">
            <v>-34.316417825326567</v>
          </cell>
          <cell r="G36">
            <v>0</v>
          </cell>
          <cell r="H36">
            <v>10849.063446821609</v>
          </cell>
          <cell r="I36">
            <v>32333.7153913</v>
          </cell>
          <cell r="J36">
            <v>204.81737464026975</v>
          </cell>
          <cell r="K36">
            <v>11053.880821461878</v>
          </cell>
          <cell r="L36">
            <v>357413036.45049781</v>
          </cell>
          <cell r="M36">
            <v>0.99671861092415948</v>
          </cell>
          <cell r="N36">
            <v>356240225.21712613</v>
          </cell>
          <cell r="O36">
            <v>11017.60873768869</v>
          </cell>
          <cell r="P36">
            <v>4194803.620875</v>
          </cell>
          <cell r="Q36">
            <v>360435028.83800113</v>
          </cell>
          <cell r="R36">
            <v>11147.34339917469</v>
          </cell>
          <cell r="S36">
            <v>1.0887795174128592</v>
          </cell>
          <cell r="T36">
            <v>392434276.75692886</v>
          </cell>
          <cell r="U36">
            <v>12136.999166588841</v>
          </cell>
          <cell r="V36">
            <v>0</v>
          </cell>
          <cell r="W36">
            <v>32333.7153913</v>
          </cell>
          <cell r="X36">
            <v>392434276.75692886</v>
          </cell>
          <cell r="Y36">
            <v>439779748.07183248</v>
          </cell>
          <cell r="Z36">
            <v>-0.10765723415524431</v>
          </cell>
          <cell r="AA36">
            <v>0</v>
          </cell>
          <cell r="AB36">
            <v>0</v>
          </cell>
          <cell r="AC36">
            <v>439779748.07183248</v>
          </cell>
          <cell r="AD36">
            <v>392434276.75692886</v>
          </cell>
          <cell r="AE36">
            <v>0</v>
          </cell>
          <cell r="AF36">
            <v>-7678</v>
          </cell>
          <cell r="AG36">
            <v>0</v>
          </cell>
        </row>
        <row r="37">
          <cell r="A37">
            <v>210045</v>
          </cell>
          <cell r="B37" t="str">
            <v>McCready Memorial Hospital</v>
          </cell>
          <cell r="C37">
            <v>3</v>
          </cell>
          <cell r="D37">
            <v>10668.198627397007</v>
          </cell>
          <cell r="E37">
            <v>-593.72438020836671</v>
          </cell>
          <cell r="F37">
            <v>-1.2243401076966016</v>
          </cell>
          <cell r="G37">
            <v>0</v>
          </cell>
          <cell r="H37">
            <v>10668.198627397007</v>
          </cell>
          <cell r="I37">
            <v>957.61492310599999</v>
          </cell>
          <cell r="J37">
            <v>0</v>
          </cell>
          <cell r="K37">
            <v>10668.198627397007</v>
          </cell>
          <cell r="L37">
            <v>10216026.208254319</v>
          </cell>
          <cell r="M37">
            <v>0.99671861092415948</v>
          </cell>
          <cell r="N37">
            <v>10182503.451456053</v>
          </cell>
          <cell r="O37">
            <v>10633.192116962169</v>
          </cell>
          <cell r="P37">
            <v>0</v>
          </cell>
          <cell r="Q37">
            <v>10182503.451456053</v>
          </cell>
          <cell r="R37">
            <v>10633.192116962169</v>
          </cell>
          <cell r="S37">
            <v>1.1000451041903196</v>
          </cell>
          <cell r="T37">
            <v>11201213.070175264</v>
          </cell>
          <cell r="U37">
            <v>11696.990930179336</v>
          </cell>
          <cell r="V37">
            <v>0</v>
          </cell>
          <cell r="W37">
            <v>957.61492310599999</v>
          </cell>
          <cell r="X37">
            <v>11201213.070175264</v>
          </cell>
          <cell r="Y37">
            <v>15462743.822052859</v>
          </cell>
          <cell r="Z37">
            <v>-0.27559990651852029</v>
          </cell>
          <cell r="AA37">
            <v>0</v>
          </cell>
          <cell r="AB37">
            <v>0</v>
          </cell>
          <cell r="AC37">
            <v>15462743.822052859</v>
          </cell>
          <cell r="AD37">
            <v>11201213.070175264</v>
          </cell>
          <cell r="AE37">
            <v>0</v>
          </cell>
          <cell r="AF37">
            <v>-1290</v>
          </cell>
          <cell r="AG37">
            <v>0</v>
          </cell>
        </row>
        <row r="38">
          <cell r="A38">
            <v>210048</v>
          </cell>
          <cell r="B38" t="str">
            <v>Howard County General Hospital</v>
          </cell>
          <cell r="C38">
            <v>3</v>
          </cell>
          <cell r="D38">
            <v>10668.198627397007</v>
          </cell>
          <cell r="E38">
            <v>203.4141028993657</v>
          </cell>
          <cell r="F38">
            <v>10.798660021637101</v>
          </cell>
          <cell r="G38">
            <v>0</v>
          </cell>
          <cell r="H38">
            <v>10668.198627397007</v>
          </cell>
          <cell r="I38">
            <v>24652.588137224298</v>
          </cell>
          <cell r="J38">
            <v>0</v>
          </cell>
          <cell r="K38">
            <v>10668.198627397007</v>
          </cell>
          <cell r="L38">
            <v>262998706.92732</v>
          </cell>
          <cell r="M38">
            <v>0.99671861092415948</v>
          </cell>
          <cell r="N38">
            <v>262135705.84344852</v>
          </cell>
          <cell r="O38">
            <v>10633.192116962171</v>
          </cell>
          <cell r="P38">
            <v>0</v>
          </cell>
          <cell r="Q38">
            <v>262135705.84344852</v>
          </cell>
          <cell r="R38">
            <v>10633.192116962171</v>
          </cell>
          <cell r="S38">
            <v>1.0884353028263278</v>
          </cell>
          <cell r="T38">
            <v>285317756.37130708</v>
          </cell>
          <cell r="U38">
            <v>11573.541681836241</v>
          </cell>
          <cell r="V38">
            <v>0</v>
          </cell>
          <cell r="W38">
            <v>24652.588137224298</v>
          </cell>
          <cell r="X38">
            <v>285317756.37130708</v>
          </cell>
          <cell r="Y38">
            <v>299605256.13226223</v>
          </cell>
          <cell r="Z38">
            <v>-4.7687747355967147E-2</v>
          </cell>
          <cell r="AA38">
            <v>0</v>
          </cell>
          <cell r="AB38">
            <v>0</v>
          </cell>
          <cell r="AC38">
            <v>299605256.13226223</v>
          </cell>
          <cell r="AD38">
            <v>285317756.37130708</v>
          </cell>
          <cell r="AE38">
            <v>0</v>
          </cell>
          <cell r="AF38">
            <v>3033</v>
          </cell>
          <cell r="AG38">
            <v>0</v>
          </cell>
        </row>
        <row r="39">
          <cell r="A39">
            <v>210049</v>
          </cell>
          <cell r="B39" t="str">
            <v>Upper Chesapeake Medical Center</v>
          </cell>
          <cell r="C39">
            <v>3</v>
          </cell>
          <cell r="D39">
            <v>10668.198627397007</v>
          </cell>
          <cell r="E39">
            <v>-55.248029770904616</v>
          </cell>
          <cell r="F39">
            <v>-2.9497819679606661</v>
          </cell>
          <cell r="G39">
            <v>0</v>
          </cell>
          <cell r="H39">
            <v>10668.198627397007</v>
          </cell>
          <cell r="I39">
            <v>24794.013477299999</v>
          </cell>
          <cell r="J39">
            <v>0</v>
          </cell>
          <cell r="K39">
            <v>10668.198627397007</v>
          </cell>
          <cell r="L39">
            <v>264507460.54619473</v>
          </cell>
          <cell r="M39">
            <v>0.99671861092415948</v>
          </cell>
          <cell r="N39">
            <v>263639508.65468013</v>
          </cell>
          <cell r="O39">
            <v>10633.192116962169</v>
          </cell>
          <cell r="P39">
            <v>0</v>
          </cell>
          <cell r="Q39">
            <v>263639508.65468013</v>
          </cell>
          <cell r="R39">
            <v>10633.192116962169</v>
          </cell>
          <cell r="S39">
            <v>1.0914316135844762</v>
          </cell>
          <cell r="T39">
            <v>287744494.33559602</v>
          </cell>
          <cell r="U39">
            <v>11605.402029769753</v>
          </cell>
          <cell r="V39">
            <v>0</v>
          </cell>
          <cell r="W39">
            <v>24794.013477299999</v>
          </cell>
          <cell r="X39">
            <v>287744494.33559602</v>
          </cell>
          <cell r="Y39">
            <v>329575191.09886593</v>
          </cell>
          <cell r="Z39">
            <v>-0.12692307519810109</v>
          </cell>
          <cell r="AA39">
            <v>0</v>
          </cell>
          <cell r="AB39">
            <v>0</v>
          </cell>
          <cell r="AC39">
            <v>329575191.09886593</v>
          </cell>
          <cell r="AD39">
            <v>287744494.33559602</v>
          </cell>
          <cell r="AE39">
            <v>0</v>
          </cell>
          <cell r="AF39">
            <v>-1507</v>
          </cell>
          <cell r="AG39">
            <v>0</v>
          </cell>
        </row>
        <row r="40">
          <cell r="A40">
            <v>210051</v>
          </cell>
          <cell r="B40" t="str">
            <v>Doctors Community Hospital</v>
          </cell>
          <cell r="C40">
            <v>3</v>
          </cell>
          <cell r="D40">
            <v>10668.198627397007</v>
          </cell>
          <cell r="E40">
            <v>73.590593649828406</v>
          </cell>
          <cell r="F40">
            <v>2.7589110292908585</v>
          </cell>
          <cell r="G40">
            <v>0</v>
          </cell>
          <cell r="H40">
            <v>10668.198627397007</v>
          </cell>
          <cell r="I40">
            <v>17409.612329403</v>
          </cell>
          <cell r="J40">
            <v>0</v>
          </cell>
          <cell r="K40">
            <v>10668.198627397007</v>
          </cell>
          <cell r="L40">
            <v>185729202.35605109</v>
          </cell>
          <cell r="M40">
            <v>1.0181752931904677</v>
          </cell>
          <cell r="N40">
            <v>189104885.06290403</v>
          </cell>
          <cell r="O40">
            <v>10862.096265264092</v>
          </cell>
          <cell r="P40">
            <v>0</v>
          </cell>
          <cell r="Q40">
            <v>189104885.06290403</v>
          </cell>
          <cell r="R40">
            <v>10862.096265264092</v>
          </cell>
          <cell r="S40">
            <v>1.0948838628738018</v>
          </cell>
          <cell r="T40">
            <v>207047887.04597867</v>
          </cell>
          <cell r="U40">
            <v>11892.733917819445</v>
          </cell>
          <cell r="V40">
            <v>0</v>
          </cell>
          <cell r="W40">
            <v>17409.612329403</v>
          </cell>
          <cell r="X40">
            <v>207047887.04597867</v>
          </cell>
          <cell r="Y40">
            <v>247258500.24563602</v>
          </cell>
          <cell r="Z40">
            <v>-0.16262580724104769</v>
          </cell>
          <cell r="AA40">
            <v>0</v>
          </cell>
          <cell r="AB40">
            <v>0</v>
          </cell>
          <cell r="AC40">
            <v>247258500.24563602</v>
          </cell>
          <cell r="AD40">
            <v>207047887.04597867</v>
          </cell>
          <cell r="AE40">
            <v>0</v>
          </cell>
          <cell r="AF40">
            <v>540</v>
          </cell>
          <cell r="AG40">
            <v>0</v>
          </cell>
        </row>
        <row r="41">
          <cell r="A41">
            <v>210055</v>
          </cell>
          <cell r="B41" t="str">
            <v>Laurel Regional Hospital</v>
          </cell>
          <cell r="C41">
            <v>3</v>
          </cell>
          <cell r="D41">
            <v>10668.198627397007</v>
          </cell>
          <cell r="E41">
            <v>-598.28717547548786</v>
          </cell>
          <cell r="F41">
            <v>-7.8629089400653376</v>
          </cell>
          <cell r="G41">
            <v>0</v>
          </cell>
          <cell r="H41">
            <v>10668.198627397007</v>
          </cell>
          <cell r="I41">
            <v>6103.0547220600001</v>
          </cell>
          <cell r="J41">
            <v>0</v>
          </cell>
          <cell r="K41">
            <v>10668.198627397007</v>
          </cell>
          <cell r="L41">
            <v>65108600.008809313</v>
          </cell>
          <cell r="M41">
            <v>1.0181752931904677</v>
          </cell>
          <cell r="N41">
            <v>66291967.903190315</v>
          </cell>
          <cell r="O41">
            <v>10862.096265264094</v>
          </cell>
          <cell r="P41">
            <v>0</v>
          </cell>
          <cell r="Q41">
            <v>66291967.903190315</v>
          </cell>
          <cell r="R41">
            <v>10862.096265264094</v>
          </cell>
          <cell r="S41">
            <v>1.0934308630702625</v>
          </cell>
          <cell r="T41">
            <v>72485683.679011524</v>
          </cell>
          <cell r="U41">
            <v>11876.951294079992</v>
          </cell>
          <cell r="V41">
            <v>0</v>
          </cell>
          <cell r="W41">
            <v>6103.0547220600001</v>
          </cell>
          <cell r="X41">
            <v>72485683.679011524</v>
          </cell>
          <cell r="Y41">
            <v>90639236.700118735</v>
          </cell>
          <cell r="Z41">
            <v>-0.20028360434199721</v>
          </cell>
          <cell r="AA41">
            <v>0</v>
          </cell>
          <cell r="AB41">
            <v>0</v>
          </cell>
          <cell r="AC41">
            <v>90639236.700118735</v>
          </cell>
          <cell r="AD41">
            <v>72485683.679011524</v>
          </cell>
          <cell r="AE41">
            <v>0</v>
          </cell>
          <cell r="AF41">
            <v>-5288</v>
          </cell>
          <cell r="AG41">
            <v>0</v>
          </cell>
        </row>
        <row r="42">
          <cell r="A42">
            <v>210056</v>
          </cell>
          <cell r="B42" t="str">
            <v>Good Samaritan Hospital</v>
          </cell>
          <cell r="C42">
            <v>1</v>
          </cell>
          <cell r="D42">
            <v>10849.063446821609</v>
          </cell>
          <cell r="E42">
            <v>-1150.1793616439845</v>
          </cell>
          <cell r="F42">
            <v>-82.067310333001103</v>
          </cell>
          <cell r="G42">
            <v>0</v>
          </cell>
          <cell r="H42">
            <v>10849.063446821609</v>
          </cell>
          <cell r="I42">
            <v>15820.880924579998</v>
          </cell>
          <cell r="J42">
            <v>310.68001358676696</v>
          </cell>
          <cell r="K42">
            <v>11159.743460408376</v>
          </cell>
          <cell r="L42">
            <v>176556972.43598124</v>
          </cell>
          <cell r="M42">
            <v>0.99671861092415948</v>
          </cell>
          <cell r="N42">
            <v>175977620.31536633</v>
          </cell>
          <cell r="O42">
            <v>11123.124000128208</v>
          </cell>
          <cell r="P42">
            <v>4806656.7515949998</v>
          </cell>
          <cell r="Q42">
            <v>180784277.06696132</v>
          </cell>
          <cell r="R42">
            <v>11426.941263813389</v>
          </cell>
          <cell r="S42">
            <v>1.1002376998134848</v>
          </cell>
          <cell r="T42">
            <v>198905677.16259727</v>
          </cell>
          <cell r="U42">
            <v>12572.35157200184</v>
          </cell>
          <cell r="V42">
            <v>0</v>
          </cell>
          <cell r="W42">
            <v>15820.880924579998</v>
          </cell>
          <cell r="X42">
            <v>198905677.16259727</v>
          </cell>
          <cell r="Y42">
            <v>257948337.17380878</v>
          </cell>
          <cell r="Z42">
            <v>-0.22889335383242981</v>
          </cell>
          <cell r="AA42">
            <v>0</v>
          </cell>
          <cell r="AB42">
            <v>0</v>
          </cell>
          <cell r="AC42">
            <v>257948337.17380878</v>
          </cell>
          <cell r="AD42">
            <v>198905677.16259727</v>
          </cell>
          <cell r="AE42">
            <v>0</v>
          </cell>
          <cell r="AF42">
            <v>-25685</v>
          </cell>
          <cell r="AG42">
            <v>0</v>
          </cell>
        </row>
        <row r="43">
          <cell r="A43">
            <v>210057</v>
          </cell>
          <cell r="B43" t="str">
            <v>Shady Grove Adventist Hospital</v>
          </cell>
          <cell r="C43">
            <v>3</v>
          </cell>
          <cell r="D43">
            <v>10668.198627397007</v>
          </cell>
          <cell r="E43">
            <v>-775.11925194835555</v>
          </cell>
          <cell r="F43">
            <v>-47.776944217003084</v>
          </cell>
          <cell r="G43">
            <v>0</v>
          </cell>
          <cell r="H43">
            <v>10668.198627397007</v>
          </cell>
          <cell r="I43">
            <v>28623.554037360002</v>
          </cell>
          <cell r="J43">
            <v>0</v>
          </cell>
          <cell r="K43">
            <v>10668.198627397007</v>
          </cell>
          <cell r="L43">
            <v>305361759.89258802</v>
          </cell>
          <cell r="M43">
            <v>1.0181752931904677</v>
          </cell>
          <cell r="N43">
            <v>310911799.40779305</v>
          </cell>
          <cell r="O43">
            <v>10862.096265264094</v>
          </cell>
          <cell r="P43">
            <v>0</v>
          </cell>
          <cell r="Q43">
            <v>310911799.40779305</v>
          </cell>
          <cell r="R43">
            <v>10862.096265264094</v>
          </cell>
          <cell r="S43">
            <v>1.0890453925126413</v>
          </cell>
          <cell r="T43">
            <v>338597062.62287158</v>
          </cell>
          <cell r="U43">
            <v>11829.31589071463</v>
          </cell>
          <cell r="V43">
            <v>0</v>
          </cell>
          <cell r="W43">
            <v>28623.554037360002</v>
          </cell>
          <cell r="X43">
            <v>338597062.62287158</v>
          </cell>
          <cell r="Y43">
            <v>387000693.49878412</v>
          </cell>
          <cell r="Z43">
            <v>-0.12507375746101768</v>
          </cell>
          <cell r="AA43">
            <v>0</v>
          </cell>
          <cell r="AB43">
            <v>0</v>
          </cell>
          <cell r="AC43">
            <v>387000693.49878412</v>
          </cell>
          <cell r="AD43">
            <v>338597062.62287158</v>
          </cell>
          <cell r="AE43">
            <v>0</v>
          </cell>
          <cell r="AF43">
            <v>-20086</v>
          </cell>
          <cell r="AG43">
            <v>0</v>
          </cell>
        </row>
        <row r="44">
          <cell r="A44">
            <v>210058</v>
          </cell>
          <cell r="B44" t="str">
            <v>Rehab &amp; Ortho Institue</v>
          </cell>
          <cell r="C44">
            <v>1</v>
          </cell>
          <cell r="D44">
            <v>10849.063446821609</v>
          </cell>
          <cell r="E44">
            <v>-105.13702707940239</v>
          </cell>
          <cell r="F44">
            <v>-2.936297359800109</v>
          </cell>
          <cell r="G44">
            <v>0</v>
          </cell>
          <cell r="H44">
            <v>10849.063446821609</v>
          </cell>
          <cell r="I44">
            <v>6192.5621560849995</v>
          </cell>
          <cell r="J44">
            <v>246.97650828037641</v>
          </cell>
          <cell r="K44">
            <v>11096.039955101985</v>
          </cell>
          <cell r="L44">
            <v>68712917.108371645</v>
          </cell>
          <cell r="M44">
            <v>0.99671861092415948</v>
          </cell>
          <cell r="N44">
            <v>68487443.292803094</v>
          </cell>
          <cell r="O44">
            <v>11059.629530808223</v>
          </cell>
          <cell r="P44">
            <v>2472404.4627116672</v>
          </cell>
          <cell r="Q44">
            <v>70959847.755514756</v>
          </cell>
          <cell r="R44">
            <v>11458.883409961005</v>
          </cell>
          <cell r="S44">
            <v>1.0908060537691864</v>
          </cell>
          <cell r="T44">
            <v>77403431.506255314</v>
          </cell>
          <cell r="U44">
            <v>12499.419393020764</v>
          </cell>
          <cell r="V44">
            <v>0</v>
          </cell>
          <cell r="W44">
            <v>6192.5621560849995</v>
          </cell>
          <cell r="X44">
            <v>77403431.506255314</v>
          </cell>
          <cell r="Y44">
            <v>102774155.91278869</v>
          </cell>
          <cell r="Z44">
            <v>-0.24685899077645812</v>
          </cell>
          <cell r="AA44">
            <v>0</v>
          </cell>
          <cell r="AB44">
            <v>0</v>
          </cell>
          <cell r="AC44">
            <v>102774155.91278869</v>
          </cell>
          <cell r="AD44">
            <v>77403431.506255314</v>
          </cell>
          <cell r="AE44">
            <v>0</v>
          </cell>
          <cell r="AF44">
            <v>-1103</v>
          </cell>
          <cell r="AG44">
            <v>0</v>
          </cell>
        </row>
        <row r="45">
          <cell r="A45">
            <v>210060</v>
          </cell>
          <cell r="B45" t="str">
            <v>Fort Washington Medical Center</v>
          </cell>
          <cell r="C45">
            <v>3</v>
          </cell>
          <cell r="D45">
            <v>10668.198627397007</v>
          </cell>
          <cell r="E45">
            <v>-611.66692614426222</v>
          </cell>
          <cell r="F45">
            <v>-5.5216752292362745</v>
          </cell>
          <cell r="G45">
            <v>0</v>
          </cell>
          <cell r="H45">
            <v>10668.198627397007</v>
          </cell>
          <cell r="I45">
            <v>4192.0801006230995</v>
          </cell>
          <cell r="J45">
            <v>0</v>
          </cell>
          <cell r="K45">
            <v>10668.198627397007</v>
          </cell>
          <cell r="L45">
            <v>44721943.175405659</v>
          </cell>
          <cell r="M45">
            <v>1.0181752931904677</v>
          </cell>
          <cell r="N45">
            <v>45534777.604666092</v>
          </cell>
          <cell r="O45">
            <v>10862.096265264092</v>
          </cell>
          <cell r="P45">
            <v>0</v>
          </cell>
          <cell r="Q45">
            <v>45534777.604666092</v>
          </cell>
          <cell r="R45">
            <v>10862.096265264092</v>
          </cell>
          <cell r="S45">
            <v>1.096862268780789</v>
          </cell>
          <cell r="T45">
            <v>49945379.471882708</v>
          </cell>
          <cell r="U45">
            <v>11914.223553232907</v>
          </cell>
          <cell r="V45">
            <v>0</v>
          </cell>
          <cell r="W45">
            <v>4192.0801006230995</v>
          </cell>
          <cell r="X45">
            <v>49945379.471882708</v>
          </cell>
          <cell r="Y45">
            <v>50264328.64160946</v>
          </cell>
          <cell r="Z45">
            <v>-6.3454377755822744E-3</v>
          </cell>
          <cell r="AA45">
            <v>0</v>
          </cell>
          <cell r="AB45">
            <v>0</v>
          </cell>
          <cell r="AC45">
            <v>50264328.64160946</v>
          </cell>
          <cell r="AD45">
            <v>49945379.471882708</v>
          </cell>
          <cell r="AE45">
            <v>0</v>
          </cell>
          <cell r="AF45">
            <v>-3043</v>
          </cell>
          <cell r="AG45">
            <v>0</v>
          </cell>
        </row>
        <row r="46">
          <cell r="A46">
            <v>210061</v>
          </cell>
          <cell r="B46" t="str">
            <v>Atlantic General Hospital</v>
          </cell>
          <cell r="C46">
            <v>3</v>
          </cell>
          <cell r="D46">
            <v>10668.198627397007</v>
          </cell>
          <cell r="E46">
            <v>-272.7963965922969</v>
          </cell>
          <cell r="F46">
            <v>-5.1558398533936245</v>
          </cell>
          <cell r="G46">
            <v>0</v>
          </cell>
          <cell r="H46">
            <v>10668.198627397007</v>
          </cell>
          <cell r="I46">
            <v>8776.7656297799986</v>
          </cell>
          <cell r="J46">
            <v>0</v>
          </cell>
          <cell r="K46">
            <v>10668.198627397007</v>
          </cell>
          <cell r="L46">
            <v>93632279.044604212</v>
          </cell>
          <cell r="M46">
            <v>0.98428319730495717</v>
          </cell>
          <cell r="N46">
            <v>92160678.988972977</v>
          </cell>
          <cell r="O46">
            <v>10500.528654458682</v>
          </cell>
          <cell r="P46">
            <v>0</v>
          </cell>
          <cell r="Q46">
            <v>92160678.988972977</v>
          </cell>
          <cell r="R46">
            <v>10500.528654458682</v>
          </cell>
          <cell r="S46">
            <v>1.0953665287762928</v>
          </cell>
          <cell r="T46">
            <v>100949723.03381756</v>
          </cell>
          <cell r="U46">
            <v>11501.927622550404</v>
          </cell>
          <cell r="V46">
            <v>0</v>
          </cell>
          <cell r="W46">
            <v>8776.7656297799986</v>
          </cell>
          <cell r="X46">
            <v>100949723.03381756</v>
          </cell>
          <cell r="Y46">
            <v>102888541.75293577</v>
          </cell>
          <cell r="Z46">
            <v>-1.8843874022180795E-2</v>
          </cell>
          <cell r="AA46">
            <v>0</v>
          </cell>
          <cell r="AB46">
            <v>0</v>
          </cell>
          <cell r="AC46">
            <v>102888541.75293577</v>
          </cell>
          <cell r="AD46">
            <v>100949723.03381756</v>
          </cell>
          <cell r="AE46">
            <v>0</v>
          </cell>
          <cell r="AF46">
            <v>-2384</v>
          </cell>
          <cell r="AG46">
            <v>0</v>
          </cell>
        </row>
        <row r="47">
          <cell r="A47">
            <v>210062</v>
          </cell>
          <cell r="B47" t="str">
            <v>Southern Maryland Hospital Center</v>
          </cell>
          <cell r="C47">
            <v>3</v>
          </cell>
          <cell r="D47">
            <v>10668.198627397007</v>
          </cell>
          <cell r="E47">
            <v>-583.36242546879998</v>
          </cell>
          <cell r="F47">
            <v>-20.958936607746711</v>
          </cell>
          <cell r="G47">
            <v>0</v>
          </cell>
          <cell r="H47">
            <v>10668.198627397007</v>
          </cell>
          <cell r="I47">
            <v>16684.166027799401</v>
          </cell>
          <cell r="J47">
            <v>0</v>
          </cell>
          <cell r="K47">
            <v>10668.198627397007</v>
          </cell>
          <cell r="L47">
            <v>177989997.11703336</v>
          </cell>
          <cell r="M47">
            <v>1.0181752931904677</v>
          </cell>
          <cell r="N47">
            <v>181225017.49960595</v>
          </cell>
          <cell r="O47">
            <v>10862.096265264094</v>
          </cell>
          <cell r="P47">
            <v>0</v>
          </cell>
          <cell r="Q47">
            <v>181225017.49960595</v>
          </cell>
          <cell r="R47">
            <v>10862.096265264094</v>
          </cell>
          <cell r="S47">
            <v>1.0939101007183893</v>
          </cell>
          <cell r="T47">
            <v>198243877.14568582</v>
          </cell>
          <cell r="U47">
            <v>11882.156819547887</v>
          </cell>
          <cell r="V47">
            <v>0</v>
          </cell>
          <cell r="W47">
            <v>16684.166027799401</v>
          </cell>
          <cell r="X47">
            <v>198243877.14568582</v>
          </cell>
          <cell r="Y47">
            <v>269620713.14933592</v>
          </cell>
          <cell r="Z47">
            <v>-0.26473053635206556</v>
          </cell>
          <cell r="AA47">
            <v>0</v>
          </cell>
          <cell r="AB47">
            <v>0</v>
          </cell>
          <cell r="AC47">
            <v>269620713.14933592</v>
          </cell>
          <cell r="AD47">
            <v>198243877.14568582</v>
          </cell>
          <cell r="AE47">
            <v>0</v>
          </cell>
          <cell r="AF47">
            <v>-10847</v>
          </cell>
          <cell r="AG47">
            <v>0</v>
          </cell>
        </row>
        <row r="48">
          <cell r="A48">
            <v>210063</v>
          </cell>
          <cell r="B48" t="str">
            <v>St. Joseph Medical Center</v>
          </cell>
          <cell r="C48">
            <v>3</v>
          </cell>
          <cell r="D48">
            <v>10668.198627397007</v>
          </cell>
          <cell r="E48">
            <v>-529.70641292189759</v>
          </cell>
          <cell r="F48">
            <v>-33.677164937311069</v>
          </cell>
          <cell r="G48">
            <v>0</v>
          </cell>
          <cell r="H48">
            <v>10668.198627397007</v>
          </cell>
          <cell r="I48">
            <v>29523.918966599998</v>
          </cell>
          <cell r="J48">
            <v>0</v>
          </cell>
          <cell r="K48">
            <v>10668.198627397007</v>
          </cell>
          <cell r="L48">
            <v>314967031.79486257</v>
          </cell>
          <cell r="M48">
            <v>0.99671861092415948</v>
          </cell>
          <cell r="N48">
            <v>313933502.41748101</v>
          </cell>
          <cell r="O48">
            <v>10633.192116962171</v>
          </cell>
          <cell r="P48">
            <v>0</v>
          </cell>
          <cell r="Q48">
            <v>313933502.41748101</v>
          </cell>
          <cell r="R48">
            <v>10633.192116962171</v>
          </cell>
          <cell r="S48">
            <v>1.0907090025928348</v>
          </cell>
          <cell r="T48">
            <v>342410097.30224597</v>
          </cell>
          <cell r="U48">
            <v>11597.718368269801</v>
          </cell>
          <cell r="V48">
            <v>0</v>
          </cell>
          <cell r="W48">
            <v>29523.918966599998</v>
          </cell>
          <cell r="X48">
            <v>342410097.30224597</v>
          </cell>
          <cell r="Y48">
            <v>389751844.31008106</v>
          </cell>
          <cell r="Z48">
            <v>-0.12146638354370598</v>
          </cell>
          <cell r="AA48">
            <v>0</v>
          </cell>
          <cell r="AB48">
            <v>0</v>
          </cell>
          <cell r="AC48">
            <v>389751844.31008106</v>
          </cell>
          <cell r="AD48">
            <v>342410097.30224597</v>
          </cell>
          <cell r="AE48">
            <v>0</v>
          </cell>
          <cell r="AF48">
            <v>-13805</v>
          </cell>
          <cell r="AG48">
            <v>0</v>
          </cell>
        </row>
        <row r="49">
          <cell r="A49">
            <v>210065</v>
          </cell>
          <cell r="B49" t="str">
            <v>Holy Cross Germantown</v>
          </cell>
          <cell r="C49" t="str">
            <v>NA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7572.3854140699004</v>
          </cell>
          <cell r="J49">
            <v>0</v>
          </cell>
          <cell r="K49">
            <v>0</v>
          </cell>
          <cell r="L49">
            <v>0</v>
          </cell>
          <cell r="M49">
            <v>1.0181752931904677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1.1067032263879555</v>
          </cell>
          <cell r="T49">
            <v>0</v>
          </cell>
          <cell r="U49">
            <v>0</v>
          </cell>
          <cell r="V49">
            <v>0</v>
          </cell>
          <cell r="W49">
            <v>7572.3854140699004</v>
          </cell>
          <cell r="X49">
            <v>0</v>
          </cell>
          <cell r="Y49">
            <v>103673184.5136797</v>
          </cell>
          <cell r="Z49">
            <v>-1</v>
          </cell>
          <cell r="AA49">
            <v>0</v>
          </cell>
          <cell r="AB49">
            <v>0</v>
          </cell>
          <cell r="AC49">
            <v>103673184.5136797</v>
          </cell>
          <cell r="AD49">
            <v>0</v>
          </cell>
          <cell r="AE49">
            <v>0</v>
          </cell>
          <cell r="AF49">
            <v>17387</v>
          </cell>
          <cell r="AG49">
            <v>0</v>
          </cell>
        </row>
        <row r="50">
          <cell r="A50">
            <v>910003</v>
          </cell>
          <cell r="B50" t="str">
            <v>Prince Georges Hospital</v>
          </cell>
          <cell r="C50">
            <v>5</v>
          </cell>
          <cell r="D50">
            <v>14181.014971417038</v>
          </cell>
          <cell r="E50">
            <v>-603.41902445148639</v>
          </cell>
          <cell r="F50">
            <v>-34.071280731112033</v>
          </cell>
          <cell r="G50">
            <v>0</v>
          </cell>
          <cell r="H50">
            <v>14181.014971417038</v>
          </cell>
          <cell r="I50">
            <v>18351.342086531</v>
          </cell>
          <cell r="J50">
            <v>313.56929315721459</v>
          </cell>
          <cell r="K50">
            <v>14494.584264574252</v>
          </cell>
          <cell r="L50">
            <v>265995074.24125147</v>
          </cell>
          <cell r="M50">
            <v>1.0181752931904677</v>
          </cell>
          <cell r="N50">
            <v>270829612.70280647</v>
          </cell>
          <cell r="O50">
            <v>14758.027583256831</v>
          </cell>
          <cell r="P50">
            <v>10185974.57290497</v>
          </cell>
          <cell r="Q50">
            <v>281015587.27571142</v>
          </cell>
          <cell r="R50">
            <v>15313.080969808922</v>
          </cell>
          <cell r="S50">
            <v>1.0963306121172727</v>
          </cell>
          <cell r="T50">
            <v>308085990.81247556</v>
          </cell>
          <cell r="U50">
            <v>16788.199433031976</v>
          </cell>
          <cell r="V50">
            <v>0</v>
          </cell>
          <cell r="W50">
            <v>18351.342086531</v>
          </cell>
          <cell r="X50">
            <v>308085990.81247556</v>
          </cell>
          <cell r="Y50">
            <v>295344174.70824897</v>
          </cell>
          <cell r="Z50">
            <v>4.314226314710079E-2</v>
          </cell>
          <cell r="AA50">
            <v>0</v>
          </cell>
          <cell r="AB50">
            <v>0</v>
          </cell>
          <cell r="AC50">
            <v>295344174.70824897</v>
          </cell>
          <cell r="AD50">
            <v>308085990.81247556</v>
          </cell>
          <cell r="AE50">
            <v>0</v>
          </cell>
          <cell r="AF50">
            <v>-8313</v>
          </cell>
          <cell r="AG50">
            <v>0</v>
          </cell>
        </row>
        <row r="51">
          <cell r="A51">
            <v>910008</v>
          </cell>
          <cell r="B51" t="str">
            <v>Mercy Medical Center</v>
          </cell>
          <cell r="C51">
            <v>5</v>
          </cell>
          <cell r="D51">
            <v>14181.014971417038</v>
          </cell>
          <cell r="E51">
            <v>-358.46385955885421</v>
          </cell>
          <cell r="F51">
            <v>-40.651402891643983</v>
          </cell>
          <cell r="G51">
            <v>0</v>
          </cell>
          <cell r="H51">
            <v>14181.014971417038</v>
          </cell>
          <cell r="I51">
            <v>36857.725540600004</v>
          </cell>
          <cell r="J51">
            <v>170.11134473669281</v>
          </cell>
          <cell r="K51">
            <v>14351.126316153732</v>
          </cell>
          <cell r="L51">
            <v>528949874.95927626</v>
          </cell>
          <cell r="M51">
            <v>0.99671861092415948</v>
          </cell>
          <cell r="N51">
            <v>527214184.61791766</v>
          </cell>
          <cell r="O51">
            <v>14304.034687033896</v>
          </cell>
          <cell r="P51">
            <v>4838568.8813399989</v>
          </cell>
          <cell r="Q51">
            <v>532052753.49925768</v>
          </cell>
          <cell r="R51">
            <v>14435.31161230185</v>
          </cell>
          <cell r="S51">
            <v>1.0915692701204411</v>
          </cell>
          <cell r="T51">
            <v>580772435.80275571</v>
          </cell>
          <cell r="U51">
            <v>15757.142560601458</v>
          </cell>
          <cell r="V51">
            <v>0</v>
          </cell>
          <cell r="W51">
            <v>36857.725540600004</v>
          </cell>
          <cell r="X51">
            <v>580772435.80275571</v>
          </cell>
          <cell r="Y51">
            <v>514742872.44003814</v>
          </cell>
          <cell r="Z51">
            <v>0.12827679002084547</v>
          </cell>
          <cell r="AA51">
            <v>0</v>
          </cell>
          <cell r="AB51">
            <v>0</v>
          </cell>
          <cell r="AC51">
            <v>514742872.44003814</v>
          </cell>
          <cell r="AD51">
            <v>580772435.80275571</v>
          </cell>
          <cell r="AE51">
            <v>0</v>
          </cell>
          <cell r="AF51">
            <v>-12517</v>
          </cell>
          <cell r="AG51">
            <v>0</v>
          </cell>
        </row>
        <row r="52">
          <cell r="A52">
            <v>910012</v>
          </cell>
          <cell r="B52" t="str">
            <v>Sinai Hospital</v>
          </cell>
          <cell r="C52">
            <v>5</v>
          </cell>
          <cell r="D52">
            <v>14181.014971417038</v>
          </cell>
          <cell r="E52">
            <v>-563.62967437958093</v>
          </cell>
          <cell r="F52">
            <v>-70.785786736890529</v>
          </cell>
          <cell r="G52">
            <v>0</v>
          </cell>
          <cell r="H52">
            <v>14181.014971417038</v>
          </cell>
          <cell r="I52">
            <v>40817.893074500003</v>
          </cell>
          <cell r="J52">
            <v>370.06676360412382</v>
          </cell>
          <cell r="K52">
            <v>14551.081735021162</v>
          </cell>
          <cell r="L52">
            <v>593944498.37840378</v>
          </cell>
          <cell r="M52">
            <v>0.99671861092415948</v>
          </cell>
          <cell r="N52">
            <v>591995535.38976932</v>
          </cell>
          <cell r="O52">
            <v>14503.333974374202</v>
          </cell>
          <cell r="P52">
            <v>18525777.538903046</v>
          </cell>
          <cell r="Q52">
            <v>610521312.92867231</v>
          </cell>
          <cell r="R52">
            <v>14957.198104624385</v>
          </cell>
          <cell r="S52">
            <v>1.0952231825796594</v>
          </cell>
          <cell r="T52">
            <v>668657095.37845266</v>
          </cell>
          <cell r="U52">
            <v>16381.470110621171</v>
          </cell>
          <cell r="V52">
            <v>0</v>
          </cell>
          <cell r="W52">
            <v>40817.893074500003</v>
          </cell>
          <cell r="X52">
            <v>668657095.37845266</v>
          </cell>
          <cell r="Y52">
            <v>736251535.72155106</v>
          </cell>
          <cell r="Z52">
            <v>-9.1808895552052849E-2</v>
          </cell>
          <cell r="AA52">
            <v>0</v>
          </cell>
          <cell r="AB52">
            <v>0</v>
          </cell>
          <cell r="AC52">
            <v>736251535.72155106</v>
          </cell>
          <cell r="AD52">
            <v>668657095.37845266</v>
          </cell>
          <cell r="AE52">
            <v>0</v>
          </cell>
          <cell r="AF52">
            <v>-17953</v>
          </cell>
          <cell r="AG52">
            <v>0</v>
          </cell>
        </row>
        <row r="53">
          <cell r="A53">
            <v>910024</v>
          </cell>
          <cell r="B53" t="str">
            <v>Union Memorial Hospital</v>
          </cell>
          <cell r="C53">
            <v>5</v>
          </cell>
          <cell r="D53">
            <v>14181.014971417038</v>
          </cell>
          <cell r="E53">
            <v>-942.22927879855536</v>
          </cell>
          <cell r="F53">
            <v>-79.498088569326583</v>
          </cell>
          <cell r="G53">
            <v>0</v>
          </cell>
          <cell r="H53">
            <v>14181.014971417038</v>
          </cell>
          <cell r="I53">
            <v>27421.95803003</v>
          </cell>
          <cell r="J53">
            <v>384.71961631890446</v>
          </cell>
          <cell r="K53">
            <v>14565.734587735942</v>
          </cell>
          <cell r="L53">
            <v>399420962.54145133</v>
          </cell>
          <cell r="M53">
            <v>0.99671861092415948</v>
          </cell>
          <cell r="N53">
            <v>398110306.95830613</v>
          </cell>
          <cell r="O53">
            <v>14517.938745378155</v>
          </cell>
          <cell r="P53">
            <v>18112729.835636299</v>
          </cell>
          <cell r="Q53">
            <v>416223036.79394245</v>
          </cell>
          <cell r="R53">
            <v>15178.457947391405</v>
          </cell>
          <cell r="S53">
            <v>1.0963236833132124</v>
          </cell>
          <cell r="T53">
            <v>456315172.77774572</v>
          </cell>
          <cell r="U53">
            <v>16640.50292389885</v>
          </cell>
          <cell r="V53">
            <v>0</v>
          </cell>
          <cell r="W53">
            <v>27421.95803003</v>
          </cell>
          <cell r="X53">
            <v>456315172.77774578</v>
          </cell>
          <cell r="Y53">
            <v>424692466.45998043</v>
          </cell>
          <cell r="Z53">
            <v>7.4460247862073281E-2</v>
          </cell>
          <cell r="AA53">
            <v>0</v>
          </cell>
          <cell r="AB53">
            <v>0</v>
          </cell>
          <cell r="AC53">
            <v>424692466.45998043</v>
          </cell>
          <cell r="AD53">
            <v>456315172.77774578</v>
          </cell>
          <cell r="AE53">
            <v>0</v>
          </cell>
          <cell r="AF53">
            <v>-19341</v>
          </cell>
          <cell r="AG53">
            <v>0</v>
          </cell>
        </row>
        <row r="54">
          <cell r="A54">
            <v>910029</v>
          </cell>
          <cell r="B54" t="str">
            <v>Johns Hopkins Bayview Medical Center</v>
          </cell>
          <cell r="C54">
            <v>5</v>
          </cell>
          <cell r="D54">
            <v>14181.014971417038</v>
          </cell>
          <cell r="E54">
            <v>-219.50543253009047</v>
          </cell>
          <cell r="F54">
            <v>-26.104388323467838</v>
          </cell>
          <cell r="G54">
            <v>0</v>
          </cell>
          <cell r="H54">
            <v>14181.014971417038</v>
          </cell>
          <cell r="I54">
            <v>38651.523662900006</v>
          </cell>
          <cell r="J54">
            <v>435.25739736617777</v>
          </cell>
          <cell r="K54">
            <v>14616.272368783217</v>
          </cell>
          <cell r="L54">
            <v>564941197.32541609</v>
          </cell>
          <cell r="M54">
            <v>0.99671861092415948</v>
          </cell>
          <cell r="N54">
            <v>563087405.45202017</v>
          </cell>
          <cell r="O54">
            <v>14568.310692302783</v>
          </cell>
          <cell r="P54">
            <v>22179247.654259458</v>
          </cell>
          <cell r="Q54">
            <v>585266653.10627961</v>
          </cell>
          <cell r="R54">
            <v>15142.136651861225</v>
          </cell>
          <cell r="S54">
            <v>1.0977598582507571</v>
          </cell>
          <cell r="T54">
            <v>642482238.15284455</v>
          </cell>
          <cell r="U54">
            <v>16622.429784560773</v>
          </cell>
          <cell r="V54">
            <v>0</v>
          </cell>
          <cell r="W54">
            <v>38651.523662900006</v>
          </cell>
          <cell r="X54">
            <v>642482238.15284455</v>
          </cell>
          <cell r="Y54">
            <v>614652945.22472346</v>
          </cell>
          <cell r="Z54">
            <v>4.5276433057595433E-2</v>
          </cell>
          <cell r="AA54">
            <v>0</v>
          </cell>
          <cell r="AB54">
            <v>0</v>
          </cell>
          <cell r="AC54">
            <v>614652945.22472346</v>
          </cell>
          <cell r="AD54">
            <v>642482238.15284455</v>
          </cell>
          <cell r="AE54">
            <v>0</v>
          </cell>
          <cell r="AF54">
            <v>-6370</v>
          </cell>
          <cell r="AG54">
            <v>0</v>
          </cell>
        </row>
        <row r="55">
          <cell r="A55">
            <v>990099</v>
          </cell>
          <cell r="B55" t="str">
            <v>Holy Cross Hospitals</v>
          </cell>
          <cell r="C55">
            <v>1</v>
          </cell>
          <cell r="D55">
            <v>10849.063446821609</v>
          </cell>
          <cell r="E55">
            <v>35.817071919369837</v>
          </cell>
          <cell r="F55">
            <v>7.5652754766111769</v>
          </cell>
          <cell r="G55">
            <v>0</v>
          </cell>
          <cell r="H55">
            <v>10849.063446821609</v>
          </cell>
          <cell r="I55">
            <v>46833.940517279902</v>
          </cell>
          <cell r="J55">
            <v>48.635459293803379</v>
          </cell>
          <cell r="K55">
            <v>10897.698906115413</v>
          </cell>
          <cell r="L55">
            <v>510382182.34423548</v>
          </cell>
          <cell r="M55">
            <v>1.0181752931904677</v>
          </cell>
          <cell r="N55">
            <v>519658528.1475327</v>
          </cell>
          <cell r="O55">
            <v>11095.767778835499</v>
          </cell>
          <cell r="P55">
            <v>2634548.7538250005</v>
          </cell>
          <cell r="Q55">
            <v>522293076.90135771</v>
          </cell>
          <cell r="R55">
            <v>11152.020759573965</v>
          </cell>
          <cell r="S55">
            <v>1.0903345654382657</v>
          </cell>
          <cell r="T55">
            <v>569474195.03465652</v>
          </cell>
          <cell r="U55">
            <v>12159.433708648596</v>
          </cell>
          <cell r="V55">
            <v>0</v>
          </cell>
          <cell r="W55">
            <v>46833.940517279902</v>
          </cell>
          <cell r="X55">
            <v>569474195.03465652</v>
          </cell>
          <cell r="Y55">
            <v>603133154.96478879</v>
          </cell>
          <cell r="Z55">
            <v>-5.5806847381980385E-2</v>
          </cell>
          <cell r="AA55">
            <v>0</v>
          </cell>
          <cell r="AB55">
            <v>0</v>
          </cell>
          <cell r="AC55">
            <v>603133154.96478879</v>
          </cell>
          <cell r="AD55">
            <v>569474195.03465652</v>
          </cell>
          <cell r="AE55">
            <v>0</v>
          </cell>
          <cell r="AF55">
            <v>-1024</v>
          </cell>
          <cell r="AG55">
            <v>0</v>
          </cell>
        </row>
        <row r="62">
          <cell r="A62" t="str">
            <v>Queries only</v>
          </cell>
          <cell r="B62" t="str">
            <v>$ SUBTOTAL</v>
          </cell>
          <cell r="D62">
            <v>11066.871952455853</v>
          </cell>
          <cell r="E62">
            <v>-424.20128195463587</v>
          </cell>
          <cell r="F62">
            <v>-19.884838811598993</v>
          </cell>
          <cell r="G62">
            <v>0</v>
          </cell>
          <cell r="H62">
            <v>11066.871952455853</v>
          </cell>
          <cell r="I62">
            <v>1246801.4155108458</v>
          </cell>
          <cell r="L62">
            <v>14927268132.039667</v>
          </cell>
          <cell r="M62">
            <v>0.99988679510667378</v>
          </cell>
          <cell r="N62">
            <v>14915835398.939289</v>
          </cell>
          <cell r="O62">
            <v>11963.280770601225</v>
          </cell>
          <cell r="P62">
            <v>367542392.58028257</v>
          </cell>
          <cell r="Q62">
            <v>15283377791.519573</v>
          </cell>
          <cell r="R62">
            <v>12258.069008734314</v>
          </cell>
          <cell r="S62">
            <v>1.0699533061324975</v>
          </cell>
          <cell r="T62">
            <v>16714401378.714659</v>
          </cell>
          <cell r="U62">
            <v>663882.73031606409</v>
          </cell>
          <cell r="V62">
            <v>0</v>
          </cell>
          <cell r="W62">
            <v>1246801.4155108458</v>
          </cell>
          <cell r="X62">
            <v>16714401378.714659</v>
          </cell>
          <cell r="Y62">
            <v>18976644822.691982</v>
          </cell>
          <cell r="Z62">
            <v>-0.11921198215567419</v>
          </cell>
          <cell r="AE62">
            <v>0</v>
          </cell>
          <cell r="AF62">
            <v>-331309</v>
          </cell>
          <cell r="AG62">
            <v>0</v>
          </cell>
        </row>
        <row r="63">
          <cell r="B63" t="str">
            <v>$ STATE TOTAL</v>
          </cell>
          <cell r="I63">
            <v>1037867.0325990049</v>
          </cell>
          <cell r="J63">
            <v>481.14081963463809</v>
          </cell>
          <cell r="K63">
            <v>481.14081963463809</v>
          </cell>
          <cell r="L63">
            <v>499360194.7364549</v>
          </cell>
          <cell r="M63">
            <v>0.999316365123599</v>
          </cell>
          <cell r="N63">
            <v>499018814.69144666</v>
          </cell>
          <cell r="O63">
            <v>480.81189498987573</v>
          </cell>
          <cell r="P63">
            <v>291065545.34341383</v>
          </cell>
          <cell r="Q63">
            <v>12336005371.014351</v>
          </cell>
          <cell r="R63">
            <v>11885.920819859539</v>
          </cell>
          <cell r="S63">
            <v>1.0692372665450307</v>
          </cell>
          <cell r="T63">
            <v>13488614250.755728</v>
          </cell>
          <cell r="U63">
            <v>569533.55179470126</v>
          </cell>
          <cell r="V63">
            <v>0</v>
          </cell>
          <cell r="W63">
            <v>1037867.0325990049</v>
          </cell>
          <cell r="X63">
            <v>13488614250.755728</v>
          </cell>
          <cell r="Y63">
            <v>15787827673.172651</v>
          </cell>
          <cell r="Z63">
            <v>-0.14563203184209095</v>
          </cell>
        </row>
        <row r="66">
          <cell r="A66">
            <v>1</v>
          </cell>
          <cell r="B66" t="str">
            <v>$ PEER GROUP 1 TOTAL</v>
          </cell>
          <cell r="D66">
            <v>10849.063446821609</v>
          </cell>
          <cell r="E66">
            <v>-248.10995121796404</v>
          </cell>
          <cell r="F66">
            <v>-188.34644328069777</v>
          </cell>
          <cell r="G66">
            <v>0</v>
          </cell>
          <cell r="H66">
            <v>10849.063446821609</v>
          </cell>
          <cell r="I66">
            <v>221730.80424644492</v>
          </cell>
          <cell r="J66">
            <v>156.79420149096023</v>
          </cell>
          <cell r="K66">
            <v>11005.857648312569</v>
          </cell>
          <cell r="L66">
            <v>2440337667.7822328</v>
          </cell>
          <cell r="M66">
            <v>1.0031449516956044</v>
          </cell>
          <cell r="N66">
            <v>2449375463.4299183</v>
          </cell>
          <cell r="O66">
            <v>11046.617865091652</v>
          </cell>
          <cell r="P66">
            <v>35380351.842467874</v>
          </cell>
          <cell r="Q66">
            <v>2484755815.2723866</v>
          </cell>
          <cell r="R66">
            <v>11206.182306138573</v>
          </cell>
          <cell r="S66">
            <v>1.0725681939539018</v>
          </cell>
          <cell r="T66">
            <v>2716670342.547514</v>
          </cell>
          <cell r="U66">
            <v>98422.948981555484</v>
          </cell>
          <cell r="V66">
            <v>0</v>
          </cell>
          <cell r="W66">
            <v>221730.80424644492</v>
          </cell>
          <cell r="X66">
            <v>2716670342.547514</v>
          </cell>
          <cell r="Y66">
            <v>3055340056.6666641</v>
          </cell>
          <cell r="Z66">
            <v>-0.11084517855228015</v>
          </cell>
          <cell r="AE66">
            <v>0</v>
          </cell>
          <cell r="AF66">
            <v>-55373</v>
          </cell>
          <cell r="AG66">
            <v>0</v>
          </cell>
        </row>
        <row r="67">
          <cell r="A67">
            <v>3</v>
          </cell>
          <cell r="B67" t="str">
            <v>$ PEER GROUP 3 TOTAL</v>
          </cell>
          <cell r="D67">
            <v>10668.198627397009</v>
          </cell>
          <cell r="E67">
            <v>-431.35878948698536</v>
          </cell>
          <cell r="F67">
            <v>-315.35014756309283</v>
          </cell>
          <cell r="G67">
            <v>0</v>
          </cell>
          <cell r="H67">
            <v>10668.198627397009</v>
          </cell>
          <cell r="I67">
            <v>464380.21847462404</v>
          </cell>
          <cell r="J67">
            <v>0</v>
          </cell>
          <cell r="K67">
            <v>10668.198627397009</v>
          </cell>
          <cell r="L67">
            <v>4954100409.3213072</v>
          </cell>
          <cell r="M67">
            <v>0.99912974284086831</v>
          </cell>
          <cell r="N67">
            <v>4947458956.8479319</v>
          </cell>
          <cell r="O67">
            <v>10653.896871617681</v>
          </cell>
          <cell r="P67">
            <v>7403097.4465358239</v>
          </cell>
          <cell r="Q67">
            <v>4954862054.294467</v>
          </cell>
          <cell r="R67">
            <v>10669.838759648252</v>
          </cell>
          <cell r="S67">
            <v>1.0714199993168398</v>
          </cell>
          <cell r="T67">
            <v>5418561366.3538818</v>
          </cell>
          <cell r="U67">
            <v>326933.63977076585</v>
          </cell>
          <cell r="V67">
            <v>0</v>
          </cell>
          <cell r="W67">
            <v>464380.21847462404</v>
          </cell>
          <cell r="X67">
            <v>5418561366.3538818</v>
          </cell>
          <cell r="Y67">
            <v>6192988846.811594</v>
          </cell>
          <cell r="Z67">
            <v>-0.12504906752034917</v>
          </cell>
          <cell r="AE67">
            <v>0</v>
          </cell>
          <cell r="AF67">
            <v>-163700</v>
          </cell>
          <cell r="AG67">
            <v>0</v>
          </cell>
        </row>
        <row r="68">
          <cell r="A68">
            <v>4</v>
          </cell>
          <cell r="B68" t="str">
            <v>$ PEER GROUP 4 TOTAL</v>
          </cell>
          <cell r="D68">
            <v>12721.879942318988</v>
          </cell>
          <cell r="E68">
            <v>-841.28435383520537</v>
          </cell>
          <cell r="F68">
            <v>-578.41445634360025</v>
          </cell>
          <cell r="G68">
            <v>0</v>
          </cell>
          <cell r="H68">
            <v>12721.879942318988</v>
          </cell>
          <cell r="I68">
            <v>188845.21989113602</v>
          </cell>
          <cell r="J68">
            <v>339.81558376420531</v>
          </cell>
          <cell r="K68">
            <v>13061.695526083195</v>
          </cell>
          <cell r="L68">
            <v>2466638763.7742486</v>
          </cell>
          <cell r="M68">
            <v>0.99871485943347804</v>
          </cell>
          <cell r="N68">
            <v>2463677586.6453428</v>
          </cell>
          <cell r="O68">
            <v>13046.015080845487</v>
          </cell>
          <cell r="P68">
            <v>81492014.804579616</v>
          </cell>
          <cell r="Q68">
            <v>2545169601.4499226</v>
          </cell>
          <cell r="R68">
            <v>13477.543158980363</v>
          </cell>
          <cell r="S68">
            <v>1.073229536509406</v>
          </cell>
          <cell r="T68">
            <v>2789413852.3749328</v>
          </cell>
          <cell r="U68">
            <v>117773.03517362478</v>
          </cell>
          <cell r="V68">
            <v>0</v>
          </cell>
          <cell r="W68">
            <v>188845.21989113602</v>
          </cell>
          <cell r="X68">
            <v>2789413852.3749328</v>
          </cell>
          <cell r="Y68">
            <v>3084905340.4050093</v>
          </cell>
          <cell r="Z68">
            <v>-9.5786241528980631E-2</v>
          </cell>
          <cell r="AE68">
            <v>0</v>
          </cell>
          <cell r="AF68">
            <v>-112304</v>
          </cell>
          <cell r="AG68">
            <v>0</v>
          </cell>
        </row>
        <row r="69">
          <cell r="A69">
            <v>5</v>
          </cell>
          <cell r="B69" t="str">
            <v>$ PEER GROUP 5 TOTAL</v>
          </cell>
          <cell r="D69">
            <v>14181.014971417038</v>
          </cell>
          <cell r="E69">
            <v>-241.35248536210719</v>
          </cell>
          <cell r="F69">
            <v>0</v>
          </cell>
          <cell r="G69">
            <v>0</v>
          </cell>
          <cell r="H69">
            <v>14181.014971417038</v>
          </cell>
          <cell r="I69">
            <v>325011.23238136101</v>
          </cell>
          <cell r="J69">
            <v>1399.7188507679168</v>
          </cell>
          <cell r="K69">
            <v>15580.733822184955</v>
          </cell>
          <cell r="L69">
            <v>5063913500.9542856</v>
          </cell>
          <cell r="M69">
            <v>0.99774936987537188</v>
          </cell>
          <cell r="N69">
            <v>5053004202.3036499</v>
          </cell>
          <cell r="O69">
            <v>15547.167909491098</v>
          </cell>
          <cell r="P69">
            <v>240632379.73287421</v>
          </cell>
          <cell r="Q69">
            <v>5293636582.0365248</v>
          </cell>
          <cell r="R69">
            <v>16287.549643284599</v>
          </cell>
          <cell r="S69">
            <v>1.0634662866972844</v>
          </cell>
          <cell r="T69">
            <v>5784354585.160409</v>
          </cell>
          <cell r="U69">
            <v>120615.53587708774</v>
          </cell>
          <cell r="V69">
            <v>0</v>
          </cell>
          <cell r="W69">
            <v>325011.23238136101</v>
          </cell>
          <cell r="X69">
            <v>5784354585.1604099</v>
          </cell>
          <cell r="Y69">
            <v>6040277423.8439255</v>
          </cell>
          <cell r="Z69">
            <v>-4.2369384835415524E-2</v>
          </cell>
          <cell r="AE69">
            <v>0</v>
          </cell>
          <cell r="AF69">
            <v>-16295</v>
          </cell>
          <cell r="AG69">
            <v>0</v>
          </cell>
        </row>
        <row r="72">
          <cell r="F72">
            <v>-216.98126893643217</v>
          </cell>
          <cell r="G72">
            <v>0</v>
          </cell>
        </row>
        <row r="73">
          <cell r="F73">
            <v>-213.36397254794019</v>
          </cell>
          <cell r="G73">
            <v>0</v>
          </cell>
        </row>
        <row r="74">
          <cell r="F74">
            <v>-254.43759884637979</v>
          </cell>
          <cell r="G74">
            <v>0</v>
          </cell>
        </row>
        <row r="75">
          <cell r="F75">
            <v>-283.62029942834079</v>
          </cell>
          <cell r="G75">
            <v>0</v>
          </cell>
        </row>
        <row r="77">
          <cell r="G77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ital Ranking"/>
      <sheetName val="Capital Ranking (with adj)"/>
      <sheetName val="PAU"/>
      <sheetName val="TCOC Calculation"/>
      <sheetName val="TCOC data"/>
      <sheetName val="ICC Table of Contents"/>
      <sheetName val="REM Calculation"/>
      <sheetName val="REM Calculation (w profit adj)"/>
      <sheetName val="REM Summary"/>
      <sheetName val="ICC Calculation"/>
      <sheetName val="Rate Application Summary"/>
      <sheetName val="ICC Summary"/>
      <sheetName val="Drug Overhead"/>
      <sheetName val="LMA"/>
      <sheetName val="IME"/>
      <sheetName val="RESCMAD"/>
      <sheetName val="Prorated Residents"/>
      <sheetName val="DME"/>
      <sheetName val="PROFIT"/>
      <sheetName val="Excess Capacity"/>
      <sheetName val="Room &amp; Board Costs Percentage"/>
      <sheetName val="Quality Adjustments"/>
      <sheetName val="PAU &amp; Total Volume"/>
      <sheetName val="Variable Input"/>
      <sheetName val="GBR Revenue for ICC"/>
      <sheetName val="GBR Case Mix Reconciliation"/>
      <sheetName val="Oncology Drugs"/>
      <sheetName val="Chronic Revenue"/>
      <sheetName val="Categorical Exclusions"/>
      <sheetName val="vlooku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1">
          <cell r="L1" t="str">
            <v>St Joes &amp; Southern Maryland had  to be combined</v>
          </cell>
        </row>
        <row r="2">
          <cell r="L2" t="str">
            <v>Hopkins Oncology and UM Cancer Center were added to the AMC</v>
          </cell>
        </row>
        <row r="3">
          <cell r="L3" t="str">
            <v>Eliminated Shock Trauma from List</v>
          </cell>
        </row>
        <row r="4">
          <cell r="A4" t="str">
            <v>HOSPID</v>
          </cell>
          <cell r="B4" t="str">
            <v>HOSPNAME</v>
          </cell>
          <cell r="C4" t="str">
            <v>2010 Patient Days</v>
          </cell>
          <cell r="D4" t="str">
            <v>FY2013 OP Surgery</v>
          </cell>
          <cell r="E4" t="str">
            <v>Total Starting Volume</v>
          </cell>
          <cell r="F4" t="str">
            <v>2018 Patient Days</v>
          </cell>
          <cell r="G4" t="str">
            <v>2018 Obsveration Volume Greater than 24 Hours</v>
          </cell>
          <cell r="H4" t="str">
            <v>CY2017 OP Surgery</v>
          </cell>
          <cell r="I4" t="str">
            <v>Total Ending Volume</v>
          </cell>
          <cell r="J4" t="str">
            <v>% Change</v>
          </cell>
          <cell r="K4" t="str">
            <v xml:space="preserve">% Room &amp; Board </v>
          </cell>
        </row>
        <row r="5">
          <cell r="A5">
            <v>210001</v>
          </cell>
          <cell r="B5" t="str">
            <v>Meritus</v>
          </cell>
          <cell r="C5">
            <v>71128</v>
          </cell>
          <cell r="D5">
            <v>684</v>
          </cell>
          <cell r="E5">
            <v>71812</v>
          </cell>
          <cell r="F5">
            <v>65025</v>
          </cell>
          <cell r="G5">
            <v>2265</v>
          </cell>
          <cell r="H5">
            <v>465</v>
          </cell>
          <cell r="I5">
            <v>67755</v>
          </cell>
          <cell r="J5">
            <v>-4.7421549881903058E-2</v>
          </cell>
          <cell r="K5">
            <v>0.32383346827595327</v>
          </cell>
        </row>
        <row r="6">
          <cell r="A6">
            <v>210002</v>
          </cell>
          <cell r="B6" t="str">
            <v>University Medical Center</v>
          </cell>
          <cell r="C6">
            <v>164957</v>
          </cell>
          <cell r="D6">
            <v>1025</v>
          </cell>
          <cell r="E6">
            <v>165982</v>
          </cell>
          <cell r="F6">
            <v>173285</v>
          </cell>
          <cell r="G6">
            <v>2178</v>
          </cell>
          <cell r="H6">
            <v>1544</v>
          </cell>
          <cell r="I6">
            <v>177007</v>
          </cell>
          <cell r="J6">
            <v>7.3049340131064566E-2</v>
          </cell>
          <cell r="K6">
            <v>0.29227798668662108</v>
          </cell>
        </row>
        <row r="7">
          <cell r="A7">
            <v>210003</v>
          </cell>
          <cell r="B7" t="str">
            <v>Prince Georges Hospital</v>
          </cell>
          <cell r="C7">
            <v>72965</v>
          </cell>
          <cell r="D7">
            <v>584</v>
          </cell>
          <cell r="E7">
            <v>73549</v>
          </cell>
          <cell r="F7">
            <v>63743</v>
          </cell>
          <cell r="G7">
            <v>1357</v>
          </cell>
          <cell r="H7">
            <v>136</v>
          </cell>
          <cell r="I7">
            <v>65236</v>
          </cell>
          <cell r="J7">
            <v>-0.10592749948605495</v>
          </cell>
          <cell r="K7">
            <v>0.40170104578612442</v>
          </cell>
        </row>
        <row r="8">
          <cell r="A8">
            <v>210004</v>
          </cell>
          <cell r="B8" t="str">
            <v>Holy Cross Hospital</v>
          </cell>
          <cell r="C8">
            <v>105121</v>
          </cell>
          <cell r="D8">
            <v>1931</v>
          </cell>
          <cell r="E8">
            <v>107052</v>
          </cell>
          <cell r="F8">
            <v>101691</v>
          </cell>
          <cell r="G8">
            <v>2917</v>
          </cell>
          <cell r="H8">
            <v>1420</v>
          </cell>
          <cell r="I8">
            <v>106028</v>
          </cell>
          <cell r="J8">
            <v>8.6281523197078158E-3</v>
          </cell>
          <cell r="K8">
            <v>0.38263088873256884</v>
          </cell>
        </row>
        <row r="9">
          <cell r="A9">
            <v>210005</v>
          </cell>
          <cell r="B9" t="str">
            <v>Frederick Memorial Hospital</v>
          </cell>
          <cell r="C9">
            <v>72896</v>
          </cell>
          <cell r="D9">
            <v>880</v>
          </cell>
          <cell r="E9">
            <v>73776</v>
          </cell>
          <cell r="F9">
            <v>70012</v>
          </cell>
          <cell r="G9">
            <v>1802</v>
          </cell>
          <cell r="H9">
            <v>541</v>
          </cell>
          <cell r="I9">
            <v>72355</v>
          </cell>
          <cell r="J9">
            <v>-7.4215320456541001E-3</v>
          </cell>
          <cell r="K9">
            <v>0.34419100304155936</v>
          </cell>
        </row>
        <row r="10">
          <cell r="A10">
            <v>210006</v>
          </cell>
          <cell r="B10" t="str">
            <v>Harford Memorial Hospital</v>
          </cell>
          <cell r="C10">
            <v>26413</v>
          </cell>
          <cell r="D10">
            <v>105</v>
          </cell>
          <cell r="E10">
            <v>26518</v>
          </cell>
          <cell r="F10">
            <v>21520</v>
          </cell>
          <cell r="G10">
            <v>2593</v>
          </cell>
          <cell r="H10">
            <v>106</v>
          </cell>
          <cell r="I10">
            <v>24219</v>
          </cell>
          <cell r="J10">
            <v>-8.3065157308900961E-2</v>
          </cell>
          <cell r="K10">
            <v>0.32525361724816043</v>
          </cell>
        </row>
        <row r="11">
          <cell r="A11">
            <v>210008</v>
          </cell>
          <cell r="B11" t="str">
            <v>Mercy Medical Center</v>
          </cell>
          <cell r="C11">
            <v>62042</v>
          </cell>
          <cell r="D11">
            <v>1193</v>
          </cell>
          <cell r="E11">
            <v>63235</v>
          </cell>
          <cell r="F11">
            <v>46305</v>
          </cell>
          <cell r="G11">
            <v>2655</v>
          </cell>
          <cell r="H11">
            <v>1758</v>
          </cell>
          <cell r="I11">
            <v>50718</v>
          </cell>
          <cell r="J11">
            <v>-0.18252151768157054</v>
          </cell>
          <cell r="K11">
            <v>0.13849177760474779</v>
          </cell>
        </row>
        <row r="12">
          <cell r="A12">
            <v>210009</v>
          </cell>
          <cell r="B12" t="str">
            <v>Johns Hopkins Hospital</v>
          </cell>
          <cell r="C12">
            <v>260816</v>
          </cell>
          <cell r="D12">
            <v>1657</v>
          </cell>
          <cell r="E12">
            <v>262473</v>
          </cell>
          <cell r="F12">
            <v>293944</v>
          </cell>
          <cell r="G12">
            <v>2249</v>
          </cell>
          <cell r="H12">
            <v>3454</v>
          </cell>
          <cell r="I12">
            <v>299647</v>
          </cell>
          <cell r="J12">
            <v>0.14888273725538315</v>
          </cell>
          <cell r="K12">
            <v>0.32918217953099815</v>
          </cell>
        </row>
        <row r="13">
          <cell r="A13">
            <v>210010</v>
          </cell>
          <cell r="B13" t="str">
            <v>Shore Medical Dorchester</v>
          </cell>
          <cell r="C13">
            <v>13527</v>
          </cell>
          <cell r="D13">
            <v>66</v>
          </cell>
          <cell r="E13">
            <v>13593</v>
          </cell>
          <cell r="F13">
            <v>10147</v>
          </cell>
          <cell r="G13">
            <v>325</v>
          </cell>
          <cell r="H13">
            <v>16</v>
          </cell>
          <cell r="I13">
            <v>10488</v>
          </cell>
          <cell r="J13">
            <v>-0.22466178753603905</v>
          </cell>
          <cell r="K13">
            <v>0.41720922825292095</v>
          </cell>
        </row>
        <row r="14">
          <cell r="A14">
            <v>210011</v>
          </cell>
          <cell r="B14" t="str">
            <v>St. Agnes Hospital</v>
          </cell>
          <cell r="C14">
            <v>80737</v>
          </cell>
          <cell r="D14">
            <v>608</v>
          </cell>
          <cell r="E14">
            <v>81345</v>
          </cell>
          <cell r="F14">
            <v>64124</v>
          </cell>
          <cell r="G14">
            <v>2279</v>
          </cell>
          <cell r="H14">
            <v>625</v>
          </cell>
          <cell r="I14">
            <v>67028</v>
          </cell>
          <cell r="J14">
            <v>-0.16979823377138115</v>
          </cell>
          <cell r="K14">
            <v>0.26640360388172196</v>
          </cell>
        </row>
        <row r="15">
          <cell r="A15">
            <v>210012</v>
          </cell>
          <cell r="B15" t="str">
            <v>Sinai Hospital</v>
          </cell>
          <cell r="C15">
            <v>121906</v>
          </cell>
          <cell r="D15">
            <v>1033</v>
          </cell>
          <cell r="E15">
            <v>122939</v>
          </cell>
          <cell r="F15">
            <v>100900</v>
          </cell>
          <cell r="G15">
            <v>2836</v>
          </cell>
          <cell r="H15">
            <v>1250</v>
          </cell>
          <cell r="I15">
            <v>104986</v>
          </cell>
          <cell r="J15">
            <v>-0.13879546535855491</v>
          </cell>
          <cell r="K15">
            <v>0.28635927698610009</v>
          </cell>
        </row>
        <row r="16">
          <cell r="A16">
            <v>210013</v>
          </cell>
          <cell r="B16" t="str">
            <v>Bon Secours Hospital</v>
          </cell>
          <cell r="C16">
            <v>35530</v>
          </cell>
          <cell r="D16">
            <v>286</v>
          </cell>
          <cell r="E16">
            <v>35816</v>
          </cell>
          <cell r="F16">
            <v>17833</v>
          </cell>
          <cell r="G16">
            <v>534</v>
          </cell>
          <cell r="H16">
            <v>29</v>
          </cell>
          <cell r="I16">
            <v>18396</v>
          </cell>
          <cell r="J16">
            <v>-0.48224036025893613</v>
          </cell>
          <cell r="K16">
            <v>0.30578843177328829</v>
          </cell>
        </row>
        <row r="17">
          <cell r="A17">
            <v>210015</v>
          </cell>
          <cell r="B17" t="str">
            <v>Franklin Square Hospital Center</v>
          </cell>
          <cell r="C17">
            <v>96937</v>
          </cell>
          <cell r="D17">
            <v>767</v>
          </cell>
          <cell r="E17">
            <v>97704</v>
          </cell>
          <cell r="F17">
            <v>89669</v>
          </cell>
          <cell r="G17">
            <v>4993</v>
          </cell>
          <cell r="H17">
            <v>1015</v>
          </cell>
          <cell r="I17">
            <v>95677</v>
          </cell>
          <cell r="J17">
            <v>-1.2998132807906182E-2</v>
          </cell>
          <cell r="K17">
            <v>0.34374316611027411</v>
          </cell>
        </row>
        <row r="18">
          <cell r="A18">
            <v>210016</v>
          </cell>
          <cell r="B18" t="str">
            <v>Washington Adventist Hospital</v>
          </cell>
          <cell r="C18">
            <v>73495</v>
          </cell>
          <cell r="D18">
            <v>953</v>
          </cell>
          <cell r="E18">
            <v>74448</v>
          </cell>
          <cell r="F18">
            <v>47982</v>
          </cell>
          <cell r="G18">
            <v>2287</v>
          </cell>
          <cell r="H18">
            <v>96</v>
          </cell>
          <cell r="I18">
            <v>50365</v>
          </cell>
          <cell r="J18">
            <v>-0.31471528675420102</v>
          </cell>
          <cell r="K18">
            <v>0.32285734113259057</v>
          </cell>
        </row>
        <row r="19">
          <cell r="A19">
            <v>210017</v>
          </cell>
          <cell r="B19" t="str">
            <v>Garrett County Memorial Hospital</v>
          </cell>
          <cell r="C19">
            <v>7920</v>
          </cell>
          <cell r="D19">
            <v>56</v>
          </cell>
          <cell r="E19">
            <v>7976</v>
          </cell>
          <cell r="F19">
            <v>7210</v>
          </cell>
          <cell r="G19">
            <v>396</v>
          </cell>
          <cell r="H19">
            <v>63</v>
          </cell>
          <cell r="I19">
            <v>7669</v>
          </cell>
          <cell r="J19">
            <v>-3.169191919191916E-2</v>
          </cell>
          <cell r="K19">
            <v>0.21153026281160908</v>
          </cell>
        </row>
        <row r="20">
          <cell r="A20">
            <v>210018</v>
          </cell>
          <cell r="B20" t="str">
            <v>Montgomery General Hospital</v>
          </cell>
          <cell r="C20">
            <v>41413</v>
          </cell>
          <cell r="D20">
            <v>484</v>
          </cell>
          <cell r="E20">
            <v>41897</v>
          </cell>
          <cell r="F20">
            <v>29329</v>
          </cell>
          <cell r="G20">
            <v>1998</v>
          </cell>
          <cell r="H20">
            <v>387</v>
          </cell>
          <cell r="I20">
            <v>31714</v>
          </cell>
          <cell r="J20">
            <v>-0.23420182068432616</v>
          </cell>
          <cell r="K20">
            <v>0.27360410985419481</v>
          </cell>
        </row>
        <row r="21">
          <cell r="A21">
            <v>210019</v>
          </cell>
          <cell r="B21" t="str">
            <v>Peninsula Regional Medical Center</v>
          </cell>
          <cell r="C21">
            <v>94216</v>
          </cell>
          <cell r="D21">
            <v>1170</v>
          </cell>
          <cell r="E21">
            <v>95386</v>
          </cell>
          <cell r="F21">
            <v>74684</v>
          </cell>
          <cell r="G21">
            <v>2115</v>
          </cell>
          <cell r="H21">
            <v>1071</v>
          </cell>
          <cell r="I21">
            <v>77870</v>
          </cell>
          <cell r="J21">
            <v>-0.17349494777957031</v>
          </cell>
          <cell r="K21">
            <v>0.2886369568415903</v>
          </cell>
        </row>
        <row r="22">
          <cell r="A22">
            <v>210022</v>
          </cell>
          <cell r="B22" t="str">
            <v>Suburban Hospital</v>
          </cell>
          <cell r="C22">
            <v>57772</v>
          </cell>
          <cell r="D22">
            <v>395</v>
          </cell>
          <cell r="E22">
            <v>58167</v>
          </cell>
          <cell r="F22">
            <v>61128</v>
          </cell>
          <cell r="G22">
            <v>2534</v>
          </cell>
          <cell r="H22">
            <v>491</v>
          </cell>
          <cell r="I22">
            <v>64153</v>
          </cell>
          <cell r="J22">
            <v>0.11045142975836053</v>
          </cell>
          <cell r="K22">
            <v>0.26184201386683464</v>
          </cell>
        </row>
        <row r="23">
          <cell r="A23">
            <v>210023</v>
          </cell>
          <cell r="B23" t="str">
            <v>Anne Arundel Medical Center</v>
          </cell>
          <cell r="C23">
            <v>84852</v>
          </cell>
          <cell r="D23">
            <v>341</v>
          </cell>
          <cell r="E23">
            <v>85193</v>
          </cell>
          <cell r="F23">
            <v>88614</v>
          </cell>
          <cell r="G23">
            <v>2614</v>
          </cell>
          <cell r="H23">
            <v>1617</v>
          </cell>
          <cell r="I23">
            <v>92845</v>
          </cell>
          <cell r="J23">
            <v>9.4199311742799274E-2</v>
          </cell>
          <cell r="K23">
            <v>0.26835458360722053</v>
          </cell>
        </row>
        <row r="24">
          <cell r="A24">
            <v>210024</v>
          </cell>
          <cell r="B24" t="str">
            <v>Union Memorial Hospital</v>
          </cell>
          <cell r="C24">
            <v>70293</v>
          </cell>
          <cell r="D24">
            <v>158</v>
          </cell>
          <cell r="E24">
            <v>70451</v>
          </cell>
          <cell r="F24">
            <v>48455</v>
          </cell>
          <cell r="G24">
            <v>1914</v>
          </cell>
          <cell r="H24">
            <v>741</v>
          </cell>
          <cell r="I24">
            <v>51110</v>
          </cell>
          <cell r="J24">
            <v>-0.27290057331455475</v>
          </cell>
          <cell r="K24">
            <v>0.24346965020600916</v>
          </cell>
        </row>
        <row r="25">
          <cell r="A25">
            <v>210027</v>
          </cell>
          <cell r="B25" t="str">
            <v>Western Maryland Regional Medical Center</v>
          </cell>
          <cell r="C25">
            <v>68813</v>
          </cell>
          <cell r="D25">
            <v>211</v>
          </cell>
          <cell r="E25">
            <v>69024</v>
          </cell>
          <cell r="F25">
            <v>54265</v>
          </cell>
          <cell r="G25">
            <v>1321</v>
          </cell>
          <cell r="H25">
            <v>428</v>
          </cell>
          <cell r="I25">
            <v>56014</v>
          </cell>
          <cell r="J25">
            <v>-0.18599683199395467</v>
          </cell>
          <cell r="K25">
            <v>0.28657666040531193</v>
          </cell>
        </row>
        <row r="26">
          <cell r="A26">
            <v>210028</v>
          </cell>
          <cell r="B26" t="str">
            <v>St. Mary's Hospital</v>
          </cell>
          <cell r="C26">
            <v>24891</v>
          </cell>
          <cell r="D26">
            <v>173</v>
          </cell>
          <cell r="E26">
            <v>25064</v>
          </cell>
          <cell r="F26">
            <v>24965</v>
          </cell>
          <cell r="G26">
            <v>2160</v>
          </cell>
          <cell r="H26">
            <v>445</v>
          </cell>
          <cell r="I26">
            <v>27570</v>
          </cell>
          <cell r="J26">
            <v>0.10762926358924907</v>
          </cell>
          <cell r="K26">
            <v>0.23709600268562486</v>
          </cell>
        </row>
        <row r="27">
          <cell r="A27">
            <v>210029</v>
          </cell>
          <cell r="B27" t="str">
            <v>Johns Hopkins Bayview Medical Center</v>
          </cell>
          <cell r="C27">
            <v>113606</v>
          </cell>
          <cell r="D27">
            <v>653</v>
          </cell>
          <cell r="E27">
            <v>114259</v>
          </cell>
          <cell r="F27">
            <v>105338</v>
          </cell>
          <cell r="G27">
            <v>1690</v>
          </cell>
          <cell r="H27">
            <v>861</v>
          </cell>
          <cell r="I27">
            <v>107889</v>
          </cell>
          <cell r="J27">
            <v>-5.0323046317976128E-2</v>
          </cell>
          <cell r="K27">
            <v>0.30758916573151729</v>
          </cell>
        </row>
        <row r="28">
          <cell r="A28">
            <v>210030</v>
          </cell>
          <cell r="B28" t="str">
            <v>Chester River Hospital Center</v>
          </cell>
          <cell r="C28">
            <v>12113</v>
          </cell>
          <cell r="D28">
            <v>74</v>
          </cell>
          <cell r="E28">
            <v>12187</v>
          </cell>
          <cell r="F28">
            <v>4853</v>
          </cell>
          <cell r="G28">
            <v>250</v>
          </cell>
          <cell r="H28">
            <v>47</v>
          </cell>
          <cell r="I28">
            <v>5150</v>
          </cell>
          <cell r="J28">
            <v>-0.57483695203500373</v>
          </cell>
          <cell r="K28">
            <v>0.25710535157128594</v>
          </cell>
        </row>
        <row r="29">
          <cell r="A29">
            <v>210032</v>
          </cell>
          <cell r="B29" t="str">
            <v>Union of Cecil</v>
          </cell>
          <cell r="C29">
            <v>29096</v>
          </cell>
          <cell r="D29">
            <v>258</v>
          </cell>
          <cell r="E29">
            <v>29354</v>
          </cell>
          <cell r="F29">
            <v>19103</v>
          </cell>
          <cell r="G29">
            <v>285</v>
          </cell>
          <cell r="H29">
            <v>195</v>
          </cell>
          <cell r="I29">
            <v>19583</v>
          </cell>
          <cell r="J29">
            <v>-0.32695215837228486</v>
          </cell>
          <cell r="K29">
            <v>0.23196137326188995</v>
          </cell>
        </row>
        <row r="30">
          <cell r="A30">
            <v>210033</v>
          </cell>
          <cell r="B30" t="str">
            <v>Carroll Hospital Center</v>
          </cell>
          <cell r="C30">
            <v>50866</v>
          </cell>
          <cell r="D30">
            <v>163</v>
          </cell>
          <cell r="E30">
            <v>51029</v>
          </cell>
          <cell r="F30">
            <v>40853</v>
          </cell>
          <cell r="G30">
            <v>1931</v>
          </cell>
          <cell r="H30">
            <v>32</v>
          </cell>
          <cell r="I30">
            <v>42816</v>
          </cell>
          <cell r="J30">
            <v>-0.15825895490111275</v>
          </cell>
          <cell r="K30">
            <v>0.3128611345648501</v>
          </cell>
        </row>
        <row r="31">
          <cell r="A31">
            <v>210034</v>
          </cell>
          <cell r="B31" t="str">
            <v>Harbor Hospital Center</v>
          </cell>
          <cell r="C31">
            <v>50086</v>
          </cell>
          <cell r="D31">
            <v>64</v>
          </cell>
          <cell r="E31">
            <v>50150</v>
          </cell>
          <cell r="F31">
            <v>33088</v>
          </cell>
          <cell r="G31">
            <v>1400</v>
          </cell>
          <cell r="H31">
            <v>231</v>
          </cell>
          <cell r="I31">
            <v>34719</v>
          </cell>
          <cell r="J31">
            <v>-0.30681228287345763</v>
          </cell>
          <cell r="K31">
            <v>0.32645418454806463</v>
          </cell>
        </row>
        <row r="32">
          <cell r="A32">
            <v>210035</v>
          </cell>
          <cell r="B32" t="str">
            <v xml:space="preserve">Charles Regional </v>
          </cell>
          <cell r="C32">
            <v>31947</v>
          </cell>
          <cell r="D32">
            <v>104</v>
          </cell>
          <cell r="E32">
            <v>32051</v>
          </cell>
          <cell r="F32">
            <v>26055</v>
          </cell>
          <cell r="G32">
            <v>1328</v>
          </cell>
          <cell r="H32">
            <v>111</v>
          </cell>
          <cell r="I32">
            <v>27494</v>
          </cell>
          <cell r="J32">
            <v>-0.13938710990077319</v>
          </cell>
          <cell r="K32">
            <v>0.3200221140721084</v>
          </cell>
        </row>
        <row r="33">
          <cell r="A33">
            <v>210037</v>
          </cell>
          <cell r="B33" t="str">
            <v>Shore Medical Easton</v>
          </cell>
          <cell r="C33">
            <v>35011</v>
          </cell>
          <cell r="D33">
            <v>518</v>
          </cell>
          <cell r="E33">
            <v>35529</v>
          </cell>
          <cell r="F33">
            <v>30086</v>
          </cell>
          <cell r="G33">
            <v>1097</v>
          </cell>
          <cell r="H33">
            <v>459</v>
          </cell>
          <cell r="I33">
            <v>31642</v>
          </cell>
          <cell r="J33">
            <v>-9.6226900117106107E-2</v>
          </cell>
          <cell r="K33">
            <v>0.30632956440683101</v>
          </cell>
        </row>
        <row r="34">
          <cell r="A34">
            <v>210038</v>
          </cell>
          <cell r="B34" t="str">
            <v>UMMC Midtown</v>
          </cell>
          <cell r="C34">
            <v>48756</v>
          </cell>
          <cell r="D34">
            <v>130</v>
          </cell>
          <cell r="E34">
            <v>48886</v>
          </cell>
          <cell r="F34">
            <v>32071</v>
          </cell>
          <cell r="G34">
            <v>1460</v>
          </cell>
          <cell r="H34">
            <v>396</v>
          </cell>
          <cell r="I34">
            <v>33927</v>
          </cell>
          <cell r="J34">
            <v>-0.30414718188530643</v>
          </cell>
          <cell r="K34">
            <v>0.30219472757484311</v>
          </cell>
        </row>
        <row r="35">
          <cell r="A35">
            <v>210039</v>
          </cell>
          <cell r="B35" t="str">
            <v>Calvert Memorial Hospital</v>
          </cell>
          <cell r="C35">
            <v>25937</v>
          </cell>
          <cell r="D35">
            <v>192</v>
          </cell>
          <cell r="E35">
            <v>26129</v>
          </cell>
          <cell r="F35">
            <v>18765</v>
          </cell>
          <cell r="G35">
            <v>1347</v>
          </cell>
          <cell r="H35">
            <v>199</v>
          </cell>
          <cell r="I35">
            <v>20311</v>
          </cell>
          <cell r="J35">
            <v>-0.21691020549793727</v>
          </cell>
          <cell r="K35">
            <v>0.2390198199726303</v>
          </cell>
        </row>
        <row r="36">
          <cell r="A36">
            <v>210040</v>
          </cell>
          <cell r="B36" t="str">
            <v>Northwest Hospital Center</v>
          </cell>
          <cell r="C36">
            <v>55902</v>
          </cell>
          <cell r="D36">
            <v>948</v>
          </cell>
          <cell r="E36">
            <v>56850</v>
          </cell>
          <cell r="F36">
            <v>50591</v>
          </cell>
          <cell r="G36">
            <v>1581</v>
          </cell>
          <cell r="H36">
            <v>761</v>
          </cell>
          <cell r="I36">
            <v>52933</v>
          </cell>
          <cell r="J36">
            <v>-5.3110801044685352E-2</v>
          </cell>
          <cell r="K36">
            <v>0.35017802209447574</v>
          </cell>
        </row>
        <row r="37">
          <cell r="A37">
            <v>210043</v>
          </cell>
          <cell r="B37" t="str">
            <v>Baltimore Washington Medical Center</v>
          </cell>
          <cell r="C37">
            <v>82523</v>
          </cell>
          <cell r="D37">
            <v>2293</v>
          </cell>
          <cell r="E37">
            <v>84816</v>
          </cell>
          <cell r="F37">
            <v>70834</v>
          </cell>
          <cell r="G37">
            <v>3775</v>
          </cell>
          <cell r="H37">
            <v>682</v>
          </cell>
          <cell r="I37">
            <v>75291</v>
          </cell>
          <cell r="J37">
            <v>-8.7636174157507574E-2</v>
          </cell>
          <cell r="K37">
            <v>0.32035822197525787</v>
          </cell>
        </row>
        <row r="38">
          <cell r="A38">
            <v>210044</v>
          </cell>
          <cell r="B38" t="str">
            <v>Greater Baltimore Medical Center</v>
          </cell>
          <cell r="C38">
            <v>72636</v>
          </cell>
          <cell r="D38">
            <v>1677</v>
          </cell>
          <cell r="E38">
            <v>74313</v>
          </cell>
          <cell r="F38">
            <v>63402</v>
          </cell>
          <cell r="G38">
            <v>1936</v>
          </cell>
          <cell r="H38">
            <v>1297</v>
          </cell>
          <cell r="I38">
            <v>66635</v>
          </cell>
          <cell r="J38">
            <v>-8.2617434880775331E-2</v>
          </cell>
          <cell r="K38">
            <v>0.26254781734540844</v>
          </cell>
        </row>
        <row r="39">
          <cell r="A39">
            <v>210045</v>
          </cell>
          <cell r="B39" t="str">
            <v>McCready Memorial Hospital</v>
          </cell>
          <cell r="C39">
            <v>2205</v>
          </cell>
          <cell r="D39">
            <v>0</v>
          </cell>
          <cell r="E39">
            <v>2205</v>
          </cell>
          <cell r="F39">
            <v>786</v>
          </cell>
          <cell r="G39">
            <v>104</v>
          </cell>
          <cell r="H39">
            <v>25</v>
          </cell>
          <cell r="I39">
            <v>915</v>
          </cell>
          <cell r="J39">
            <v>-0.58503401360544216</v>
          </cell>
          <cell r="K39">
            <v>9.5128943441143435E-2</v>
          </cell>
        </row>
        <row r="40">
          <cell r="A40">
            <v>210048</v>
          </cell>
          <cell r="B40" t="str">
            <v>Howard County General Hospital</v>
          </cell>
          <cell r="C40">
            <v>62919</v>
          </cell>
          <cell r="D40">
            <v>316</v>
          </cell>
          <cell r="E40">
            <v>63235</v>
          </cell>
          <cell r="F40">
            <v>62405</v>
          </cell>
          <cell r="G40">
            <v>3336</v>
          </cell>
          <cell r="H40">
            <v>527</v>
          </cell>
          <cell r="I40">
            <v>66268</v>
          </cell>
          <cell r="J40">
            <v>5.3227165085268258E-2</v>
          </cell>
          <cell r="K40">
            <v>0.35822560981161977</v>
          </cell>
        </row>
        <row r="41">
          <cell r="A41">
            <v>210049</v>
          </cell>
          <cell r="B41" t="str">
            <v>Upper Chesapeake Medical Center</v>
          </cell>
          <cell r="C41">
            <v>47433</v>
          </cell>
          <cell r="D41">
            <v>399</v>
          </cell>
          <cell r="E41">
            <v>47832</v>
          </cell>
          <cell r="F41">
            <v>38864</v>
          </cell>
          <cell r="G41">
            <v>6862</v>
          </cell>
          <cell r="H41">
            <v>599</v>
          </cell>
          <cell r="I41">
            <v>46325</v>
          </cell>
          <cell r="J41">
            <v>-2.3359264646975686E-2</v>
          </cell>
          <cell r="K41">
            <v>0.22170042974771592</v>
          </cell>
        </row>
        <row r="42">
          <cell r="A42">
            <v>210051</v>
          </cell>
          <cell r="B42" t="str">
            <v>Doctors Community Hospital</v>
          </cell>
          <cell r="C42">
            <v>51708</v>
          </cell>
          <cell r="D42">
            <v>591</v>
          </cell>
          <cell r="E42">
            <v>52299</v>
          </cell>
          <cell r="F42">
            <v>48359</v>
          </cell>
          <cell r="G42">
            <v>2781</v>
          </cell>
          <cell r="H42">
            <v>1699</v>
          </cell>
          <cell r="I42">
            <v>52839</v>
          </cell>
          <cell r="J42">
            <v>2.1872824321188311E-2</v>
          </cell>
          <cell r="K42">
            <v>0.31537433553250649</v>
          </cell>
        </row>
        <row r="43">
          <cell r="A43">
            <v>210055</v>
          </cell>
          <cell r="B43" t="str">
            <v>Laurel Regional Hospital</v>
          </cell>
          <cell r="C43">
            <v>25729</v>
          </cell>
          <cell r="D43">
            <v>780</v>
          </cell>
          <cell r="E43">
            <v>26509</v>
          </cell>
          <cell r="F43">
            <v>20655</v>
          </cell>
          <cell r="G43">
            <v>485</v>
          </cell>
          <cell r="H43">
            <v>81</v>
          </cell>
          <cell r="I43">
            <v>21221</v>
          </cell>
          <cell r="J43">
            <v>-0.17521085156826932</v>
          </cell>
          <cell r="K43">
            <v>0.320079308552016</v>
          </cell>
        </row>
        <row r="44">
          <cell r="A44">
            <v>210056</v>
          </cell>
          <cell r="B44" t="str">
            <v>Good Samaritan Hospital</v>
          </cell>
          <cell r="C44">
            <v>73833</v>
          </cell>
          <cell r="D44">
            <v>198</v>
          </cell>
          <cell r="E44">
            <v>74031</v>
          </cell>
          <cell r="F44">
            <v>45690</v>
          </cell>
          <cell r="G44">
            <v>2400</v>
          </cell>
          <cell r="H44">
            <v>256</v>
          </cell>
          <cell r="I44">
            <v>48346</v>
          </cell>
          <cell r="J44">
            <v>-0.34519794671759241</v>
          </cell>
          <cell r="K44">
            <v>0.3071178916407874</v>
          </cell>
        </row>
        <row r="45">
          <cell r="A45">
            <v>210057</v>
          </cell>
          <cell r="B45" t="str">
            <v>Shady Grove Adventist Hospital</v>
          </cell>
          <cell r="C45">
            <v>88372</v>
          </cell>
          <cell r="D45">
            <v>556</v>
          </cell>
          <cell r="E45">
            <v>88928</v>
          </cell>
          <cell r="F45">
            <v>64868</v>
          </cell>
          <cell r="G45">
            <v>3387</v>
          </cell>
          <cell r="H45">
            <v>587</v>
          </cell>
          <cell r="I45">
            <v>68842</v>
          </cell>
          <cell r="J45">
            <v>-0.22099760105010635</v>
          </cell>
          <cell r="K45">
            <v>0.3287682510196076</v>
          </cell>
        </row>
        <row r="46">
          <cell r="A46">
            <v>210058</v>
          </cell>
          <cell r="B46" t="str">
            <v>Rehab &amp; Ortho Institue</v>
          </cell>
          <cell r="C46">
            <v>36964</v>
          </cell>
          <cell r="D46">
            <v>210</v>
          </cell>
          <cell r="E46">
            <v>37174</v>
          </cell>
          <cell r="F46">
            <v>35908</v>
          </cell>
          <cell r="G46">
            <v>0</v>
          </cell>
          <cell r="H46">
            <v>163</v>
          </cell>
          <cell r="I46">
            <v>36071</v>
          </cell>
          <cell r="J46">
            <v>-2.4158640839735956E-2</v>
          </cell>
          <cell r="K46">
            <v>0.40113535953547591</v>
          </cell>
        </row>
        <row r="47">
          <cell r="A47">
            <v>210060</v>
          </cell>
          <cell r="B47" t="str">
            <v>Fort Washington Medical Center</v>
          </cell>
          <cell r="C47">
            <v>11082</v>
          </cell>
          <cell r="D47">
            <v>24</v>
          </cell>
          <cell r="E47">
            <v>11106</v>
          </cell>
          <cell r="F47">
            <v>7245</v>
          </cell>
          <cell r="G47">
            <v>809</v>
          </cell>
          <cell r="H47">
            <v>9</v>
          </cell>
          <cell r="I47">
            <v>8063</v>
          </cell>
          <cell r="J47">
            <v>-0.27242375022559107</v>
          </cell>
          <cell r="K47">
            <v>0.21046454162948675</v>
          </cell>
        </row>
        <row r="48">
          <cell r="A48">
            <v>210061</v>
          </cell>
          <cell r="B48" t="str">
            <v>Atlantic General Hospital</v>
          </cell>
          <cell r="C48">
            <v>14050</v>
          </cell>
          <cell r="D48">
            <v>193</v>
          </cell>
          <cell r="E48">
            <v>14243</v>
          </cell>
          <cell r="F48">
            <v>11310</v>
          </cell>
          <cell r="G48">
            <v>439</v>
          </cell>
          <cell r="H48">
            <v>110</v>
          </cell>
          <cell r="I48">
            <v>11859</v>
          </cell>
          <cell r="J48">
            <v>-0.1559430604982206</v>
          </cell>
          <cell r="K48">
            <v>0.16397645114559467</v>
          </cell>
        </row>
        <row r="49">
          <cell r="A49">
            <v>210062</v>
          </cell>
          <cell r="B49" t="str">
            <v>Southern Maryland Hospital Center</v>
          </cell>
          <cell r="C49">
            <v>61035</v>
          </cell>
          <cell r="D49">
            <v>316</v>
          </cell>
          <cell r="E49">
            <v>61351</v>
          </cell>
          <cell r="F49">
            <v>46499</v>
          </cell>
          <cell r="G49">
            <v>3255</v>
          </cell>
          <cell r="H49">
            <v>750</v>
          </cell>
          <cell r="I49">
            <v>50504</v>
          </cell>
          <cell r="J49">
            <v>-0.17254034570328503</v>
          </cell>
          <cell r="K49">
            <v>0.31692514356676604</v>
          </cell>
        </row>
        <row r="50">
          <cell r="A50">
            <v>210063</v>
          </cell>
          <cell r="B50" t="str">
            <v>St. Joseph Medical Center</v>
          </cell>
          <cell r="C50">
            <v>72999</v>
          </cell>
          <cell r="D50">
            <v>381</v>
          </cell>
          <cell r="E50">
            <v>73380</v>
          </cell>
          <cell r="F50">
            <v>57162</v>
          </cell>
          <cell r="G50">
            <v>1940</v>
          </cell>
          <cell r="H50">
            <v>473</v>
          </cell>
          <cell r="I50">
            <v>59575</v>
          </cell>
          <cell r="J50">
            <v>-0.18389293004013751</v>
          </cell>
          <cell r="K50">
            <v>0.27000953757996626</v>
          </cell>
        </row>
        <row r="51">
          <cell r="A51">
            <v>210065</v>
          </cell>
          <cell r="B51" t="str">
            <v>Holy Cross Germantown</v>
          </cell>
          <cell r="C51">
            <v>0</v>
          </cell>
          <cell r="D51">
            <v>0</v>
          </cell>
          <cell r="E51">
            <v>0</v>
          </cell>
          <cell r="F51">
            <v>16483</v>
          </cell>
          <cell r="G51">
            <v>705</v>
          </cell>
          <cell r="H51">
            <v>199</v>
          </cell>
          <cell r="I51">
            <v>17387</v>
          </cell>
          <cell r="J51">
            <v>0</v>
          </cell>
          <cell r="K51">
            <v>0.34381134219293291</v>
          </cell>
        </row>
        <row r="52">
          <cell r="A52">
            <v>910003</v>
          </cell>
          <cell r="B52" t="str">
            <v>Prince Georges Hospital</v>
          </cell>
          <cell r="C52">
            <v>72965</v>
          </cell>
          <cell r="D52">
            <v>584</v>
          </cell>
          <cell r="E52">
            <v>73549</v>
          </cell>
          <cell r="F52">
            <v>63743</v>
          </cell>
          <cell r="G52">
            <v>1357</v>
          </cell>
          <cell r="H52">
            <v>136</v>
          </cell>
          <cell r="I52">
            <v>65236</v>
          </cell>
          <cell r="J52">
            <v>-0.10592749948605495</v>
          </cell>
          <cell r="K52">
            <v>0.40170104578612442</v>
          </cell>
        </row>
        <row r="53">
          <cell r="A53">
            <v>910008</v>
          </cell>
          <cell r="B53" t="str">
            <v>Mercy Medical Center</v>
          </cell>
          <cell r="C53">
            <v>62042</v>
          </cell>
          <cell r="D53">
            <v>1193</v>
          </cell>
          <cell r="E53">
            <v>63235</v>
          </cell>
          <cell r="F53">
            <v>46305</v>
          </cell>
          <cell r="G53">
            <v>2655</v>
          </cell>
          <cell r="H53">
            <v>1758</v>
          </cell>
          <cell r="I53">
            <v>50718</v>
          </cell>
          <cell r="J53">
            <v>-0.18252151768157054</v>
          </cell>
          <cell r="K53">
            <v>0.13849177760474779</v>
          </cell>
        </row>
        <row r="54">
          <cell r="A54">
            <v>910012</v>
          </cell>
          <cell r="B54" t="str">
            <v>Sinai Hospital</v>
          </cell>
          <cell r="C54">
            <v>121906</v>
          </cell>
          <cell r="D54">
            <v>1033</v>
          </cell>
          <cell r="E54">
            <v>122939</v>
          </cell>
          <cell r="F54">
            <v>100900</v>
          </cell>
          <cell r="G54">
            <v>2836</v>
          </cell>
          <cell r="H54">
            <v>1250</v>
          </cell>
          <cell r="I54">
            <v>104986</v>
          </cell>
          <cell r="J54">
            <v>-0.13879546535855491</v>
          </cell>
          <cell r="K54">
            <v>0.28635927698610009</v>
          </cell>
        </row>
        <row r="55">
          <cell r="A55">
            <v>910024</v>
          </cell>
          <cell r="B55" t="str">
            <v>Union Memorial Hospital</v>
          </cell>
          <cell r="C55">
            <v>70293</v>
          </cell>
          <cell r="D55">
            <v>158</v>
          </cell>
          <cell r="E55">
            <v>70451</v>
          </cell>
          <cell r="F55">
            <v>48455</v>
          </cell>
          <cell r="G55">
            <v>1914</v>
          </cell>
          <cell r="H55">
            <v>741</v>
          </cell>
          <cell r="I55">
            <v>51110</v>
          </cell>
          <cell r="J55">
            <v>-0.27290057331455475</v>
          </cell>
          <cell r="K55">
            <v>0.24346965020600916</v>
          </cell>
        </row>
        <row r="56">
          <cell r="A56">
            <v>910029</v>
          </cell>
          <cell r="B56" t="str">
            <v>Johns Hopkins Bayview Medical Center</v>
          </cell>
          <cell r="C56">
            <v>113606</v>
          </cell>
          <cell r="D56">
            <v>653</v>
          </cell>
          <cell r="E56">
            <v>114259</v>
          </cell>
          <cell r="F56">
            <v>105338</v>
          </cell>
          <cell r="G56">
            <v>1690</v>
          </cell>
          <cell r="H56">
            <v>861</v>
          </cell>
          <cell r="I56">
            <v>107889</v>
          </cell>
          <cell r="J56">
            <v>-5.0323046317976128E-2</v>
          </cell>
          <cell r="K56">
            <v>0.30758916573151729</v>
          </cell>
        </row>
        <row r="58">
          <cell r="A58">
            <v>990099</v>
          </cell>
          <cell r="B58" t="str">
            <v>Holy Cross Hospitals</v>
          </cell>
          <cell r="C58">
            <v>105121</v>
          </cell>
          <cell r="D58">
            <v>1931</v>
          </cell>
          <cell r="E58">
            <v>107052</v>
          </cell>
          <cell r="F58">
            <v>101691</v>
          </cell>
          <cell r="G58">
            <v>2917</v>
          </cell>
          <cell r="H58">
            <v>1420</v>
          </cell>
          <cell r="I58">
            <v>106028</v>
          </cell>
          <cell r="J58">
            <v>8.6281523197078158E-3</v>
          </cell>
          <cell r="K58">
            <v>0.38263088873256884</v>
          </cell>
        </row>
      </sheetData>
      <sheetData sheetId="20"/>
      <sheetData sheetId="21"/>
      <sheetData sheetId="22"/>
      <sheetData sheetId="23">
        <row r="1">
          <cell r="A1">
            <v>1</v>
          </cell>
        </row>
      </sheetData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2"/>
    </sheetNames>
    <sheetDataSet>
      <sheetData sheetId="0">
        <row r="1">
          <cell r="B1" t="str">
            <v>HOSPID</v>
          </cell>
          <cell r="C1" t="str">
            <v>HOSPITAL NAME</v>
          </cell>
          <cell r="D1" t="str">
            <v>New Markup</v>
          </cell>
        </row>
        <row r="2">
          <cell r="B2">
            <v>210001</v>
          </cell>
          <cell r="C2" t="str">
            <v>Meritus</v>
          </cell>
          <cell r="D2">
            <v>1.0965672937194539</v>
          </cell>
        </row>
        <row r="3">
          <cell r="B3">
            <v>210002</v>
          </cell>
          <cell r="C3" t="str">
            <v>University Medical Center</v>
          </cell>
          <cell r="D3">
            <v>1.0953337535721144</v>
          </cell>
        </row>
        <row r="4">
          <cell r="B4">
            <v>210003</v>
          </cell>
          <cell r="C4" t="str">
            <v>Prince Georges Hospital</v>
          </cell>
          <cell r="D4">
            <v>1.0963306121172727</v>
          </cell>
        </row>
        <row r="5">
          <cell r="B5">
            <v>210004</v>
          </cell>
          <cell r="C5" t="str">
            <v>Holy Cross</v>
          </cell>
          <cell r="D5">
            <v>1.0903345654382657</v>
          </cell>
        </row>
        <row r="6">
          <cell r="B6">
            <v>210005</v>
          </cell>
          <cell r="C6" t="str">
            <v>Frederick Memorial</v>
          </cell>
          <cell r="D6">
            <v>1.0916089502900421</v>
          </cell>
        </row>
        <row r="7">
          <cell r="B7">
            <v>210006</v>
          </cell>
          <cell r="C7" t="str">
            <v>Harford Memorial</v>
          </cell>
          <cell r="D7">
            <v>1.0939146714145691</v>
          </cell>
        </row>
        <row r="8">
          <cell r="B8">
            <v>210008</v>
          </cell>
          <cell r="C8" t="str">
            <v>Mercy</v>
          </cell>
          <cell r="D8">
            <v>1.0915692701204411</v>
          </cell>
        </row>
        <row r="9">
          <cell r="B9">
            <v>210009</v>
          </cell>
          <cell r="C9" t="str">
            <v>Johns Hopkins Hospital</v>
          </cell>
          <cell r="D9">
            <v>1.0878263145968667</v>
          </cell>
        </row>
        <row r="10">
          <cell r="B10">
            <v>210010</v>
          </cell>
          <cell r="C10" t="str">
            <v>Shore Medical Dorchester</v>
          </cell>
          <cell r="D10">
            <v>1.1016552782985627</v>
          </cell>
        </row>
        <row r="11">
          <cell r="B11">
            <v>210011</v>
          </cell>
          <cell r="C11" t="str">
            <v>St. Agnes</v>
          </cell>
          <cell r="D11">
            <v>1.0962741841922081</v>
          </cell>
        </row>
        <row r="12">
          <cell r="B12">
            <v>210012</v>
          </cell>
          <cell r="C12" t="str">
            <v>Sinai</v>
          </cell>
          <cell r="D12">
            <v>1.0952231825796594</v>
          </cell>
        </row>
        <row r="13">
          <cell r="B13">
            <v>210013</v>
          </cell>
          <cell r="C13" t="str">
            <v>Bon Secours</v>
          </cell>
          <cell r="D13">
            <v>1.1026804682882889</v>
          </cell>
        </row>
        <row r="14">
          <cell r="B14">
            <v>210015</v>
          </cell>
          <cell r="C14" t="str">
            <v>Franklin Square</v>
          </cell>
          <cell r="D14">
            <v>1.0973336341529938</v>
          </cell>
        </row>
        <row r="15">
          <cell r="B15">
            <v>210016</v>
          </cell>
          <cell r="C15" t="str">
            <v>Washington Adventist</v>
          </cell>
          <cell r="D15">
            <v>1.0977784116737554</v>
          </cell>
        </row>
        <row r="16">
          <cell r="B16">
            <v>210017</v>
          </cell>
          <cell r="C16" t="str">
            <v>Garrett County</v>
          </cell>
          <cell r="D16">
            <v>1.0961785275385361</v>
          </cell>
        </row>
        <row r="17">
          <cell r="B17">
            <v>210018</v>
          </cell>
          <cell r="C17" t="str">
            <v>Montgomery General</v>
          </cell>
          <cell r="D17">
            <v>1.0933405894355734</v>
          </cell>
        </row>
        <row r="18">
          <cell r="B18">
            <v>210019</v>
          </cell>
          <cell r="C18" t="str">
            <v>Peninsula Regional</v>
          </cell>
          <cell r="D18">
            <v>1.0978696918984006</v>
          </cell>
        </row>
        <row r="19">
          <cell r="B19">
            <v>210022</v>
          </cell>
          <cell r="C19" t="str">
            <v>Suburban</v>
          </cell>
          <cell r="D19">
            <v>1.0909290081011322</v>
          </cell>
        </row>
        <row r="20">
          <cell r="B20">
            <v>210023</v>
          </cell>
          <cell r="C20" t="str">
            <v>Anne Arundel</v>
          </cell>
          <cell r="D20">
            <v>1.0881017105926887</v>
          </cell>
        </row>
        <row r="21">
          <cell r="B21">
            <v>210024</v>
          </cell>
          <cell r="C21" t="str">
            <v>Union Memorial</v>
          </cell>
          <cell r="D21">
            <v>1.0963236833132124</v>
          </cell>
        </row>
        <row r="22">
          <cell r="B22">
            <v>210027</v>
          </cell>
          <cell r="C22" t="str">
            <v>Western Maryland Health System</v>
          </cell>
          <cell r="D22">
            <v>1.1009509493306491</v>
          </cell>
        </row>
        <row r="23">
          <cell r="B23">
            <v>210028</v>
          </cell>
          <cell r="C23" t="str">
            <v>St. Mary's</v>
          </cell>
          <cell r="D23">
            <v>1.0923191168670769</v>
          </cell>
        </row>
        <row r="24">
          <cell r="B24">
            <v>210029</v>
          </cell>
          <cell r="C24" t="str">
            <v>JH Bayview Medical Center</v>
          </cell>
          <cell r="D24">
            <v>1.0977598582507571</v>
          </cell>
        </row>
        <row r="25">
          <cell r="B25">
            <v>210030</v>
          </cell>
          <cell r="C25" t="str">
            <v>Shore Medical Chestertown</v>
          </cell>
          <cell r="D25">
            <v>1.1003347580106044</v>
          </cell>
        </row>
        <row r="26">
          <cell r="B26">
            <v>210032</v>
          </cell>
          <cell r="C26" t="str">
            <v>Union of Cecil</v>
          </cell>
          <cell r="D26">
            <v>1.0967871336900321</v>
          </cell>
        </row>
        <row r="27">
          <cell r="B27">
            <v>210033</v>
          </cell>
          <cell r="C27" t="str">
            <v>Carroll County</v>
          </cell>
          <cell r="D27">
            <v>1.0941992733223276</v>
          </cell>
        </row>
        <row r="28">
          <cell r="B28">
            <v>210034</v>
          </cell>
          <cell r="C28" t="str">
            <v>Harbor Hospital</v>
          </cell>
          <cell r="D28">
            <v>1.0977881752632692</v>
          </cell>
        </row>
        <row r="29">
          <cell r="B29">
            <v>210035</v>
          </cell>
          <cell r="C29" t="str">
            <v xml:space="preserve">Charles Regional </v>
          </cell>
          <cell r="D29">
            <v>1.0966373052921363</v>
          </cell>
        </row>
        <row r="30">
          <cell r="B30">
            <v>210037</v>
          </cell>
          <cell r="C30" t="str">
            <v>Shore Medical Easton</v>
          </cell>
          <cell r="D30">
            <v>1.099095772439604</v>
          </cell>
        </row>
        <row r="31">
          <cell r="B31">
            <v>210038</v>
          </cell>
          <cell r="C31" t="str">
            <v>UMMC Midtown</v>
          </cell>
          <cell r="D31">
            <v>1.1005377242992815</v>
          </cell>
        </row>
        <row r="32">
          <cell r="B32">
            <v>210039</v>
          </cell>
          <cell r="C32" t="str">
            <v>Calvert</v>
          </cell>
          <cell r="D32">
            <v>1.0896460964193784</v>
          </cell>
        </row>
        <row r="33">
          <cell r="B33">
            <v>210040</v>
          </cell>
          <cell r="C33" t="str">
            <v>Northwest</v>
          </cell>
          <cell r="D33">
            <v>1.0952725835986694</v>
          </cell>
        </row>
        <row r="34">
          <cell r="B34">
            <v>210043</v>
          </cell>
          <cell r="C34" t="str">
            <v>Baltimore Washington</v>
          </cell>
          <cell r="D34">
            <v>1.094298357272198</v>
          </cell>
        </row>
        <row r="35">
          <cell r="B35">
            <v>210044</v>
          </cell>
          <cell r="C35" t="str">
            <v>Greater Baltimore Medical Center</v>
          </cell>
          <cell r="D35">
            <v>1.0887795174128592</v>
          </cell>
        </row>
        <row r="36">
          <cell r="B36">
            <v>210045</v>
          </cell>
          <cell r="C36" t="str">
            <v>McCready</v>
          </cell>
          <cell r="D36">
            <v>1.1000451041903196</v>
          </cell>
        </row>
        <row r="37">
          <cell r="B37">
            <v>210048</v>
          </cell>
          <cell r="C37" t="str">
            <v>Howard County</v>
          </cell>
          <cell r="D37">
            <v>1.0884353028263278</v>
          </cell>
        </row>
        <row r="38">
          <cell r="B38">
            <v>210049</v>
          </cell>
          <cell r="C38" t="str">
            <v>Upper Chesapeake</v>
          </cell>
          <cell r="D38">
            <v>1.0914316135844762</v>
          </cell>
        </row>
        <row r="39">
          <cell r="B39">
            <v>210051</v>
          </cell>
          <cell r="C39" t="str">
            <v>Doctors Community</v>
          </cell>
          <cell r="D39">
            <v>1.0948838628738018</v>
          </cell>
        </row>
        <row r="40">
          <cell r="B40">
            <v>210055</v>
          </cell>
          <cell r="C40" t="str">
            <v>Laurel Regional</v>
          </cell>
          <cell r="D40">
            <v>1.0934308630702625</v>
          </cell>
        </row>
        <row r="41">
          <cell r="B41">
            <v>210056</v>
          </cell>
          <cell r="C41" t="str">
            <v>Good Samaritan</v>
          </cell>
          <cell r="D41">
            <v>1.1002376998134848</v>
          </cell>
        </row>
        <row r="42">
          <cell r="B42">
            <v>210057</v>
          </cell>
          <cell r="C42" t="str">
            <v>Shady Grove</v>
          </cell>
          <cell r="D42">
            <v>1.0890453925126413</v>
          </cell>
        </row>
        <row r="43">
          <cell r="B43">
            <v>210058</v>
          </cell>
          <cell r="C43" t="str">
            <v>Rehab &amp; Ortho Institue</v>
          </cell>
          <cell r="D43">
            <v>1.0908060537691864</v>
          </cell>
        </row>
        <row r="44">
          <cell r="B44">
            <v>210060</v>
          </cell>
          <cell r="C44" t="str">
            <v>Fort Washington</v>
          </cell>
          <cell r="D44">
            <v>1.096862268780789</v>
          </cell>
        </row>
        <row r="45">
          <cell r="B45">
            <v>210061</v>
          </cell>
          <cell r="C45" t="str">
            <v>Atlantic General</v>
          </cell>
          <cell r="D45">
            <v>1.0953665287762928</v>
          </cell>
        </row>
        <row r="46">
          <cell r="B46">
            <v>210062</v>
          </cell>
          <cell r="C46" t="str">
            <v>Southern Maryland</v>
          </cell>
          <cell r="D46">
            <v>1.0939101007183893</v>
          </cell>
        </row>
        <row r="47">
          <cell r="B47">
            <v>210063</v>
          </cell>
          <cell r="C47" t="str">
            <v>St. Joseph</v>
          </cell>
          <cell r="D47">
            <v>1.0907090025928348</v>
          </cell>
        </row>
        <row r="48">
          <cell r="B48">
            <v>210064</v>
          </cell>
          <cell r="C48" t="str">
            <v>Levindale</v>
          </cell>
          <cell r="D48">
            <v>1.1067032263879555</v>
          </cell>
        </row>
        <row r="49">
          <cell r="B49">
            <v>210065</v>
          </cell>
          <cell r="C49" t="str">
            <v>Germantown</v>
          </cell>
          <cell r="D49">
            <v>1.0892322918791653</v>
          </cell>
        </row>
        <row r="50">
          <cell r="B50" t="e">
            <v>#N/A</v>
          </cell>
          <cell r="C50" t="str">
            <v>Prince Georges Hospital</v>
          </cell>
          <cell r="D50">
            <v>1.0963306121172727</v>
          </cell>
        </row>
        <row r="51">
          <cell r="B51" t="e">
            <v>#N/A</v>
          </cell>
          <cell r="C51" t="str">
            <v>Mercy</v>
          </cell>
          <cell r="D51">
            <v>1.0915692701204411</v>
          </cell>
        </row>
        <row r="52">
          <cell r="B52" t="e">
            <v>#N/A</v>
          </cell>
          <cell r="C52" t="str">
            <v>Sinai</v>
          </cell>
          <cell r="D52">
            <v>1.0952231825796594</v>
          </cell>
        </row>
        <row r="53">
          <cell r="B53" t="e">
            <v>#N/A</v>
          </cell>
          <cell r="C53" t="str">
            <v>Union Memorial</v>
          </cell>
          <cell r="D53">
            <v>1.0963236833132124</v>
          </cell>
        </row>
        <row r="54">
          <cell r="B54" t="e">
            <v>#N/A</v>
          </cell>
          <cell r="C54" t="str">
            <v>JH Bayview Medical Center</v>
          </cell>
          <cell r="D54">
            <v>1.0977598582507571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djustment%20Methodologies\ROC\FY%202019\Policy\Capital\Website\Capital%20Methodology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lan Pack" refreshedDate="43684.425209837966" createdVersion="5" refreshedVersion="5" minRefreshableVersion="3" recordCount="171" xr:uid="{00000000-000A-0000-FFFF-FFFF00000000}">
  <cacheSource type="worksheet">
    <worksheetSource ref="A1:AD1048576" sheet="ACS-Detail" r:id="rId2"/>
  </cacheSource>
  <cacheFields count="31">
    <cacheField name="BASEYEAR" numFmtId="0">
      <sharedItems containsString="0" containsBlank="1" containsNumber="1" containsInteger="1" minValue="2016" maxValue="2018" count="4">
        <n v="2018"/>
        <n v="2017"/>
        <n v="2016"/>
        <m/>
      </sharedItems>
    </cacheField>
    <cacheField name="HOSPNUMB" numFmtId="0">
      <sharedItems containsString="0" containsBlank="1" containsNumber="1" containsInteger="1" minValue="210001" maxValue="990099" count="58">
        <n v="210001"/>
        <n v="210002"/>
        <n v="210003"/>
        <n v="210004"/>
        <n v="210005"/>
        <n v="210006"/>
        <n v="210008"/>
        <n v="210009"/>
        <n v="210010"/>
        <n v="210011"/>
        <n v="210012"/>
        <n v="210013"/>
        <n v="210015"/>
        <n v="210016"/>
        <n v="210017"/>
        <n v="210018"/>
        <n v="210019"/>
        <n v="210022"/>
        <n v="210023"/>
        <n v="210024"/>
        <n v="210027"/>
        <n v="210028"/>
        <n v="210029"/>
        <n v="210030"/>
        <n v="210032"/>
        <n v="210033"/>
        <n v="210034"/>
        <n v="210035"/>
        <n v="210037"/>
        <n v="210038"/>
        <n v="210039"/>
        <n v="210040"/>
        <n v="210043"/>
        <n v="210044"/>
        <n v="210045"/>
        <n v="210048"/>
        <n v="210049"/>
        <n v="210051"/>
        <n v="210055"/>
        <n v="210056"/>
        <n v="210057"/>
        <n v="210058"/>
        <n v="210060"/>
        <n v="210061"/>
        <n v="210062"/>
        <n v="210063"/>
        <n v="210064"/>
        <n v="210065"/>
        <n v="210087"/>
        <n v="210088"/>
        <n v="210333"/>
        <n v="213300"/>
        <n v="214000"/>
        <n v="214003"/>
        <n v="218992"/>
        <n v="990099"/>
        <n v="214013"/>
        <m/>
      </sharedItems>
    </cacheField>
    <cacheField name="Peer Group" numFmtId="0">
      <sharedItems containsBlank="1" containsMixedTypes="1" containsNumber="1" containsInteger="1" minValue="1" maxValue="5" count="7">
        <n v="3"/>
        <n v="5"/>
        <n v="4"/>
        <s v="NA"/>
        <n v="1"/>
        <s v=""/>
        <m/>
      </sharedItems>
    </cacheField>
    <cacheField name="AMC Peer Group" numFmtId="0">
      <sharedItems containsBlank="1" containsMixedTypes="1" containsNumber="1" containsInteger="1" minValue="1" maxValue="5" count="6">
        <n v="3"/>
        <n v="5"/>
        <n v="1"/>
        <n v="4"/>
        <s v=""/>
        <m/>
      </sharedItems>
    </cacheField>
    <cacheField name="HOSPNAME" numFmtId="0">
      <sharedItems containsBlank="1"/>
    </cacheField>
    <cacheField name="SCHEDULE" numFmtId="0">
      <sharedItems containsBlank="1"/>
    </cacheField>
    <cacheField name="SAL_WAGE" numFmtId="0">
      <sharedItems containsString="0" containsBlank="1" containsNumber="1" minValue="2472.2860000000001" maxValue="617849.72746960062"/>
    </cacheField>
    <cacheField name="FRINGE" numFmtId="0">
      <sharedItems containsString="0" containsBlank="1" containsNumber="1" minValue="0" maxValue="226025.77148500271"/>
    </cacheField>
    <cacheField name="DEP_AMOR" numFmtId="0">
      <sharedItems containsString="0" containsBlank="1" containsNumber="1" minValue="468" maxValue="137570.07200000001"/>
    </cacheField>
    <cacheField name="OPERAT_LEASES" numFmtId="0">
      <sharedItems containsString="0" containsBlank="1" containsNumber="1" minValue="0" maxValue="13425.6"/>
    </cacheField>
    <cacheField name="INTEREST" numFmtId="0">
      <sharedItems containsString="0" containsBlank="1" containsNumber="1" minValue="-4.20000000001437E-2" maxValue="58141.5"/>
    </cacheField>
    <cacheField name="MEDSUPPL" numFmtId="0">
      <sharedItems containsString="0" containsBlank="1" containsNumber="1" minValue="0" maxValue="172261.60597"/>
    </cacheField>
    <cacheField name="IV_DRUG" numFmtId="0">
      <sharedItems containsString="0" containsBlank="1" containsNumber="1" minValue="122.53700000000001" maxValue="167446.15329000002"/>
    </cacheField>
    <cacheField name="LL_UNIFO" numFmtId="0">
      <sharedItems containsString="0" containsBlank="1" containsNumber="1" minValue="0" maxValue="6705.3130000000001"/>
    </cacheField>
    <cacheField name="FILMS" numFmtId="0">
      <sharedItems containsString="0" containsBlank="1" containsNumber="1" minValue="-3.7999999999999999E-2" maxValue="2206.2907570060001"/>
    </cacheField>
    <cacheField name="BLOOD" numFmtId="0">
      <sharedItems containsString="0" containsBlank="1" containsNumber="1" minValue="-604.27083000000005" maxValue="25064.220379999999"/>
    </cacheField>
    <cacheField name="CONTRACT" numFmtId="0">
      <sharedItems containsString="0" containsBlank="1" containsNumber="1" minValue="241.75314" maxValue="476024.94255799998"/>
    </cacheField>
    <cacheField name="PROF_FEE" numFmtId="0">
      <sharedItems containsString="0" containsBlank="1" containsNumber="1" minValue="-461.00547548399999" maxValue="124233"/>
    </cacheField>
    <cacheField name="AGENCYRN" numFmtId="0">
      <sharedItems containsString="0" containsBlank="1" containsNumber="1" minValue="0" maxValue="29085.430120000012"/>
    </cacheField>
    <cacheField name="MALPRAIN" numFmtId="0">
      <sharedItems containsString="0" containsBlank="1" containsNumber="1" minValue="-2143.3000000000002" maxValue="27994.30385"/>
    </cacheField>
    <cacheField name="OTHINSU" numFmtId="0">
      <sharedItems containsString="0" containsBlank="1" containsNumber="1" minValue="-1518.3507785588929" maxValue="6943.7695119256477"/>
    </cacheField>
    <cacheField name="TELEPHON" numFmtId="0">
      <sharedItems containsString="0" containsBlank="1" containsNumber="1" minValue="0" maxValue="11097.12393"/>
    </cacheField>
    <cacheField name="UTL_WATE" numFmtId="0">
      <sharedItems containsString="0" containsBlank="1" containsNumber="1" minValue="0" maxValue="36452.775300000001"/>
    </cacheField>
    <cacheField name="FOODCOST" numFmtId="0">
      <sharedItems containsString="0" containsBlank="1" containsNumber="1" minValue="-148.91105999999999" maxValue="9179.9218400000009"/>
    </cacheField>
    <cacheField name="OFFICE_S" numFmtId="0">
      <sharedItems containsString="0" containsBlank="1" containsNumber="1" minValue="24.876000000000001" maxValue="20694.889218101001"/>
    </cacheField>
    <cacheField name="CHEMICAL" numFmtId="0">
      <sharedItems containsString="0" containsBlank="1" containsNumber="1" minValue="-0.38642797099999998" maxValue="18583.12"/>
    </cacheField>
    <cacheField name="OTHERS" numFmtId="0">
      <sharedItems containsString="0" containsBlank="1" containsNumber="1" minValue="-12543.047519999887" maxValue="49396.233994372902"/>
    </cacheField>
    <cacheField name="Capital %" numFmtId="0">
      <sharedItems containsString="0" containsBlank="1" containsNumber="1" minValue="3.8579561607193918E-2" maxValue="0.21075619821325142"/>
    </cacheField>
    <cacheField name="TOT_COST" numFmtId="0">
      <sharedItems containsString="0" containsBlank="1" containsNumber="1" minValue="6655.9970000000003" maxValue="2045292.980158"/>
    </cacheField>
    <cacheField name="VERSION" numFmtId="0">
      <sharedItems containsBlank="1"/>
    </cacheField>
    <cacheField name="Capital Cost Share" numFmtId="0" formula="(DEP_AMOR+INTEREST)/TOT_COST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1">
  <r>
    <x v="0"/>
    <x v="0"/>
    <x v="0"/>
    <x v="0"/>
    <s v="Meritus Medical Cntr"/>
    <s v="ACS"/>
    <n v="91333.700000000012"/>
    <n v="24803.3"/>
    <n v="18057.099999999999"/>
    <n v="1215.8"/>
    <n v="11651.8"/>
    <n v="27879.8"/>
    <n v="6656.8"/>
    <n v="570.1"/>
    <n v="144.19999999999999"/>
    <n v="2289"/>
    <n v="52029.9"/>
    <n v="4985.5"/>
    <n v="1036.5"/>
    <n v="1892.3"/>
    <n v="680.3"/>
    <n v="288.60000000000002"/>
    <n v="2915.9"/>
    <n v="663.7"/>
    <n v="3081.5"/>
    <n v="301.3"/>
    <n v="625.1"/>
    <n v="0.12218265981093804"/>
    <n v="253102.19999999995"/>
    <s v="V10"/>
  </r>
  <r>
    <x v="0"/>
    <x v="1"/>
    <x v="1"/>
    <x v="1"/>
    <s v="UMMC"/>
    <s v="ACS"/>
    <n v="393359.88287520234"/>
    <n v="145121.44928633515"/>
    <n v="60255.921842124932"/>
    <n v="10442.6"/>
    <n v="25448"/>
    <n v="164006.84670999995"/>
    <n v="167446.15329000002"/>
    <n v="125.76184000000001"/>
    <n v="0"/>
    <n v="0"/>
    <n v="73784.625617737067"/>
    <n v="124233"/>
    <n v="5436.4152099999992"/>
    <n v="3530.7999999999993"/>
    <n v="1383.3"/>
    <n v="10292.079169999995"/>
    <n v="16263.22775"/>
    <n v="210.03689000000003"/>
    <n v="4085.8921599999953"/>
    <n v="11332.055909999999"/>
    <n v="29227.027530000007"/>
    <n v="7.7165066972153432E-2"/>
    <n v="1245985.0760814"/>
    <s v="V10"/>
  </r>
  <r>
    <x v="0"/>
    <x v="2"/>
    <x v="2"/>
    <x v="1"/>
    <s v="UM-Prince George's Hospital"/>
    <s v="ACS"/>
    <n v="110566.46897519007"/>
    <n v="22422.353685820384"/>
    <n v="8890.4941600000002"/>
    <n v="317.77562000000006"/>
    <n v="66.818127245575553"/>
    <n v="18140.333915698895"/>
    <n v="8686.2955530168219"/>
    <n v="617.49894894285876"/>
    <n v="388.14278724759151"/>
    <n v="1727.9254995579518"/>
    <n v="36206.073297809897"/>
    <n v="3261.5572784823812"/>
    <n v="6779.6187569590502"/>
    <n v="5108.7036409417487"/>
    <n v="401.91766507078341"/>
    <n v="782.72388139096029"/>
    <n v="3593.3435598197389"/>
    <n v="2515.3918495833682"/>
    <n v="532.6193593126136"/>
    <n v="1922.064243449237"/>
    <n v="7486.4282679272364"/>
    <n v="3.8579561607193918E-2"/>
    <n v="240414.54907346723"/>
    <s v="V10"/>
  </r>
  <r>
    <x v="0"/>
    <x v="3"/>
    <x v="3"/>
    <x v="2"/>
    <s v="Holy Cross"/>
    <s v="ACS"/>
    <n v="179945.42801680387"/>
    <n v="36817.682466596765"/>
    <n v="25340.212931696544"/>
    <n v="3898.3"/>
    <n v="8688.6098630740835"/>
    <n v="41872.877910000017"/>
    <n v="17271.273519999999"/>
    <n v="380.92808000000008"/>
    <n v="11.73521"/>
    <n v="2526.4601199999997"/>
    <n v="21829.219886073119"/>
    <n v="12494.968699999998"/>
    <n v="1370.5198600000001"/>
    <n v="3963.792672"/>
    <n v="887.99887800000045"/>
    <n v="4.4109699999999998"/>
    <n v="7133.7907599999999"/>
    <n v="4459.0674200000021"/>
    <n v="1466.8742500000003"/>
    <n v="306.82531"/>
    <n v="8170.4035799999965"/>
    <n v="0.10011346372537318"/>
    <n v="378841.38040424447"/>
    <s v="V10"/>
  </r>
  <r>
    <x v="0"/>
    <x v="4"/>
    <x v="0"/>
    <x v="0"/>
    <s v="Frederick Memorial"/>
    <s v="ACS"/>
    <n v="101855.64930497608"/>
    <n v="24565.702777059672"/>
    <n v="18482.832799999996"/>
    <n v="189.75861000000009"/>
    <n v="4537.0870172957348"/>
    <n v="24468.52597873655"/>
    <n v="3886.4333581444143"/>
    <n v="579.96915549518735"/>
    <n v="8.2449746968776729"/>
    <n v="1029.760286911225"/>
    <n v="51963.488640350581"/>
    <n v="7721.2355403689453"/>
    <n v="0"/>
    <n v="2227.6999999999998"/>
    <n v="398.19999970725894"/>
    <n v="813.38158607659534"/>
    <n v="2169.7656499161708"/>
    <n v="961.00443770090499"/>
    <n v="1344.5524002174404"/>
    <n v="3458.035576597229"/>
    <n v="3255.9651684993514"/>
    <n v="9.1406450222666261E-2"/>
    <n v="253917.29326275023"/>
    <s v="V10"/>
  </r>
  <r>
    <x v="0"/>
    <x v="5"/>
    <x v="0"/>
    <x v="0"/>
    <s v="UM-Harford Memorial"/>
    <s v="ACS"/>
    <n v="45095.558353844266"/>
    <n v="9655.9896461557346"/>
    <n v="4334.6890000000003"/>
    <n v="1252.4000000000001"/>
    <n v="983.77"/>
    <n v="2948"/>
    <n v="2468.6999999999998"/>
    <n v="179.035"/>
    <n v="488.46699999999998"/>
    <n v="311.95999999999998"/>
    <n v="4546.2960000000003"/>
    <n v="3829.3"/>
    <n v="356.18"/>
    <n v="951.28200000000004"/>
    <n v="261.60000000000002"/>
    <n v="714.86199999999997"/>
    <n v="1477.9580000000001"/>
    <n v="416.59699999999998"/>
    <n v="1076.374"/>
    <n v="1713.0530000000001"/>
    <n v="276.02900000002154"/>
    <n v="7.8845798020353214E-2"/>
    <n v="83338.100000000035"/>
    <s v="V10"/>
  </r>
  <r>
    <x v="0"/>
    <x v="6"/>
    <x v="2"/>
    <x v="3"/>
    <s v="Mercy Medical Cntr"/>
    <s v="ACS"/>
    <n v="153181.14085682199"/>
    <n v="40297.224000000002"/>
    <n v="33532.5"/>
    <n v="2892.8"/>
    <n v="15801.7"/>
    <n v="60863.708000000006"/>
    <n v="26893.339"/>
    <n v="159.321"/>
    <n v="1023.779"/>
    <n v="7291.4769999999999"/>
    <n v="55179.555740000003"/>
    <n v="9512.4549999999999"/>
    <n v="30.750260000000001"/>
    <n v="22689.3"/>
    <n v="1516.3"/>
    <n v="845.40499999999997"/>
    <n v="7188.4089999999997"/>
    <n v="3975.9549999999999"/>
    <n v="4108.9130000000005"/>
    <n v="186.24100000000001"/>
    <n v="3465.4330000000004"/>
    <n v="0.11589627568613881"/>
    <n v="450635.70585682202"/>
    <s v="V10"/>
  </r>
  <r>
    <x v="0"/>
    <x v="7"/>
    <x v="1"/>
    <x v="1"/>
    <s v="Johns Hopkins"/>
    <s v="ACS"/>
    <n v="610568.82851499727"/>
    <n v="226025.77148500271"/>
    <n v="130033.5"/>
    <n v="11564.7"/>
    <n v="58141.5"/>
    <n v="160596.29999999999"/>
    <n v="159576"/>
    <n v="6705.3130000000001"/>
    <n v="1.1339999999999999"/>
    <n v="22676.431"/>
    <n v="476024.94255799998"/>
    <n v="40968.2546"/>
    <n v="14221.166999999999"/>
    <n v="24636.9"/>
    <n v="2287.4"/>
    <n v="9158.607"/>
    <n v="34325.588000000003"/>
    <n v="7297.2889999999998"/>
    <n v="5507.8339999999998"/>
    <n v="18583.12"/>
    <n v="26392.400000000001"/>
    <n v="9.7658233777622422E-2"/>
    <n v="2045292.980158"/>
    <s v="V10"/>
  </r>
  <r>
    <x v="0"/>
    <x v="8"/>
    <x v="0"/>
    <x v="0"/>
    <s v="UM-SRH at Dorchester"/>
    <s v="ACS"/>
    <n v="16849.151351240758"/>
    <n v="4630.9931421167903"/>
    <n v="2833.9716159147788"/>
    <n v="215.86318000000003"/>
    <n v="193.18"/>
    <n v="733.18394548216315"/>
    <n v="1274.8900000000001"/>
    <n v="90.958051129469794"/>
    <n v="54.343000000000004"/>
    <n v="111.358"/>
    <n v="4728.6263532077537"/>
    <n v="3815.1730765640082"/>
    <n v="536.44100000000003"/>
    <n v="949.06799999999998"/>
    <n v="-511.40879999999993"/>
    <n v="46.169329999999995"/>
    <n v="809.35498913869219"/>
    <n v="197.40727000000001"/>
    <n v="130.05530084915355"/>
    <n v="311.76376191523127"/>
    <n v="30.473839999999996"/>
    <n v="8.5272893081821954E-2"/>
    <n v="38031.016407558804"/>
    <s v="V10"/>
  </r>
  <r>
    <x v="0"/>
    <x v="9"/>
    <x v="4"/>
    <x v="2"/>
    <s v="St. Agnes Hospital"/>
    <s v="ACS"/>
    <n v="117003.74322573947"/>
    <n v="32789.963737203449"/>
    <n v="18048.454859999983"/>
    <n v="2606.88942"/>
    <n v="2704.7761299999997"/>
    <n v="25613.721182719237"/>
    <n v="20643.207920000004"/>
    <n v="1432.1437414150378"/>
    <n v="2082.6057740197944"/>
    <n v="1528.5298700000001"/>
    <n v="28303.19961904412"/>
    <n v="1529.8939545264195"/>
    <n v="3461.9076946996065"/>
    <n v="1754.1769100000001"/>
    <n v="6943.7695119256477"/>
    <n v="0"/>
    <n v="1648.5142277337691"/>
    <n v="65.058958230716655"/>
    <n v="957.0955818190572"/>
    <n v="100.94837814805582"/>
    <n v="49396.233994372902"/>
    <n v="7.3317742510675535E-2"/>
    <n v="318614.83469159732"/>
    <s v="V10"/>
  </r>
  <r>
    <x v="0"/>
    <x v="10"/>
    <x v="2"/>
    <x v="1"/>
    <s v="Sinai Hospital"/>
    <s v="ACS"/>
    <n v="230333.69409793671"/>
    <n v="56213.140376838266"/>
    <n v="37689.720849999998"/>
    <n v="11056.5"/>
    <n v="12446.7"/>
    <n v="92327.853536427021"/>
    <n v="49277.474443337509"/>
    <n v="1609.848701465733"/>
    <n v="489.44963290972049"/>
    <n v="4087.2311737548534"/>
    <n v="31622.138427182988"/>
    <n v="17036.281930250407"/>
    <n v="4955.7232395200199"/>
    <n v="6905.4"/>
    <n v="2200.3000000000002"/>
    <n v="479.33532413610499"/>
    <n v="9881.7181256123476"/>
    <n v="1104.9582617780156"/>
    <n v="7328.1767338980708"/>
    <n v="2126.531903790366"/>
    <n v="17160.033079999954"/>
    <n v="0.10261548821341998"/>
    <n v="596332.2098388382"/>
    <s v="V10"/>
  </r>
  <r>
    <x v="0"/>
    <x v="11"/>
    <x v="2"/>
    <x v="3"/>
    <s v="Bon Secours"/>
    <s v="ACS"/>
    <n v="30795.651174605788"/>
    <n v="6483.7064961571587"/>
    <n v="5588.5116011711816"/>
    <n v="714.19050000000004"/>
    <n v="1375.9032300000001"/>
    <n v="2119.0924799999998"/>
    <n v="1906.8904500000006"/>
    <n v="42.057089999999995"/>
    <n v="113.00834"/>
    <n v="144.89701999999997"/>
    <n v="12653.647140000005"/>
    <n v="10876.621430000001"/>
    <n v="633.66759000000002"/>
    <n v="1371.5702399999996"/>
    <n v="257.29293999999999"/>
    <n v="90.824960000000019"/>
    <n v="1614.1764800000001"/>
    <n v="-145.23432"/>
    <n v="878.99224000000038"/>
    <n v="624.68231000000014"/>
    <n v="-4780.043087593469"/>
    <n v="0.10467004095271934"/>
    <n v="73360.106304340661"/>
    <s v="V10"/>
  </r>
  <r>
    <x v="0"/>
    <x v="12"/>
    <x v="4"/>
    <x v="2"/>
    <s v="MedStar Franklin  Square"/>
    <s v="ACS"/>
    <n v="180641.49757864641"/>
    <n v="33885.633697325371"/>
    <n v="22670.113153599927"/>
    <n v="4410.4791103323041"/>
    <n v="7387.812218911834"/>
    <n v="33903.876216999997"/>
    <n v="31765.152689999999"/>
    <n v="1647.3403799999994"/>
    <n v="271.68220000000002"/>
    <n v="56.542090000000087"/>
    <n v="31820.452630796928"/>
    <n v="1933.215745"/>
    <n v="1.43"/>
    <n v="5907.1593000000021"/>
    <n v="477.51296706761474"/>
    <n v="427.21559717519966"/>
    <n v="3896.8186599999999"/>
    <n v="6468.3624300000029"/>
    <n v="3239.7236250229325"/>
    <n v="3063.2806980000009"/>
    <n v="22734.109282918551"/>
    <n v="8.6907681941340784E-2"/>
    <n v="396609.41027179698"/>
    <s v="V10"/>
  </r>
  <r>
    <x v="0"/>
    <x v="13"/>
    <x v="0"/>
    <x v="0"/>
    <s v="Washington Adventist"/>
    <s v="ACS"/>
    <n v="91190.607000000004"/>
    <n v="19101.329000000002"/>
    <n v="9266.121000000001"/>
    <n v="911.42800000000011"/>
    <n v="2500.1999999999998"/>
    <n v="32958.207000000002"/>
    <n v="7334.2489999999998"/>
    <n v="1161.348"/>
    <n v="-0.02"/>
    <n v="972.20299999999997"/>
    <n v="31932.756000000001"/>
    <n v="603.745"/>
    <n v="3932.1860000000001"/>
    <n v="1672.5190000000002"/>
    <n v="758.15499999999997"/>
    <n v="679.13400000000001"/>
    <n v="3122.9"/>
    <n v="1799.174"/>
    <n v="832.255"/>
    <n v="0"/>
    <n v="2162.969310000015"/>
    <n v="5.9550292359251737E-2"/>
    <n v="212891.46531"/>
    <s v="V10"/>
  </r>
  <r>
    <x v="0"/>
    <x v="14"/>
    <x v="0"/>
    <x v="0"/>
    <s v="Garrett Co Memorial"/>
    <s v="ACS"/>
    <n v="16222.391529565362"/>
    <n v="8286.7465147030889"/>
    <n v="3766.3223368783006"/>
    <n v="46.594340004812402"/>
    <n v="156.11669784138508"/>
    <n v="6251.0172989281964"/>
    <n v="3357.3516527982256"/>
    <n v="75.711866237498256"/>
    <n v="257.43680144773538"/>
    <n v="334.17374697069755"/>
    <n v="4011.253798495959"/>
    <n v="-345.1736112018018"/>
    <n v="563.94630309747413"/>
    <n v="220.26603103159923"/>
    <n v="150.61371029347475"/>
    <n v="39.881740951616386"/>
    <n v="710.46319678647671"/>
    <n v="413.97065771421126"/>
    <n v="1674.3599145222609"/>
    <n v="12.997987913332867"/>
    <n v="1123.5678108789014"/>
    <n v="8.3858705024537281E-2"/>
    <n v="47330.010325858813"/>
    <s v="V10"/>
  </r>
  <r>
    <x v="0"/>
    <x v="15"/>
    <x v="0"/>
    <x v="0"/>
    <s v="MedStar Montgomery"/>
    <s v="ACS"/>
    <n v="57711.034979605734"/>
    <n v="11913.90665686013"/>
    <n v="10547.611450950491"/>
    <n v="257.07134220733542"/>
    <n v="1180.7819547198708"/>
    <n v="11966.070517525615"/>
    <n v="10663.129146999992"/>
    <n v="943.83911689124238"/>
    <n v="145.15044000000003"/>
    <n v="473.77503999999999"/>
    <n v="12830.929934280368"/>
    <n v="394.24215483916078"/>
    <n v="938.74534000000017"/>
    <n v="981.32885999999996"/>
    <n v="214.01625772139968"/>
    <n v="177.25700003158562"/>
    <n v="2203.7182400000002"/>
    <n v="201.05401014952815"/>
    <n v="476.70855793852934"/>
    <n v="985.82528200000002"/>
    <n v="10306.515428972174"/>
    <n v="8.8445317022192618E-2"/>
    <n v="135512.71171169318"/>
    <s v="V10"/>
  </r>
  <r>
    <x v="0"/>
    <x v="16"/>
    <x v="0"/>
    <x v="0"/>
    <s v="Peninsula Regional"/>
    <s v="ACS"/>
    <n v="128654.3"/>
    <n v="35519.699999999997"/>
    <n v="28666.3"/>
    <n v="1823.5"/>
    <n v="5215"/>
    <n v="38070.199999999997"/>
    <n v="33924.199999999997"/>
    <n v="1269.5"/>
    <n v="955.6"/>
    <n v="1717.8"/>
    <n v="35115.1"/>
    <n v="11507.4"/>
    <n v="834.9"/>
    <n v="2524.5"/>
    <n v="147.6"/>
    <n v="981.2"/>
    <n v="2501.4"/>
    <n v="1959.1"/>
    <n v="1369.4"/>
    <n v="3329.1"/>
    <n v="41.5"/>
    <n v="0.10622404071314649"/>
    <n v="336127.3"/>
    <s v="V10"/>
  </r>
  <r>
    <x v="0"/>
    <x v="17"/>
    <x v="4"/>
    <x v="2"/>
    <s v="Suburban"/>
    <s v="ACS"/>
    <n v="96749.231559999971"/>
    <n v="22141.949439999997"/>
    <n v="14925.9"/>
    <n v="1571.3"/>
    <n v="3556.7"/>
    <n v="49629.51859"/>
    <n v="14025.348019999999"/>
    <n v="1206.5695300000002"/>
    <n v="2.9318200000000001"/>
    <n v="1439.65083"/>
    <n v="28094.434170000004"/>
    <n v="8690.9537200000013"/>
    <n v="2186.8428599999997"/>
    <n v="1010.2910000000001"/>
    <n v="317.21815000000004"/>
    <n v="525.42951000000005"/>
    <n v="3615.8508099999999"/>
    <n v="1614.5545199999999"/>
    <n v="1199.5639000000003"/>
    <n v="1981.3289499999992"/>
    <n v="7505.31"/>
    <n v="7.6544268260582152E-2"/>
    <n v="261990.87737999996"/>
    <s v="V10"/>
  </r>
  <r>
    <x v="0"/>
    <x v="18"/>
    <x v="0"/>
    <x v="0"/>
    <s v="Anne Arundel Medical Cntr"/>
    <s v="ACS"/>
    <n v="194898.82558202071"/>
    <n v="37015.714713811612"/>
    <n v="28192.2"/>
    <n v="8767.9"/>
    <n v="11219.2"/>
    <n v="66710.967000000004"/>
    <n v="57398.377079999991"/>
    <n v="629.29999999999995"/>
    <n v="312.39999999999998"/>
    <n v="0"/>
    <n v="20627.3"/>
    <n v="5407.1"/>
    <n v="2156.1"/>
    <n v="5255.3"/>
    <n v="460.7"/>
    <n v="339.7"/>
    <n v="5290.5"/>
    <n v="4371.1000000000004"/>
    <n v="12503.7"/>
    <n v="357.3"/>
    <n v="28877.555919999955"/>
    <n v="9.8166584984196448E-2"/>
    <n v="490791.24029583234"/>
    <s v="V10"/>
  </r>
  <r>
    <x v="0"/>
    <x v="19"/>
    <x v="2"/>
    <x v="1"/>
    <s v="MedStar Union Memorial"/>
    <s v="ACS"/>
    <n v="141581.48233862637"/>
    <n v="24130.339538552525"/>
    <n v="15108.87618261362"/>
    <n v="4768.6537275579904"/>
    <n v="2416.8407263950935"/>
    <n v="66526.271054329845"/>
    <n v="10466.288710000004"/>
    <n v="1383.6646100000005"/>
    <n v="1789.27802"/>
    <n v="17.47991"/>
    <n v="19508.69234400001"/>
    <n v="1417.7835170000003"/>
    <n v="7346.3839699999999"/>
    <n v="3705.0018450641151"/>
    <n v="465.162295126343"/>
    <n v="498.06486000000046"/>
    <n v="3429.2776999999992"/>
    <n v="3883.8809230000015"/>
    <n v="1740.1781400000009"/>
    <n v="2446.2878199999991"/>
    <n v="30020.543495138423"/>
    <n v="6.5064475547788006E-2"/>
    <n v="342650.4317274043"/>
    <s v="V10"/>
  </r>
  <r>
    <x v="0"/>
    <x v="20"/>
    <x v="0"/>
    <x v="0"/>
    <s v="Western Maryland"/>
    <s v="ACS"/>
    <n v="81312.278889999987"/>
    <n v="25248.5"/>
    <n v="22676.400000000001"/>
    <n v="2092.6999999999998"/>
    <n v="10798.1"/>
    <n v="18445.383000000002"/>
    <n v="20614.877"/>
    <n v="1053"/>
    <n v="297.2"/>
    <n v="2742.2"/>
    <n v="36631"/>
    <n v="10803.4"/>
    <n v="0"/>
    <n v="1399.1"/>
    <n v="502.4"/>
    <n v="475.7"/>
    <n v="2803.6000000000004"/>
    <n v="1881.9"/>
    <n v="1987.8"/>
    <n v="572.5"/>
    <n v="897.93999999994412"/>
    <n v="0.14622507805921578"/>
    <n v="243235.97888999997"/>
    <s v="V10"/>
  </r>
  <r>
    <x v="0"/>
    <x v="21"/>
    <x v="0"/>
    <x v="0"/>
    <s v="MedStar St. Mary's"/>
    <s v="ACS"/>
    <n v="61534.774152871534"/>
    <n v="11991.377441345096"/>
    <n v="8262.3919236014044"/>
    <n v="1033.6736875606662"/>
    <n v="726.36320999999998"/>
    <n v="13806.448049779852"/>
    <n v="12153.498034735889"/>
    <n v="1255.0100772045112"/>
    <n v="491.25721064986561"/>
    <n v="426.90588701996398"/>
    <n v="8792.6195922931238"/>
    <n v="165.77420000000001"/>
    <n v="1915.0696069999999"/>
    <n v="668.03979000000004"/>
    <n v="133.11202000000003"/>
    <n v="105.09460043390943"/>
    <n v="1531.0906636983818"/>
    <n v="73.663101683170524"/>
    <n v="575.73748838290044"/>
    <n v="1679.8759143854588"/>
    <n v="15056.833787887912"/>
    <n v="7.0392798399644962E-2"/>
    <n v="142378.61044053364"/>
    <s v="V10"/>
  </r>
  <r>
    <x v="0"/>
    <x v="22"/>
    <x v="2"/>
    <x v="1"/>
    <s v="JH Bayview"/>
    <s v="ACS"/>
    <n v="188278.29843289679"/>
    <n v="71726.901567103152"/>
    <n v="31305.227697312101"/>
    <n v="9135.6532190743619"/>
    <n v="11223.44007387198"/>
    <n v="32838.020063805583"/>
    <n v="31790.490504848309"/>
    <n v="1544.4529"/>
    <n v="1.99909"/>
    <n v="1916.19966"/>
    <n v="150244.38990000001"/>
    <n v="2137.1520999999998"/>
    <n v="12317.243799999998"/>
    <n v="5818.2569800000001"/>
    <n v="525.4"/>
    <n v="3124.5663999999997"/>
    <n v="5197.2545"/>
    <n v="4058.9025999999999"/>
    <n v="1861.1291000000001"/>
    <n v="423.68558000000002"/>
    <n v="414.03570000000002"/>
    <n v="9.1298640163812339E-2"/>
    <n v="565882.69986891234"/>
    <s v="V10"/>
  </r>
  <r>
    <x v="0"/>
    <x v="23"/>
    <x v="0"/>
    <x v="0"/>
    <s v="UM-SRH at Chestertown"/>
    <s v="ACS"/>
    <n v="9263.1343519902803"/>
    <n v="2723.155421113916"/>
    <n v="3595.8461178777839"/>
    <n v="74.501089999999962"/>
    <n v="136.61150000000001"/>
    <n v="2149.7425199999998"/>
    <n v="167.76079999999999"/>
    <n v="152.88466"/>
    <n v="30.38616"/>
    <n v="127.6833"/>
    <n v="11867.792011373744"/>
    <n v="6090.2067299999999"/>
    <n v="120.00158"/>
    <n v="730.60299999999995"/>
    <n v="9.4361300000000039"/>
    <n v="16.733139999999999"/>
    <n v="876.52304999999978"/>
    <n v="160.53321000000005"/>
    <n v="291.84766999999999"/>
    <n v="1864.8480199999999"/>
    <n v="21.477270000000001"/>
    <n v="9.4064691637270631E-2"/>
    <n v="40471.707732355731"/>
    <s v="V10"/>
  </r>
  <r>
    <x v="0"/>
    <x v="24"/>
    <x v="0"/>
    <x v="0"/>
    <s v="Union Hospital of Cecil Co"/>
    <s v="ACS"/>
    <n v="53708.2"/>
    <n v="11193.000000000004"/>
    <n v="11873"/>
    <n v="608.20000000000005"/>
    <n v="1881.5"/>
    <n v="7213.8"/>
    <n v="6894.8"/>
    <n v="222.1"/>
    <n v="0"/>
    <n v="464.51152999999999"/>
    <n v="17497.3"/>
    <n v="1574.7"/>
    <n v="1762.3"/>
    <n v="2359.4"/>
    <n v="302.3"/>
    <n v="421"/>
    <n v="1792.4"/>
    <n v="438.3"/>
    <n v="199.4"/>
    <n v="112.3"/>
    <n v="7266.6884699999937"/>
    <n v="0.11239721031856585"/>
    <n v="127785.2"/>
    <s v="V10"/>
  </r>
  <r>
    <x v="0"/>
    <x v="25"/>
    <x v="0"/>
    <x v="0"/>
    <s v="Carroll Co Hospital Cntr"/>
    <s v="ACS"/>
    <n v="84183.643888325751"/>
    <n v="14928.563671674252"/>
    <n v="12532.572"/>
    <n v="3913.3029999999999"/>
    <n v="7204.2660000000005"/>
    <n v="16819.895"/>
    <n v="6279.2389999999996"/>
    <n v="1238.9669700000002"/>
    <n v="107.05822999999999"/>
    <n v="661.95256999999992"/>
    <n v="8671.4422699999996"/>
    <n v="12848.167030000001"/>
    <n v="970.70434000000012"/>
    <n v="2064.7085900000002"/>
    <n v="-337.1617099999998"/>
    <n v="16.244249999999987"/>
    <n v="2141.1044899999997"/>
    <n v="1156.6611400000004"/>
    <n v="932.38572999999985"/>
    <n v="2016.5859499999997"/>
    <n v="1537.3561499999601"/>
    <n v="0.13147172623913886"/>
    <n v="179887.65855999998"/>
    <s v="V10"/>
  </r>
  <r>
    <x v="0"/>
    <x v="26"/>
    <x v="2"/>
    <x v="3"/>
    <s v="MedStar Harbor Hospital Cntr"/>
    <s v="ACS"/>
    <n v="68623.565476932781"/>
    <n v="13403.333604313117"/>
    <n v="7323.7195799397196"/>
    <n v="252.40498283128267"/>
    <n v="1293.5103200000001"/>
    <n v="8278.1785969999946"/>
    <n v="4286.804689999999"/>
    <n v="827.23221999999998"/>
    <n v="23.057210000000001"/>
    <n v="0"/>
    <n v="8904.8569649893489"/>
    <n v="1664.4949899999999"/>
    <n v="178.36199000000002"/>
    <n v="1326.10067"/>
    <n v="151.77065272416269"/>
    <n v="339.61478684231849"/>
    <n v="3288.6531199999995"/>
    <n v="3405.6864900000014"/>
    <n v="755.67949999999996"/>
    <n v="1062.10212"/>
    <n v="16952.912997897816"/>
    <n v="6.2312123830283069E-2"/>
    <n v="142342.04096347056"/>
    <s v="V10"/>
  </r>
  <r>
    <x v="0"/>
    <x v="27"/>
    <x v="0"/>
    <x v="0"/>
    <s v="UM-Charles Regional"/>
    <s v="ACS"/>
    <n v="43744.84919369228"/>
    <n v="10989.414849999996"/>
    <n v="5892.0348300000005"/>
    <n v="823.94868000000019"/>
    <n v="1749.5144100000002"/>
    <n v="9640.5599499999989"/>
    <n v="5042.8113499999999"/>
    <n v="525.05865000000006"/>
    <n v="-3.7999999999999999E-2"/>
    <n v="708.04100000000005"/>
    <n v="14782.413641283756"/>
    <n v="7922.8242200000013"/>
    <n v="412.50882999999999"/>
    <n v="0"/>
    <n v="3875.0580599999998"/>
    <n v="152.15348"/>
    <n v="1930.5038700000007"/>
    <n v="1575.09583"/>
    <n v="3528.93235"/>
    <n v="84.448220000000006"/>
    <n v="552.94062999999994"/>
    <n v="7.4302374362848977E-2"/>
    <n v="113933.07404497603"/>
    <s v="V10"/>
  </r>
  <r>
    <x v="0"/>
    <x v="28"/>
    <x v="0"/>
    <x v="0"/>
    <s v="UM-SRH at Easton"/>
    <s v="ACS"/>
    <n v="56620.584243992787"/>
    <n v="15901.681162061092"/>
    <n v="12220.862359999996"/>
    <n v="314.07208000000003"/>
    <n v="2160.7600000000002"/>
    <n v="16019.051904488542"/>
    <n v="13000.09877547748"/>
    <n v="896.61409134818882"/>
    <n v="197.15899999999999"/>
    <n v="774.62400000000002"/>
    <n v="21141.157940037552"/>
    <n v="8055.0498399999997"/>
    <n v="2038.6849999999999"/>
    <n v="2044.0817793542967"/>
    <n v="-1518.3507785588929"/>
    <n v="187.64748"/>
    <n v="2554.8963659483697"/>
    <n v="707.66512000000012"/>
    <n v="958.16783999999996"/>
    <n v="1949.0407098224839"/>
    <n v="501.2321561388797"/>
    <n v="9.3767522529994027E-2"/>
    <n v="156724.7810701108"/>
    <s v="V10"/>
  </r>
  <r>
    <x v="0"/>
    <x v="29"/>
    <x v="2"/>
    <x v="3"/>
    <s v="UMMC - Midtown"/>
    <s v="ACS"/>
    <n v="54448.800086567986"/>
    <n v="12271.550246364664"/>
    <n v="11722.666777762821"/>
    <n v="1304.5951699999998"/>
    <n v="1043"/>
    <n v="25183.338009999999"/>
    <n v="4511.9750499999982"/>
    <n v="437.36090000000002"/>
    <n v="0"/>
    <n v="423.12542000000002"/>
    <n v="32854.600095648741"/>
    <n v="27207"/>
    <n v="4029.3156600000007"/>
    <n v="4063.8"/>
    <n v="250.41163"/>
    <n v="114.93361999999998"/>
    <n v="3720.7382699999998"/>
    <n v="1875.6153200000001"/>
    <n v="758.17966000000035"/>
    <n v="4.4101999999999997"/>
    <n v="-12543.047519999887"/>
    <n v="8.101145822385436E-2"/>
    <n v="173682.36859634431"/>
    <s v="V10"/>
  </r>
  <r>
    <x v="0"/>
    <x v="30"/>
    <x v="0"/>
    <x v="0"/>
    <s v="Calvert Health Med Cntr"/>
    <s v="ACS"/>
    <n v="46309.014737883073"/>
    <n v="14988.542137863253"/>
    <n v="10899.197279722744"/>
    <n v="1865.0152399999995"/>
    <n v="2477.5455203885494"/>
    <n v="9743.7925699999978"/>
    <n v="7771.6474299999982"/>
    <n v="60.619370000000004"/>
    <n v="2.6345399999999999"/>
    <n v="382.45211999999998"/>
    <n v="10741.2721747245"/>
    <n v="2480.2758900000017"/>
    <n v="781.83182000000011"/>
    <n v="0"/>
    <n v="1128.2303999999999"/>
    <n v="436.45106455638251"/>
    <n v="1411.02613"/>
    <n v="37.133935408199818"/>
    <n v="913.11255000000006"/>
    <n v="1175.1651999999997"/>
    <n v="1597.0636999999997"/>
    <n v="0.13230460313073003"/>
    <n v="115202.02381054671"/>
    <s v="V10"/>
  </r>
  <r>
    <x v="0"/>
    <x v="31"/>
    <x v="0"/>
    <x v="0"/>
    <s v="Northwest Hospital Cntr"/>
    <s v="ACS"/>
    <n v="84157.264900000038"/>
    <n v="24951.094779999999"/>
    <n v="13272.137569693368"/>
    <n v="2345.2000999999996"/>
    <n v="4245.4004299999997"/>
    <n v="16537.600009999991"/>
    <n v="9015.4998899999991"/>
    <n v="908.82951000000037"/>
    <n v="121.30401999999999"/>
    <n v="736.02720999999997"/>
    <n v="14817.360506118504"/>
    <n v="5016.2312899999997"/>
    <n v="76.597789999999975"/>
    <n v="4013.8004000000001"/>
    <n v="680.39988000000005"/>
    <n v="154.02708000000001"/>
    <n v="2634.4176000000002"/>
    <n v="464.44358999999997"/>
    <n v="1506.586399999999"/>
    <n v="932.53097999999989"/>
    <n v="2011.1024538814725"/>
    <n v="0.1053179419953303"/>
    <n v="188597.85638969345"/>
    <s v="V10"/>
  </r>
  <r>
    <x v="0"/>
    <x v="32"/>
    <x v="4"/>
    <x v="2"/>
    <s v="UM-BWMC"/>
    <s v="ACS"/>
    <n v="172502.94862999988"/>
    <n v="30395.346150000001"/>
    <n v="26376.80908333333"/>
    <n v="1219.1008999999999"/>
    <n v="5351.3711700000003"/>
    <n v="40309.407860000021"/>
    <n v="12763.533359999998"/>
    <n v="459.06403999999998"/>
    <n v="0"/>
    <n v="0"/>
    <n v="17342.405550000003"/>
    <n v="6870.0799200000019"/>
    <n v="2794.4359099999997"/>
    <n v="8067.74"/>
    <n v="334.36536999999998"/>
    <n v="191.89383000000001"/>
    <n v="3235.9822200000008"/>
    <n v="1962.43"/>
    <n v="991.41810999999984"/>
    <n v="0"/>
    <n v="5350.40427"/>
    <n v="9.7906231042011502E-2"/>
    <n v="336518.73637333332"/>
    <s v="V10"/>
  </r>
  <r>
    <x v="0"/>
    <x v="33"/>
    <x v="4"/>
    <x v="2"/>
    <s v="GBMC"/>
    <s v="ACS"/>
    <n v="159785.0544708544"/>
    <n v="28788.492437038571"/>
    <n v="34742.061999999998"/>
    <n v="3169.75"/>
    <n v="6559.9120000000003"/>
    <n v="42871.34"/>
    <n v="35801.822"/>
    <n v="1826.335"/>
    <n v="103.79600000000001"/>
    <n v="1514.117"/>
    <n v="13522.859000000004"/>
    <n v="5929.6629999999996"/>
    <n v="3521.8760000000002"/>
    <n v="11315.025"/>
    <n v="944.29100000000005"/>
    <n v="1466.96"/>
    <n v="4080.8490000000002"/>
    <n v="1731.009"/>
    <n v="2591.5819999999999"/>
    <n v="3658.6149999999998"/>
    <n v="8449.1149999999998"/>
    <n v="0.11942740715412822"/>
    <n v="372374.52490789304"/>
    <s v="V10"/>
  </r>
  <r>
    <x v="0"/>
    <x v="34"/>
    <x v="0"/>
    <x v="0"/>
    <s v="McCready Memorial"/>
    <s v="ACS"/>
    <n v="7011.7483099999999"/>
    <n v="1395.2624585281474"/>
    <n v="668.7"/>
    <n v="431"/>
    <n v="86.1"/>
    <n v="685.84067999999991"/>
    <n v="655.94453999999985"/>
    <n v="29.242899999999999"/>
    <n v="18.968579999999999"/>
    <n v="62.485080000000004"/>
    <n v="605.73253"/>
    <n v="1876.83564"/>
    <n v="36.627180000000003"/>
    <n v="141.73121"/>
    <n v="82.870869999999996"/>
    <n v="100.87293"/>
    <n v="319.91091000000006"/>
    <n v="36.602839999999993"/>
    <n v="134.95877999999999"/>
    <n v="0"/>
    <n v="1410.1179687921212"/>
    <n v="7.5090776025258876E-2"/>
    <n v="15791.553407320269"/>
    <s v="V10"/>
  </r>
  <r>
    <x v="0"/>
    <x v="35"/>
    <x v="0"/>
    <x v="0"/>
    <s v="Howard County General"/>
    <s v="ACS"/>
    <n v="99918.442999999999"/>
    <n v="25970.126"/>
    <n v="12832.641"/>
    <n v="1091.586"/>
    <n v="10224.862999999999"/>
    <n v="20732.954000000002"/>
    <n v="10240.341"/>
    <n v="833.79300000000001"/>
    <n v="14.077999999999999"/>
    <n v="1301.404"/>
    <n v="31280.563999999998"/>
    <n v="25486.602999999999"/>
    <n v="2316.752"/>
    <n v="1539.432"/>
    <n v="306.661"/>
    <n v="127.351"/>
    <n v="912.14300000000003"/>
    <n v="2134.2359999999999"/>
    <n v="1598.7909999999999"/>
    <n v="122.577"/>
    <n v="745.44099999999924"/>
    <n v="9.6700494828871261E-2"/>
    <n v="249730.78000000009"/>
    <s v="V10"/>
  </r>
  <r>
    <x v="0"/>
    <x v="36"/>
    <x v="0"/>
    <x v="0"/>
    <s v="UM-Upper Chesapeake"/>
    <s v="ACS"/>
    <n v="106673.8059330548"/>
    <n v="20701.990426699533"/>
    <n v="17250.968698389359"/>
    <n v="603.69399999999996"/>
    <n v="6740.9580000000005"/>
    <n v="24506.363000000001"/>
    <n v="23985.425999999999"/>
    <n v="719.70699999999999"/>
    <n v="789.23599999999999"/>
    <n v="3471.009"/>
    <n v="18763.544517667386"/>
    <n v="10768.584999999999"/>
    <n v="162.25899999999999"/>
    <n v="685.19899999999996"/>
    <n v="0"/>
    <n v="0.78400000000000003"/>
    <n v="2807.1849999999999"/>
    <n v="984.88400000000001"/>
    <n v="2790.5050000000001"/>
    <n v="4746.5959999999995"/>
    <n v="3562.36"/>
    <n v="9.8101888015833971E-2"/>
    <n v="250715.05957581103"/>
    <s v="V10"/>
  </r>
  <r>
    <x v="0"/>
    <x v="37"/>
    <x v="0"/>
    <x v="0"/>
    <s v="Doctors Community"/>
    <s v="ACS"/>
    <n v="80324.913074646407"/>
    <n v="17453.897196262937"/>
    <n v="8406.3333869675571"/>
    <n v="1351.1"/>
    <n v="4523.6949538127683"/>
    <n v="26737.62011"/>
    <n v="6330.1028199999992"/>
    <n v="933.79025000000001"/>
    <n v="0"/>
    <n v="1560.2172"/>
    <n v="13429.781940000001"/>
    <n v="9965.2729500000005"/>
    <n v="5858.4074200000005"/>
    <n v="2051.1"/>
    <n v="268.10000000000002"/>
    <n v="565.09286999999983"/>
    <n v="1818.0230300000001"/>
    <n v="1585.0734399999999"/>
    <n v="1147.04736"/>
    <n v="38.05489"/>
    <n v="1634.0483381468512"/>
    <n v="7.6787826705415924E-2"/>
    <n v="185981.67122983653"/>
    <s v="V10"/>
  </r>
  <r>
    <x v="0"/>
    <x v="38"/>
    <x v="0"/>
    <x v="0"/>
    <s v="UM-Laurel Regional"/>
    <s v="ACS"/>
    <n v="34918.887585482924"/>
    <n v="6883.4592170357864"/>
    <n v="4295.8161800000007"/>
    <n v="235.65047000000004"/>
    <n v="35.594781282457724"/>
    <n v="5295.3263605219681"/>
    <n v="3495.8729228947491"/>
    <n v="55.320403267542261"/>
    <n v="19.816853084203043"/>
    <n v="346.49894099001358"/>
    <n v="11604.61783121619"/>
    <n v="2191.7012424075324"/>
    <n v="1956.0512936502353"/>
    <n v="1516.5438751784789"/>
    <n v="186.27535427385925"/>
    <n v="385.95238532089041"/>
    <n v="1570.4523967703919"/>
    <n v="780.45610251645678"/>
    <n v="166.23553459363839"/>
    <n v="766.19417351036839"/>
    <n v="2211.5760960022862"/>
    <n v="5.7870752807428164E-2"/>
    <n v="78918.3"/>
    <s v="V10"/>
  </r>
  <r>
    <x v="0"/>
    <x v="39"/>
    <x v="4"/>
    <x v="2"/>
    <s v="MedStar Good Samaritan"/>
    <s v="ACS"/>
    <n v="101305.44633016502"/>
    <n v="21605.397149192064"/>
    <n v="11363.609846372148"/>
    <n v="3147.2662820926075"/>
    <n v="1964.6033419771684"/>
    <n v="9415.2207557723232"/>
    <n v="6728.0531200000023"/>
    <n v="959.90344999999979"/>
    <n v="924.76319200000012"/>
    <n v="40.692"/>
    <n v="8717.0154989999992"/>
    <n v="1023.026451"/>
    <n v="1862.1811399999999"/>
    <n v="2026.3967360950369"/>
    <n v="359.22222831132746"/>
    <n v="332.84845999999999"/>
    <n v="2895.8814999999995"/>
    <n v="3489.5677930000002"/>
    <n v="1061.1710199999998"/>
    <n v="1982.7367799999995"/>
    <n v="29634.34824087482"/>
    <n v="7.814233617974127E-2"/>
    <n v="210839.35131585255"/>
    <s v="V10"/>
  </r>
  <r>
    <x v="0"/>
    <x v="40"/>
    <x v="0"/>
    <x v="0"/>
    <s v="Shady Grove"/>
    <s v="ACS"/>
    <n v="139859.94500000001"/>
    <n v="30804.615000000002"/>
    <n v="20230.631999999998"/>
    <n v="4324.4719999999998"/>
    <n v="6442.6"/>
    <n v="36866.374000000003"/>
    <n v="10426.061"/>
    <n v="1212.7570000000001"/>
    <n v="0"/>
    <n v="1478.0440000000001"/>
    <n v="43192.478999999999"/>
    <n v="895.43499999999995"/>
    <n v="6526.99"/>
    <n v="2327.2800000000002"/>
    <n v="1037.3780000000002"/>
    <n v="1077.1179999999999"/>
    <n v="5980.4579999999996"/>
    <n v="3637.0210000000002"/>
    <n v="1214.2329999999999"/>
    <n v="0"/>
    <n v="2856.3716899999417"/>
    <n v="9.6749831418074694E-2"/>
    <n v="320390.26368999999"/>
    <s v="V10"/>
  </r>
  <r>
    <x v="0"/>
    <x v="41"/>
    <x v="4"/>
    <x v="2"/>
    <s v="UM-ROI"/>
    <s v="ACS"/>
    <n v="39994.351158747901"/>
    <n v="9067.2464142523349"/>
    <n v="6658.4805600000009"/>
    <n v="299.47040000000004"/>
    <n v="673.91204000000005"/>
    <n v="11250.462269999996"/>
    <n v="3942.85347"/>
    <n v="274.08695"/>
    <n v="0"/>
    <n v="198.9192625"/>
    <n v="20405.680926023844"/>
    <n v="3153.9139"/>
    <n v="5556.07665"/>
    <n v="1483.2789600000001"/>
    <n v="95.661510000000007"/>
    <n v="34.52599"/>
    <n v="1612.1834199999996"/>
    <n v="-27.382120000000025"/>
    <n v="288.09597000000008"/>
    <n v="0"/>
    <n v="1287.0110899999993"/>
    <n v="7.1830090596292057E-2"/>
    <n v="106248.82882152408"/>
    <s v="V10"/>
  </r>
  <r>
    <x v="0"/>
    <x v="42"/>
    <x v="0"/>
    <x v="0"/>
    <s v="FT. Washignton"/>
    <s v="ACS"/>
    <n v="20546.913393679977"/>
    <n v="3982.4271899999949"/>
    <n v="905.80000000000007"/>
    <n v="1367.0339399999998"/>
    <n v="449.70173999999997"/>
    <n v="2092.16302"/>
    <n v="1163.7205200000003"/>
    <n v="646.70850999999993"/>
    <n v="4.9277199999999999"/>
    <n v="284.71265"/>
    <n v="6982.4976900000029"/>
    <n v="2944.68968"/>
    <n v="0"/>
    <n v="644.84166000000005"/>
    <n v="0"/>
    <n v="101.64475999999999"/>
    <n v="533.70920999999998"/>
    <n v="43.367069999999998"/>
    <n v="283.37034"/>
    <n v="113.04852"/>
    <n v="-4.9801189681602409"/>
    <n v="6.3187970150699282E-2"/>
    <n v="43086.29749471182"/>
    <s v="V10"/>
  </r>
  <r>
    <x v="0"/>
    <x v="43"/>
    <x v="0"/>
    <x v="0"/>
    <s v="Atlantic General"/>
    <s v="ACS"/>
    <n v="32407.836479999994"/>
    <n v="6688.7123708170366"/>
    <n v="5957.8"/>
    <n v="584.20000000000005"/>
    <n v="1055.2"/>
    <n v="8958.1649300000063"/>
    <n v="9987.6327899999997"/>
    <n v="339.27800000000002"/>
    <n v="0"/>
    <n v="424.40103000000005"/>
    <n v="5801.8004199999978"/>
    <n v="1075.39346"/>
    <n v="593.08738999999991"/>
    <n v="914.572"/>
    <n v="143.29481436621779"/>
    <n v="247.13291999999998"/>
    <n v="865.97679000000005"/>
    <n v="409.4523200000001"/>
    <n v="583.98988999999983"/>
    <n v="33.334580000000003"/>
    <n v="3422.2665289748547"/>
    <n v="9.4382744925297427E-2"/>
    <n v="80493.526714158113"/>
    <s v="V10"/>
  </r>
  <r>
    <x v="0"/>
    <x v="44"/>
    <x v="0"/>
    <x v="0"/>
    <s v="MedStar Southern MD"/>
    <s v="ACS"/>
    <n v="80146.424576333578"/>
    <n v="17602.837510000005"/>
    <n v="11586.389800818466"/>
    <n v="1430.9207690745322"/>
    <n v="6545.8647999999994"/>
    <n v="21111.243179461937"/>
    <n v="5366.354603314282"/>
    <n v="1928.3965912410324"/>
    <n v="397.18828485308296"/>
    <n v="832.56192779148444"/>
    <n v="39725.228983683657"/>
    <n v="208.78527"/>
    <n v="7132.6856649204583"/>
    <n v="1501.9881700000001"/>
    <n v="196.12977000000001"/>
    <n v="316.25310389891695"/>
    <n v="2045.81386"/>
    <n v="0"/>
    <n v="1364.5870468231956"/>
    <n v="2409.35025432049"/>
    <n v="12813.786175239227"/>
    <n v="9.1134450170640091E-2"/>
    <n v="214662.79034177435"/>
    <s v="V10"/>
  </r>
  <r>
    <x v="0"/>
    <x v="45"/>
    <x v="0"/>
    <x v="0"/>
    <s v="UM-St. Joseph Med Cntr"/>
    <s v="ACS"/>
    <n v="108180.70103171696"/>
    <n v="23055.463222073085"/>
    <n v="20881.583214282753"/>
    <n v="400.2643400000004"/>
    <n v="9009.1976699999996"/>
    <n v="51367.619436219276"/>
    <n v="23332.625500493657"/>
    <n v="0"/>
    <n v="603.29511837146333"/>
    <n v="1644.131708883941"/>
    <n v="28879.706359253389"/>
    <n v="17873.981097291748"/>
    <n v="2707.3059420110512"/>
    <n v="6288.7739232916256"/>
    <n v="-494.32517408240898"/>
    <n v="153.30559739312375"/>
    <n v="3367.8393165910534"/>
    <n v="3692.2057873213193"/>
    <n v="2042.8363965753772"/>
    <n v="1727.6494781730637"/>
    <n v="6814.8493497105119"/>
    <n v="9.7233465643639924E-2"/>
    <n v="311529.00931557099"/>
    <s v="V10"/>
  </r>
  <r>
    <x v="0"/>
    <x v="46"/>
    <x v="5"/>
    <x v="4"/>
    <s v="Levindale"/>
    <s v="ACS"/>
    <n v="20881.743709999999"/>
    <n v="5600.06"/>
    <n v="1871.126"/>
    <n v="551.5"/>
    <n v="-4.20000000001437E-2"/>
    <n v="3063.6944055864856"/>
    <n v="5765.5220231917201"/>
    <n v="64.963964251989609"/>
    <n v="132.40662103414331"/>
    <n v="0"/>
    <n v="782.93100358117965"/>
    <n v="321.18396588465419"/>
    <n v="737.12"/>
    <n v="294.84800000000001"/>
    <n v="54.68748562253122"/>
    <n v="19.547985932217028"/>
    <n v="757.84984134390731"/>
    <n v="154.1877638467906"/>
    <n v="48.870218483073288"/>
    <n v="203.6261639986694"/>
    <n v="2340.9000000000015"/>
    <n v="5.5504367865230733E-2"/>
    <n v="43646.727152757368"/>
    <s v="V10"/>
  </r>
  <r>
    <x v="0"/>
    <x v="47"/>
    <x v="3"/>
    <x v="0"/>
    <s v="HC-Germantown"/>
    <s v="ACS"/>
    <n v="33101.951070520096"/>
    <n v="6835.3632613772133"/>
    <n v="12182.3"/>
    <n v="127.6"/>
    <n v="5499.5932909146013"/>
    <n v="9095.5504700000038"/>
    <n v="2620.8853400000003"/>
    <n v="62.678139999999999"/>
    <n v="2.4249300000000003"/>
    <n v="392.87101000000001"/>
    <n v="8098.4393381865148"/>
    <n v="6257.5"/>
    <n v="584.78587000000005"/>
    <n v="833.82312487299521"/>
    <n v="173.43963700925158"/>
    <n v="0"/>
    <n v="1906.90371"/>
    <n v="556.07859999999994"/>
    <n v="286.32369"/>
    <n v="92.732260000000011"/>
    <n v="1809.6884500000006"/>
    <n v="0.19674447511174978"/>
    <n v="90520.932192880675"/>
    <s v="V10"/>
  </r>
  <r>
    <x v="0"/>
    <x v="48"/>
    <x v="5"/>
    <x v="4"/>
    <s v="Adventist Germantown"/>
    <s v="ACS"/>
    <n v="3938.645"/>
    <n v="704.68299999999999"/>
    <n v="483.7"/>
    <n v="732.9"/>
    <n v="492.4"/>
    <n v="223.57"/>
    <n v="122.53700000000001"/>
    <n v="70.772000000000006"/>
    <n v="0"/>
    <n v="0"/>
    <n v="3147.5859999999998"/>
    <n v="1.391"/>
    <n v="300.88499999999999"/>
    <n v="118"/>
    <n v="0.6"/>
    <n v="37.338999999999999"/>
    <n v="398.40600000000001"/>
    <n v="17.315000000000001"/>
    <n v="33.734000000000002"/>
    <n v="0"/>
    <n v="37.782999999999447"/>
    <n v="0.15733394364296299"/>
    <n v="10862.245999999999"/>
    <s v="V10"/>
  </r>
  <r>
    <x v="0"/>
    <x v="49"/>
    <x v="5"/>
    <x v="4"/>
    <s v="UM-Queen Anne's ED"/>
    <s v="ACS"/>
    <n v="2551.0998145853782"/>
    <n v="721.05201795680773"/>
    <n v="468.14292999999992"/>
    <n v="0.92874000000000001"/>
    <n v="120.384"/>
    <n v="119.13191999999998"/>
    <n v="195.31100000000001"/>
    <n v="66.108000000000004"/>
    <n v="28.035"/>
    <n v="0"/>
    <n v="808.16705158005163"/>
    <n v="1441.3265200000001"/>
    <n v="5.6820000000000004"/>
    <n v="23.542000000000002"/>
    <n v="-120.2204"/>
    <n v="6.5121899999999995"/>
    <n v="2.2136099999999996"/>
    <n v="74.160899999999998"/>
    <n v="27.503620000000002"/>
    <n v="108.075"/>
    <n v="8.84108587776268"/>
    <n v="8.8560086490423587E-2"/>
    <n v="6655.9970000000003"/>
    <s v="V10"/>
  </r>
  <r>
    <x v="0"/>
    <x v="50"/>
    <x v="5"/>
    <x v="4"/>
    <s v="UM-Bowie Health Cntr"/>
    <s v="ACS"/>
    <n v="6403.1308099999987"/>
    <n v="1155.0681700000002"/>
    <n v="1595.53496"/>
    <n v="9.9394700000000018"/>
    <n v="4.8449200000000001"/>
    <n v="434.68645000000009"/>
    <n v="200.19028"/>
    <n v="4.41486"/>
    <n v="46.305759999999992"/>
    <n v="0"/>
    <n v="3377.3376569716525"/>
    <n v="223.53156000000001"/>
    <n v="868.66327000000001"/>
    <n v="619.60469999999998"/>
    <n v="8.2740400000000012"/>
    <n v="56.741620000000005"/>
    <n v="154.39395999999999"/>
    <n v="17.222120000000004"/>
    <n v="120.69071"/>
    <n v="270.51171999999997"/>
    <n v="373.15654000000001"/>
    <n v="0.10099691103100006"/>
    <n v="15944.24357697165"/>
    <s v="V10"/>
  </r>
  <r>
    <x v="0"/>
    <x v="51"/>
    <x v="5"/>
    <x v="4"/>
    <s v="Mt. Washington Peds"/>
    <s v="ACS"/>
    <n v="25786.016423809313"/>
    <n v="8448.7427199999947"/>
    <n v="3648.0102544597016"/>
    <n v="221.89787000000001"/>
    <n v="121.26631"/>
    <n v="1606.2258099999999"/>
    <n v="3923.4123100000002"/>
    <n v="18.871659999999995"/>
    <n v="0"/>
    <n v="0"/>
    <n v="1918.83168"/>
    <n v="3989.0208699999998"/>
    <n v="0"/>
    <n v="-127.97478000000002"/>
    <n v="10.60055"/>
    <n v="242.89277000000001"/>
    <n v="437.43857000000003"/>
    <n v="411.99245793110509"/>
    <n v="683.996910664648"/>
    <n v="20.501410000000003"/>
    <n v="295.7080654849085"/>
    <n v="7.7262317256663854E-2"/>
    <n v="51657.451862349677"/>
    <s v="V10"/>
  </r>
  <r>
    <x v="0"/>
    <x v="52"/>
    <x v="5"/>
    <x v="4"/>
    <s v="Sheppard Pratt"/>
    <s v="ACS"/>
    <n v="65819.374668085089"/>
    <n v="21610.1627203266"/>
    <n v="9641.8872628268018"/>
    <n v="2086.0212999999999"/>
    <n v="2114.5470814814917"/>
    <n v="0"/>
    <n v="1547.6273200000001"/>
    <n v="138.59907000000001"/>
    <n v="0"/>
    <n v="0"/>
    <n v="5216.9289499999995"/>
    <n v="8693.9906400000018"/>
    <n v="0"/>
    <n v="0"/>
    <n v="709.34696546259988"/>
    <n v="603.38108999999986"/>
    <n v="2342.9630099999999"/>
    <n v="3601.1794197999998"/>
    <n v="583.91515000000015"/>
    <n v="0"/>
    <n v="10493.977962107849"/>
    <n v="0.10238207164942602"/>
    <n v="135203.90261009042"/>
    <s v="V10"/>
  </r>
  <r>
    <x v="0"/>
    <x v="53"/>
    <x v="5"/>
    <x v="4"/>
    <s v="Brook Lane"/>
    <s v="ACS"/>
    <n v="10314.9"/>
    <n v="2532.8000000000002"/>
    <n v="911.9"/>
    <n v="0"/>
    <n v="242.5"/>
    <n v="98.6"/>
    <n v="883.7"/>
    <n v="0"/>
    <n v="0"/>
    <n v="0"/>
    <n v="1329.8"/>
    <n v="0"/>
    <n v="0"/>
    <n v="219"/>
    <n v="111.1"/>
    <n v="143.19999999999999"/>
    <n v="299.39999999999998"/>
    <n v="236.9"/>
    <n v="78.7"/>
    <n v="0"/>
    <n v="1149.4000000000001"/>
    <n v="6.2225432435491786E-2"/>
    <n v="18551.900000000001"/>
    <s v="V10"/>
  </r>
  <r>
    <x v="0"/>
    <x v="54"/>
    <x v="5"/>
    <x v="4"/>
    <s v="UM-Shock Trauma"/>
    <s v="ACS"/>
    <n v="52185.853971417193"/>
    <n v="13258.946028582801"/>
    <n v="11631.6"/>
    <n v="196.3"/>
    <n v="0"/>
    <n v="23381.997319999999"/>
    <n v="5724.0026800000005"/>
    <n v="0"/>
    <n v="0"/>
    <n v="0"/>
    <n v="36263.862536903958"/>
    <n v="12304"/>
    <n v="760.99435000000005"/>
    <n v="5960.6"/>
    <n v="127.4"/>
    <n v="35.865209999999998"/>
    <n v="0"/>
    <n v="60.110020000000013"/>
    <n v="183.00618000000003"/>
    <n v="0.2"/>
    <n v="907.6648725643538"/>
    <n v="7.2571638225885096E-2"/>
    <n v="162982.40316946828"/>
    <s v="V10"/>
  </r>
  <r>
    <x v="0"/>
    <x v="55"/>
    <x v="4"/>
    <x v="5"/>
    <s v="Holy Cross Hospitals"/>
    <m/>
    <m/>
    <m/>
    <n v="37522.512931696547"/>
    <n v="4025.9"/>
    <n v="14188.203153988685"/>
    <m/>
    <m/>
    <m/>
    <m/>
    <m/>
    <m/>
    <m/>
    <m/>
    <m/>
    <m/>
    <m/>
    <m/>
    <m/>
    <m/>
    <m/>
    <m/>
    <n v="0.11874966223273765"/>
    <n v="469362.31259712513"/>
    <m/>
  </r>
  <r>
    <x v="1"/>
    <x v="0"/>
    <x v="0"/>
    <x v="0"/>
    <s v="Meritus"/>
    <s v="ACS"/>
    <n v="86719.778330000001"/>
    <n v="25150.53832"/>
    <n v="17629.28428"/>
    <n v="2014.41356"/>
    <n v="11874.437760000001"/>
    <n v="31512.154600000002"/>
    <n v="6738.0549600000004"/>
    <n v="644.58371"/>
    <n v="159.03245999999999"/>
    <n v="1923.4002599999999"/>
    <n v="44840.725980000003"/>
    <n v="11226.231299999999"/>
    <n v="1229.11627"/>
    <n v="1806.5324499999999"/>
    <n v="489.71199999999999"/>
    <n v="264.34530999999998"/>
    <n v="3208.24917"/>
    <n v="1824.45838"/>
    <n v="1885.2047399999999"/>
    <n v="657.40332000000001"/>
    <n v="947.3"/>
    <n v="0.12470332130127317"/>
    <n v="252744.95715999999"/>
    <m/>
  </r>
  <r>
    <x v="1"/>
    <x v="1"/>
    <x v="1"/>
    <x v="1"/>
    <s v="UMMC"/>
    <s v="ACS"/>
    <n v="342284.05791009503"/>
    <n v="179130.003972887"/>
    <n v="64691.127278574"/>
    <n v="11964"/>
    <n v="24184.6"/>
    <n v="172261.60597"/>
    <n v="152015.39403"/>
    <n v="130.9941"/>
    <n v="0"/>
    <n v="0"/>
    <n v="57316.777841436"/>
    <n v="122497"/>
    <n v="7092.73956"/>
    <n v="-2143.3000000000002"/>
    <n v="1285.7"/>
    <n v="10202.523880000001"/>
    <n v="15126.110479999999"/>
    <n v="252.46146999999999"/>
    <n v="4681.6469699999998"/>
    <n v="9974.5323200000003"/>
    <n v="15826.25477"/>
    <n v="8.482664301333781E-2"/>
    <n v="1188774.2305529921"/>
    <m/>
  </r>
  <r>
    <x v="1"/>
    <x v="2"/>
    <x v="2"/>
    <x v="1"/>
    <s v="PG Hospital"/>
    <s v="ACS"/>
    <n v="101717.240851"/>
    <n v="28180.171158000001"/>
    <n v="8904.9465600000003"/>
    <n v="307.34023999999999"/>
    <n v="53.602679999999999"/>
    <n v="20931.847570000002"/>
    <n v="9228.8853500000005"/>
    <n v="379.04291000000001"/>
    <n v="374.49979000000002"/>
    <n v="1450.4241999999999"/>
    <n v="36803.871787999997"/>
    <n v="3855.2470490000001"/>
    <n v="8458.85779"/>
    <n v="4236.0170500000004"/>
    <n v="455.29165999999998"/>
    <n v="548.26652999999999"/>
    <n v="3741.4860010000002"/>
    <n v="2759.8835989999998"/>
    <n v="2745.8071949999999"/>
    <n v="1838.8566699999999"/>
    <n v="3109.1463990000002"/>
    <n v="3.8594889988344899E-2"/>
    <n v="240080.73303999999"/>
    <m/>
  </r>
  <r>
    <x v="1"/>
    <x v="3"/>
    <x v="3"/>
    <x v="2"/>
    <s v="Holy Cross"/>
    <s v="ACS"/>
    <n v="173437.91436862401"/>
    <n v="36599.214198214999"/>
    <n v="25649.5437852"/>
    <n v="4631.6000000000004"/>
    <n v="8171.3110585069999"/>
    <n v="42782.864170000001"/>
    <n v="17852.124629999998"/>
    <n v="382.12475999999998"/>
    <n v="10.819419999999999"/>
    <n v="3246.9115900000002"/>
    <n v="35527.203072138997"/>
    <n v="11101.73265"/>
    <n v="504.43621000000002"/>
    <n v="3520.8250977450002"/>
    <n v="923.68634240100005"/>
    <n v="0.39524999999999999"/>
    <n v="6642.8790300000001"/>
    <n v="3659.8335299999999"/>
    <n v="1887.0911699999999"/>
    <n v="375.73363000000001"/>
    <n v="4901.3226878209998"/>
    <n v="0.10071108270288634"/>
    <n v="381809.56665065198"/>
    <m/>
  </r>
  <r>
    <x v="1"/>
    <x v="4"/>
    <x v="0"/>
    <x v="0"/>
    <s v="Frederick"/>
    <s v="ACS"/>
    <n v="92599.515728653001"/>
    <n v="27540.756721973001"/>
    <n v="19314.898529999999"/>
    <n v="774.43209000000002"/>
    <n v="4035.9085314260001"/>
    <n v="28055.079229999999"/>
    <n v="9757.9755399999995"/>
    <n v="548.71139000000005"/>
    <n v="8.2447800000000004"/>
    <n v="1194.58808"/>
    <n v="44860.274196072001"/>
    <n v="8813.5391199999995"/>
    <n v="2.37738"/>
    <n v="1481.1"/>
    <n v="795.6"/>
    <n v="819.11365999999998"/>
    <n v="2257.7723700000001"/>
    <n v="1789.66553"/>
    <n v="1544.3916300000001"/>
    <n v="3292.6191899999999"/>
    <n v="3841.056034917"/>
    <n v="9.5233355039807344E-2"/>
    <n v="253327.61973304101"/>
    <m/>
  </r>
  <r>
    <x v="1"/>
    <x v="5"/>
    <x v="0"/>
    <x v="0"/>
    <s v="UM-Harford"/>
    <s v="ACS"/>
    <n v="42616.140003710003"/>
    <n v="9095.6409962899997"/>
    <n v="4437.1099999999997"/>
    <n v="409"/>
    <n v="1249.384"/>
    <n v="3485.7"/>
    <n v="2172.5"/>
    <n v="213.08099999999999"/>
    <n v="454.44600000000003"/>
    <n v="349.88799999999998"/>
    <n v="5398.6109999999999"/>
    <n v="3901.7"/>
    <n v="253.15799999999999"/>
    <n v="902.92399999999998"/>
    <n v="473.1"/>
    <n v="819.85599999999999"/>
    <n v="1351.269"/>
    <n v="388.15"/>
    <n v="911.53800000000001"/>
    <n v="1512.771"/>
    <n v="301.13299999999998"/>
    <n v="7.5535477730922174E-2"/>
    <n v="80697.100000000006"/>
    <m/>
  </r>
  <r>
    <x v="1"/>
    <x v="6"/>
    <x v="2"/>
    <x v="3"/>
    <s v="Mercy"/>
    <s v="ACS"/>
    <n v="151187.70633295801"/>
    <n v="39240.557000000001"/>
    <n v="32902.813000000002"/>
    <n v="4072.0920000000001"/>
    <n v="15560.8"/>
    <n v="57654.911999999997"/>
    <n v="26989.988000000001"/>
    <n v="130.01499999999999"/>
    <n v="882.25099999999998"/>
    <n v="7877.4139999999998"/>
    <n v="52416.405740000002"/>
    <n v="9541.2160000000003"/>
    <n v="30.750260000000001"/>
    <n v="16927.281999999999"/>
    <n v="1410.5409999999999"/>
    <n v="838.71100000000001"/>
    <n v="6845.165"/>
    <n v="3781.8710000000001"/>
    <n v="4339.8069999999998"/>
    <n v="158.52699999999999"/>
    <n v="2537.6509999999998"/>
    <n v="0.12068116224683612"/>
    <n v="435326.47533295798"/>
    <m/>
  </r>
  <r>
    <x v="1"/>
    <x v="7"/>
    <x v="1"/>
    <x v="1"/>
    <s v="Johns Hopkins"/>
    <s v="ACS"/>
    <n v="617849.72746960062"/>
    <n v="186028.15153039937"/>
    <n v="137570.07200000001"/>
    <n v="13425.6"/>
    <n v="51837.44225"/>
    <n v="155630.9"/>
    <n v="166140"/>
    <n v="6411.4647299999997"/>
    <n v="0"/>
    <n v="24041.807000000001"/>
    <n v="456627.30429999996"/>
    <n v="42887.674890000002"/>
    <n v="29085.430120000012"/>
    <n v="27994.30385"/>
    <n v="2152.4828299999995"/>
    <n v="4910.0687099999996"/>
    <n v="36264.729570000047"/>
    <n v="8298.48632"/>
    <n v="5248.3093399999989"/>
    <n v="15202.778609999999"/>
    <n v="35232.5"/>
    <n v="0.10027149507924285"/>
    <n v="2022839.2335199995"/>
    <m/>
  </r>
  <r>
    <x v="1"/>
    <x v="8"/>
    <x v="0"/>
    <x v="0"/>
    <s v="UM-Dorchester"/>
    <s v="ACS"/>
    <n v="17100.478729525999"/>
    <n v="5691.3710704739997"/>
    <n v="2918.3510000000001"/>
    <n v="173.03303"/>
    <n v="160.12299999999999"/>
    <n v="869.11956198300004"/>
    <n v="1288.8415178739999"/>
    <n v="158.246071962"/>
    <n v="61.979489891"/>
    <n v="109.639288892"/>
    <n v="5958.2957953300001"/>
    <n v="2977"/>
    <n v="1012.461795411"/>
    <n v="263.08591836900001"/>
    <n v="-224.56264933700001"/>
    <n v="48.559291391000002"/>
    <n v="762.26138578200005"/>
    <n v="218.47596841800001"/>
    <n v="184.579257834"/>
    <n v="494.13096786699998"/>
    <n v="137.37530833299999"/>
    <n v="8.0556932137822654E-2"/>
    <n v="40362.845800000003"/>
    <m/>
  </r>
  <r>
    <x v="1"/>
    <x v="9"/>
    <x v="4"/>
    <x v="2"/>
    <s v="St. Agnes"/>
    <s v="ACS"/>
    <n v="118083.52415831199"/>
    <n v="28455.938805906"/>
    <n v="17289.56134"/>
    <n v="2783.4445799999999"/>
    <n v="2640.0939699999999"/>
    <n v="25541.070820751"/>
    <n v="20099.103019999999"/>
    <n v="1278.6285825079999"/>
    <n v="2089.4306059800001"/>
    <n v="1392.8104499999999"/>
    <n v="55015.894798788002"/>
    <n v="2792.2892396669999"/>
    <n v="4544.0157340659998"/>
    <n v="1680.6708699999999"/>
    <n v="5849.20186362"/>
    <n v="0"/>
    <n v="4450.0886895419999"/>
    <n v="59.344369999000001"/>
    <n v="885.39698689800002"/>
    <n v="6.2167028450000004"/>
    <n v="15140.810471117"/>
    <n v="7.3249743204889931E-2"/>
    <n v="310077.53606000001"/>
    <m/>
  </r>
  <r>
    <x v="1"/>
    <x v="10"/>
    <x v="2"/>
    <x v="1"/>
    <s v="Sinai"/>
    <s v="ACS"/>
    <n v="169484.09234894201"/>
    <n v="52271.055820000001"/>
    <n v="38050.400000000001"/>
    <n v="12696.4"/>
    <n v="15338"/>
    <n v="78628.027929999997"/>
    <n v="77559.093462560006"/>
    <n v="2227.4143361840001"/>
    <n v="545.2889887"/>
    <n v="5537.0099366989998"/>
    <n v="46550.136113758002"/>
    <n v="24991.600561705"/>
    <n v="13520.835893852"/>
    <n v="4896.3999999999996"/>
    <n v="875.2"/>
    <n v="693.22277015500003"/>
    <n v="13086.866111552999"/>
    <n v="1669.8912425020001"/>
    <n v="10701.284682183999"/>
    <n v="2826.2788001489998"/>
    <n v="14939.325800000001"/>
    <n v="0.1125637378404702"/>
    <n v="587087.82479894196"/>
    <m/>
  </r>
  <r>
    <x v="1"/>
    <x v="11"/>
    <x v="2"/>
    <x v="3"/>
    <s v="Bon Secours"/>
    <s v="ACS"/>
    <n v="30458.473328116001"/>
    <n v="6417.0414342550002"/>
    <n v="5723.7845640360001"/>
    <n v="906.69051999999999"/>
    <n v="1457.1594299999999"/>
    <n v="2466.5289499999999"/>
    <n v="2896.1903499999999"/>
    <n v="66.195400000000006"/>
    <n v="151.57119"/>
    <n v="216.01151999999999"/>
    <n v="13480.91063"/>
    <n v="14009.081410000001"/>
    <n v="832.91333999999995"/>
    <n v="1343.14572"/>
    <n v="326.46848999999997"/>
    <n v="83.585070000000002"/>
    <n v="1812.5645999999999"/>
    <n v="8.8363300000000002"/>
    <n v="168.16009"/>
    <n v="661.39629000000002"/>
    <n v="-7733.4370425119996"/>
    <n v="0.1067628412837108"/>
    <n v="75753.271613894001"/>
    <m/>
  </r>
  <r>
    <x v="1"/>
    <x v="12"/>
    <x v="4"/>
    <x v="2"/>
    <s v="MedStar Fr Square"/>
    <s v="ACS"/>
    <n v="179958.11493620501"/>
    <n v="32888.187656709"/>
    <n v="22591.371142082"/>
    <n v="4108.4184834529997"/>
    <n v="7642.1740099999997"/>
    <n v="32685.103913999999"/>
    <n v="23312.506829999998"/>
    <n v="1846.24638"/>
    <n v="384.16455000000002"/>
    <n v="19.563269999999999"/>
    <n v="36994.253322103999"/>
    <n v="3548.608804"/>
    <n v="733.38499999999999"/>
    <n v="7342.1908700000004"/>
    <n v="400.35926672400001"/>
    <n v="378.73530850499998"/>
    <n v="4232.1074500000004"/>
    <n v="6059.4938899999997"/>
    <n v="3142.678160557"/>
    <n v="3381.8049799999999"/>
    <n v="21038.92478293"/>
    <n v="8.7453472644146601E-2"/>
    <n v="392688.39300726802"/>
    <m/>
  </r>
  <r>
    <x v="1"/>
    <x v="13"/>
    <x v="0"/>
    <x v="0"/>
    <s v="FT. Washington Adventist"/>
    <s v="ACS"/>
    <n v="90437.501000000004"/>
    <n v="18802.716"/>
    <n v="8799.1939999999995"/>
    <n v="1111.8130000000001"/>
    <n v="1581.6"/>
    <n v="29518.482"/>
    <n v="7459.5150000000003"/>
    <n v="1198.519"/>
    <n v="-0.02"/>
    <n v="1024.616"/>
    <n v="30420.121999999999"/>
    <n v="385.49"/>
    <n v="3451.07"/>
    <n v="855.90699999999993"/>
    <n v="539.93000000000006"/>
    <n v="660.99099999999999"/>
    <n v="3040.4949999999999"/>
    <n v="1728.356"/>
    <n v="970.13400000000001"/>
    <n v="92.137"/>
    <n v="3316.8002399999823"/>
    <n v="5.5953584048551372E-2"/>
    <n v="205395.36824000001"/>
    <m/>
  </r>
  <r>
    <x v="1"/>
    <x v="14"/>
    <x v="0"/>
    <x v="0"/>
    <s v="Garrett"/>
    <s v="ACS"/>
    <n v="15456.425174986"/>
    <n v="6789.1896938290001"/>
    <n v="3344.9125018039999"/>
    <n v="34.318319735999999"/>
    <n v="139.25170789699999"/>
    <n v="6254.4533494440002"/>
    <n v="3264.000748771"/>
    <n v="59.762362420000002"/>
    <n v="293.866704336"/>
    <n v="388.80475335199998"/>
    <n v="4044.8540803760002"/>
    <n v="-461.00547548399999"/>
    <n v="0"/>
    <n v="247.869158379"/>
    <n v="182.55442359899999"/>
    <n v="24.170030608000001"/>
    <n v="600.45367897699998"/>
    <n v="389.197264222"/>
    <n v="1368.710374663"/>
    <n v="14.573445467000001"/>
    <n v="991.36373747799996"/>
    <n v="8.1019266968125087E-2"/>
    <n v="43427.726034861"/>
    <m/>
  </r>
  <r>
    <x v="1"/>
    <x v="15"/>
    <x v="0"/>
    <x v="0"/>
    <s v="MedStar Montgomery"/>
    <s v="ACS"/>
    <n v="59681.543431830003"/>
    <n v="11447.146219595999"/>
    <n v="10671.539621878999"/>
    <n v="625.57521116800001"/>
    <n v="1224.70696"/>
    <n v="12434.022564352999"/>
    <n v="12736.044702181"/>
    <n v="741.37807403700003"/>
    <n v="242.21266"/>
    <n v="536.20114999999998"/>
    <n v="8675.5788494389999"/>
    <n v="7111.2430504060003"/>
    <n v="0"/>
    <n v="943.77743999999996"/>
    <n v="159.89341772099999"/>
    <n v="320.02197381899998"/>
    <n v="2341.1807399999998"/>
    <n v="395.02241010900002"/>
    <n v="608.89093251099996"/>
    <n v="156.45385999999999"/>
    <n v="10132.282152299"/>
    <n v="8.8691058063029599E-2"/>
    <n v="141184.71542134701"/>
    <m/>
  </r>
  <r>
    <x v="1"/>
    <x v="16"/>
    <x v="0"/>
    <x v="0"/>
    <s v="Peninsula"/>
    <s v="ACS"/>
    <n v="129460.7"/>
    <n v="33234.400000000001"/>
    <n v="26141.200000000001"/>
    <n v="1713.3"/>
    <n v="5319.8"/>
    <n v="41459.4"/>
    <n v="45568.2"/>
    <n v="1257.2"/>
    <n v="1080.5999999999999"/>
    <n v="1667.9"/>
    <n v="37236.6"/>
    <n v="11413.3"/>
    <n v="1163.5999999999999"/>
    <n v="3718.1"/>
    <n v="149.5"/>
    <n v="483.1"/>
    <n v="2754.6"/>
    <n v="2075.9"/>
    <n v="1760.2"/>
    <n v="2668"/>
    <n v="297.39999999999998"/>
    <n v="9.4615299053399243E-2"/>
    <n v="350623"/>
    <m/>
  </r>
  <r>
    <x v="1"/>
    <x v="17"/>
    <x v="4"/>
    <x v="2"/>
    <s v="Suburban"/>
    <s v="ACS"/>
    <n v="93851.213159999999"/>
    <n v="19537.798879999998"/>
    <n v="12026.027400000001"/>
    <n v="1716.1"/>
    <n v="2405.1466"/>
    <n v="46709.168250000002"/>
    <n v="13084.24653"/>
    <n v="734.28545999999994"/>
    <n v="4.3703200000000004"/>
    <n v="1549.7096300000001"/>
    <n v="29421.35298"/>
    <n v="9010.7605899999999"/>
    <n v="3178.51062"/>
    <n v="963.25048000000004"/>
    <n v="330.14055000000002"/>
    <n v="493.01168000000001"/>
    <n v="3457.15434"/>
    <n v="1439.3977500000001"/>
    <n v="1083.2928899999999"/>
    <n v="2341.5124500000002"/>
    <n v="6879.8805000000002"/>
    <n v="6.4533253811191113E-2"/>
    <n v="250216.33106"/>
    <m/>
  </r>
  <r>
    <x v="1"/>
    <x v="18"/>
    <x v="0"/>
    <x v="0"/>
    <s v="Anne Arundel"/>
    <s v="ACS"/>
    <n v="189840.70660880901"/>
    <n v="32415.912945920001"/>
    <n v="27994.498695127"/>
    <n v="5732.5500883220002"/>
    <n v="12252.196847169"/>
    <n v="70735.672000000006"/>
    <n v="57220.126362800002"/>
    <n v="522.99189000000001"/>
    <n v="295.40010999999998"/>
    <n v="-87.668859999999995"/>
    <n v="23076.408007999999"/>
    <n v="3385.3949600000001"/>
    <n v="3385.3949600000001"/>
    <n v="1359.4316956299999"/>
    <n v="1136.3850659760001"/>
    <n v="307.11948999999998"/>
    <n v="5489.3975"/>
    <n v="5438.40344"/>
    <n v="10657.787815"/>
    <n v="332.63754"/>
    <n v="26228.373194763"/>
    <n v="9.6247446818138446E-2"/>
    <n v="477719.12035751698"/>
    <m/>
  </r>
  <r>
    <x v="1"/>
    <x v="19"/>
    <x v="2"/>
    <x v="1"/>
    <s v="MedStar Union Mem"/>
    <s v="ACS"/>
    <n v="133284.905644966"/>
    <n v="21610.663804199001"/>
    <n v="14113.826993331"/>
    <n v="5152.5499185259996"/>
    <n v="2200.1402391729998"/>
    <n v="56737.548626999996"/>
    <n v="12838.567412"/>
    <n v="1566.2320400000001"/>
    <n v="0"/>
    <n v="1.9438599999999999"/>
    <n v="12655.627974442001"/>
    <n v="1573.3643520000001"/>
    <n v="5727.5564299999996"/>
    <n v="6558.3836199999996"/>
    <n v="320.43480929399999"/>
    <n v="590.01970835199995"/>
    <n v="3827.7638099999999"/>
    <n v="942.65186942900004"/>
    <n v="1584.7153906619999"/>
    <n v="2807.4761455100002"/>
    <n v="34046.828596997999"/>
    <n v="6.7474810137650665E-2"/>
    <n v="318141.20124588202"/>
    <m/>
  </r>
  <r>
    <x v="1"/>
    <x v="20"/>
    <x v="0"/>
    <x v="0"/>
    <s v="Western Maryland"/>
    <s v="ACS"/>
    <n v="75033.2"/>
    <n v="27928.6"/>
    <n v="23259.8"/>
    <n v="2023.6"/>
    <n v="11387.8"/>
    <n v="19955.900000000001"/>
    <n v="19908.900000000001"/>
    <n v="1020.6"/>
    <n v="269.60000000000002"/>
    <n v="2752.6"/>
    <n v="38013.800000000003"/>
    <n v="10522"/>
    <n v="0"/>
    <n v="1990.9"/>
    <n v="501.9"/>
    <n v="332.2"/>
    <n v="3150.3"/>
    <n v="1722.3"/>
    <n v="2000.6"/>
    <n v="585.1"/>
    <n v="1351"/>
    <n v="0.15047020914551554"/>
    <n v="243710.7"/>
    <m/>
  </r>
  <r>
    <x v="1"/>
    <x v="21"/>
    <x v="0"/>
    <x v="0"/>
    <s v="MedStar St. Mary's"/>
    <s v="ACS"/>
    <n v="61085.348928115003"/>
    <n v="12502.746271029"/>
    <n v="8263.1438814949997"/>
    <n v="1073.646480574"/>
    <n v="757.08295999999996"/>
    <n v="15674.546323756"/>
    <n v="9619.0029350490004"/>
    <n v="913.12880598799995"/>
    <n v="207.74271114199999"/>
    <n v="406.08054361900003"/>
    <n v="8497.692148864"/>
    <n v="3124.7754500000001"/>
    <n v="4669.2277999999997"/>
    <n v="650.63034000000005"/>
    <n v="141.18835000000001"/>
    <n v="257.88951529000002"/>
    <n v="1882.799218853"/>
    <n v="95.249083569999996"/>
    <n v="640.92801594000002"/>
    <n v="118.43254"/>
    <n v="19811.396318907999"/>
    <n v="6.7116786631789382E-2"/>
    <n v="150392.67862219299"/>
    <m/>
  </r>
  <r>
    <x v="1"/>
    <x v="22"/>
    <x v="2"/>
    <x v="1"/>
    <s v="JH Bayview"/>
    <s v="ACS"/>
    <n v="184012.3"/>
    <n v="71757.8"/>
    <n v="29167.5"/>
    <n v="8236"/>
    <n v="9552.5"/>
    <n v="34845.4"/>
    <n v="30474.6"/>
    <n v="1452.2"/>
    <n v="1.2"/>
    <n v="2131.3000000000002"/>
    <n v="145324.6"/>
    <n v="1327.8"/>
    <n v="10896.7"/>
    <n v="5298.3"/>
    <n v="491.3"/>
    <n v="2860"/>
    <n v="4918.5"/>
    <n v="3705.7"/>
    <n v="1719.5"/>
    <n v="584.70000000000005"/>
    <n v="353.5"/>
    <n v="8.5512702886882327E-2"/>
    <n v="549111.4"/>
    <m/>
  </r>
  <r>
    <x v="1"/>
    <x v="23"/>
    <x v="0"/>
    <x v="0"/>
    <s v="UM-Chestertown"/>
    <s v="ACS"/>
    <n v="10912.109325416999"/>
    <n v="3496.2964570079998"/>
    <n v="3733.5220181760001"/>
    <n v="119.43736"/>
    <n v="187.06229999999999"/>
    <n v="2638.7571800000001"/>
    <n v="222.51311000000001"/>
    <n v="198.51211000000001"/>
    <n v="43.27346"/>
    <n v="107.26519999999999"/>
    <n v="11502.540370000001"/>
    <n v="4775.3043998519997"/>
    <n v="454.01483000000002"/>
    <n v="-1456.71775"/>
    <n v="60.512009999999997"/>
    <n v="18.23884"/>
    <n v="911.44901000000004"/>
    <n v="172.93657999999999"/>
    <n v="291.82933000000003"/>
    <n v="2571.4147899999998"/>
    <n v="41.391469999999998"/>
    <n v="9.853311894327646E-2"/>
    <n v="41001.662400453999"/>
    <m/>
  </r>
  <r>
    <x v="1"/>
    <x v="24"/>
    <x v="0"/>
    <x v="0"/>
    <s v="Union of Cecil"/>
    <s v="ACS"/>
    <n v="53462.6"/>
    <n v="11731.8"/>
    <n v="11122.6"/>
    <n v="638.29999999999995"/>
    <n v="1777.1"/>
    <n v="7883.2"/>
    <n v="6796.5"/>
    <n v="177.6"/>
    <n v="0"/>
    <n v="414.07474000000002"/>
    <n v="14108.8"/>
    <n v="1603.7"/>
    <n v="1394.8"/>
    <n v="2077"/>
    <n v="313.10000000000002"/>
    <n v="394.3"/>
    <n v="1780.6"/>
    <n v="460"/>
    <n v="222.9"/>
    <n v="100.4"/>
    <n v="6958.92526"/>
    <n v="0.10969199867442672"/>
    <n v="123418.3"/>
    <m/>
  </r>
  <r>
    <x v="1"/>
    <x v="25"/>
    <x v="0"/>
    <x v="0"/>
    <s v="Carroll"/>
    <s v="ACS"/>
    <n v="85435.983152322005"/>
    <n v="15424.887039445999"/>
    <n v="13103.1"/>
    <n v="4194.2"/>
    <n v="6327.7"/>
    <n v="19369.471000000001"/>
    <n v="5182.7669999999998"/>
    <n v="407.19384000000002"/>
    <n v="228.24280999999999"/>
    <n v="657.59247000000005"/>
    <n v="4091.8589999999999"/>
    <n v="14583.789000000001"/>
    <n v="1257.2294300000001"/>
    <n v="2375.1999999999998"/>
    <n v="247.7"/>
    <n v="16.83841"/>
    <n v="2506.4602399999999"/>
    <n v="1042.4841899999999"/>
    <n v="498.81430999999998"/>
    <n v="1728.4407799999999"/>
    <n v="3112"/>
    <n v="0.12995624752794091"/>
    <n v="181791.952671768"/>
    <m/>
  </r>
  <r>
    <x v="1"/>
    <x v="26"/>
    <x v="2"/>
    <x v="3"/>
    <s v="MedStar Harbor"/>
    <s v="ACS"/>
    <n v="67375.989760690005"/>
    <n v="13222.871202859"/>
    <n v="7091.9312208769998"/>
    <n v="488.25114000000002"/>
    <n v="1271.70442"/>
    <n v="12177.041389"/>
    <n v="4197.5969800000003"/>
    <n v="811.86927000000003"/>
    <n v="60.848689999999998"/>
    <n v="0"/>
    <n v="9886.6765277369996"/>
    <n v="3206.1143310000002"/>
    <n v="398.89800000000002"/>
    <n v="1514.9025999999999"/>
    <n v="261.48451912000002"/>
    <n v="394.90989557"/>
    <n v="3139.0421900000001"/>
    <n v="2742.51622"/>
    <n v="888.98851999999999"/>
    <n v="1075.8768700000001"/>
    <n v="13255.184210291"/>
    <n v="6.1701661176909041E-2"/>
    <n v="143462.69795714499"/>
    <m/>
  </r>
  <r>
    <x v="1"/>
    <x v="27"/>
    <x v="0"/>
    <x v="0"/>
    <s v="UM-Charles Regional"/>
    <s v="ACS"/>
    <n v="43124.388496136999"/>
    <n v="10650.20847"/>
    <n v="5543.35448"/>
    <n v="682.97950000000003"/>
    <n v="1887.3936799999999"/>
    <n v="8964.0095700000002"/>
    <n v="5596.7829700000002"/>
    <n v="503.28392000000002"/>
    <n v="1.4235500000000001"/>
    <n v="715.27300000000002"/>
    <n v="18353.279797711999"/>
    <n v="7069.0135200000004"/>
    <n v="307.65246000000002"/>
    <n v="45.652830000000002"/>
    <n v="1091.6911399999999"/>
    <n v="21.820630000000001"/>
    <n v="1988.04061"/>
    <n v="949.16869999999994"/>
    <n v="3454.76692"/>
    <n v="88.143150000000006"/>
    <n v="546.33443"/>
    <n v="7.271364654766424E-2"/>
    <n v="111584.661823849"/>
    <m/>
  </r>
  <r>
    <x v="1"/>
    <x v="28"/>
    <x v="0"/>
    <x v="0"/>
    <s v="UM-Easton"/>
    <s v="ACS"/>
    <n v="56994.401755106999"/>
    <n v="18970.175414893001"/>
    <n v="11890.835999999999"/>
    <n v="375.16568000000001"/>
    <n v="2106.7449999999999"/>
    <n v="15385.186664991999"/>
    <n v="11303.150105377999"/>
    <n v="792.96638854499997"/>
    <n v="186.225516822"/>
    <n v="593.27980133599999"/>
    <n v="22853.258346126"/>
    <n v="7250.4110000000001"/>
    <n v="3061.054572858"/>
    <n v="184.246544102"/>
    <n v="-550.47031705999996"/>
    <n v="193.605387165"/>
    <n v="2270.8715915980001"/>
    <n v="686.74737647899997"/>
    <n v="1074.2458316750001"/>
    <n v="1800.3598126259999"/>
    <n v="647.17569735899997"/>
    <n v="9.0926675396969442E-2"/>
    <n v="158069.63816999999"/>
    <m/>
  </r>
  <r>
    <x v="1"/>
    <x v="29"/>
    <x v="2"/>
    <x v="3"/>
    <s v="UMMC Midtown"/>
    <s v="ACS"/>
    <n v="55116.757797263999"/>
    <n v="14265.757630179"/>
    <n v="12000.961399719001"/>
    <n v="1058.36562"/>
    <n v="1116"/>
    <n v="21748.726559999999"/>
    <n v="5165.8995500000001"/>
    <n v="541.56021999999996"/>
    <n v="0"/>
    <n v="401.94799999999998"/>
    <n v="33762.826603344998"/>
    <n v="23146"/>
    <n v="3766.2285900000002"/>
    <n v="-1402.4"/>
    <n v="236.96259000000001"/>
    <n v="88.581010000000006"/>
    <n v="3251.9686200000001"/>
    <n v="1575.62671"/>
    <n v="629.86014999999998"/>
    <n v="2.8035000000000001"/>
    <n v="-6153.87212"/>
    <n v="8.3227338011537616E-2"/>
    <n v="170320.56243050701"/>
    <m/>
  </r>
  <r>
    <x v="1"/>
    <x v="30"/>
    <x v="0"/>
    <x v="0"/>
    <s v="Calvert"/>
    <s v="ACS"/>
    <n v="45670.449039744002"/>
    <n v="16612.533997277998"/>
    <n v="9668.6007868640008"/>
    <n v="1762.5289600000001"/>
    <n v="2437.1413601730001"/>
    <n v="10240.19058"/>
    <n v="7744.3292099999999"/>
    <n v="39.164839999999998"/>
    <n v="3.5310199999999998"/>
    <n v="366.56756000000001"/>
    <n v="8713.2522599999993"/>
    <n v="4338.7085299999999"/>
    <n v="899.31230000000005"/>
    <n v="773.81673999999998"/>
    <n v="698.44023000000004"/>
    <n v="425.31069000000002"/>
    <n v="1389.2338"/>
    <n v="808.12427000000002"/>
    <n v="811.57547"/>
    <n v="1142.5752399999999"/>
    <n v="897.75417390400003"/>
    <n v="0.12013074990807693"/>
    <n v="115443.141057963"/>
    <m/>
  </r>
  <r>
    <x v="1"/>
    <x v="31"/>
    <x v="0"/>
    <x v="0"/>
    <s v="Northwest"/>
    <s v="ACS"/>
    <n v="105650.60105000999"/>
    <n v="0"/>
    <n v="12857.866"/>
    <n v="2709.1"/>
    <n v="5200"/>
    <n v="15361.19822"/>
    <n v="9438.2156500000001"/>
    <n v="880.76137000000006"/>
    <n v="99.964579999999998"/>
    <n v="781.03621999999996"/>
    <n v="13380.682942482999"/>
    <n v="5584.1396999999997"/>
    <n v="1223.3634"/>
    <n v="2475.5"/>
    <n v="269.89999999999998"/>
    <n v="101.44233"/>
    <n v="2268.9311499999999"/>
    <n v="466.65712000000002"/>
    <n v="1068.65194"/>
    <n v="926.36456999999996"/>
    <n v="1820.5362975170001"/>
    <n v="0.11375113493097321"/>
    <n v="182564.91254001"/>
    <m/>
  </r>
  <r>
    <x v="1"/>
    <x v="32"/>
    <x v="4"/>
    <x v="2"/>
    <s v="UM-BWMC"/>
    <s v="ACS"/>
    <n v="125216.948696673"/>
    <n v="58240.263923270002"/>
    <n v="26379.633333333"/>
    <n v="1515"/>
    <n v="5657"/>
    <n v="40354.637250221997"/>
    <n v="14397.779618453"/>
    <n v="362.81955661900002"/>
    <n v="0"/>
    <n v="0"/>
    <n v="25050.989783686"/>
    <n v="10692.801293494"/>
    <n v="4529.639061197"/>
    <n v="6996.760146611"/>
    <n v="0"/>
    <n v="195.154480006"/>
    <n v="3395.7151151100002"/>
    <n v="1942.1704393939999"/>
    <n v="1325.5302881309999"/>
    <n v="0"/>
    <n v="-222.98709492500001"/>
    <n v="0.10290969592834423"/>
    <n v="326029.85589127499"/>
    <m/>
  </r>
  <r>
    <x v="1"/>
    <x v="33"/>
    <x v="4"/>
    <x v="2"/>
    <s v="GBMC"/>
    <s v="ACS"/>
    <n v="160705.81559337399"/>
    <n v="41785.886010542003"/>
    <n v="29088.587510000001"/>
    <n v="3097.587"/>
    <n v="4508.1440000000002"/>
    <n v="32344.955915514998"/>
    <n v="27850.907999999999"/>
    <n v="1132.6969999999999"/>
    <n v="14.884"/>
    <n v="1287.039"/>
    <n v="26515.346000000001"/>
    <n v="3168.0970000000002"/>
    <n v="5270.9889999999996"/>
    <n v="7369.1279999999997"/>
    <n v="2.02"/>
    <n v="931.63900000000001"/>
    <n v="4057.308"/>
    <n v="859.76599999999996"/>
    <n v="411.86200000000002"/>
    <n v="1519.652"/>
    <n v="5528.13"/>
    <n v="0.102655681174495"/>
    <n v="357450.441029432"/>
    <m/>
  </r>
  <r>
    <x v="1"/>
    <x v="34"/>
    <x v="0"/>
    <x v="0"/>
    <s v="McCready"/>
    <s v="ACS"/>
    <n v="6813.2250000000004"/>
    <n v="1431.494638767"/>
    <n v="785.1"/>
    <n v="450.9"/>
    <n v="91.1"/>
    <n v="465.351"/>
    <n v="552.14599999999996"/>
    <n v="30.827999999999999"/>
    <n v="16.568000000000001"/>
    <n v="56.683"/>
    <n v="268.15699999999998"/>
    <n v="1848.7260000000001"/>
    <n v="31.84"/>
    <n v="121.467"/>
    <n v="129.08699999999999"/>
    <n v="99.459000000000003"/>
    <n v="342.94299999999998"/>
    <n v="38.091000000000001"/>
    <n v="137.69300000000001"/>
    <n v="14.904"/>
    <n v="1076.1451762490001"/>
    <n v="8.9657361509426145E-2"/>
    <n v="14801.907815015"/>
    <m/>
  </r>
  <r>
    <x v="1"/>
    <x v="35"/>
    <x v="0"/>
    <x v="0"/>
    <s v="Howard County"/>
    <s v="ACS"/>
    <n v="97617.042000000001"/>
    <n v="26867.766"/>
    <n v="12791.679"/>
    <n v="1185.2570000000001"/>
    <n v="9264.3580000000002"/>
    <n v="22715.554"/>
    <n v="9950.7900000000009"/>
    <n v="792.46600000000001"/>
    <n v="11.051"/>
    <n v="1259.7629999999999"/>
    <n v="30903.791000000001"/>
    <n v="25531.311000000002"/>
    <n v="1796.828"/>
    <n v="1365.6590000000001"/>
    <n v="240.91"/>
    <n v="128.822"/>
    <n v="919.63599999999997"/>
    <n v="1553.636"/>
    <n v="1577.0830000000001"/>
    <n v="22.295000000000002"/>
    <n v="794.10199999999998"/>
    <n v="9.3984038540950901E-2"/>
    <n v="247289.799"/>
    <m/>
  </r>
  <r>
    <x v="1"/>
    <x v="36"/>
    <x v="0"/>
    <x v="0"/>
    <s v="UM-Upper Chesapeake"/>
    <s v="ACS"/>
    <n v="104281.767283373"/>
    <n v="41474.662656838998"/>
    <n v="16128.834450202001"/>
    <n v="387.99200000000002"/>
    <n v="6905.8329999999996"/>
    <n v="25848.82"/>
    <n v="28526.044000000002"/>
    <n v="909.96600000000001"/>
    <n v="717.60900000000004"/>
    <n v="3838.067"/>
    <n v="19381.457469503999"/>
    <n v="10016.207"/>
    <n v="262.89299999999997"/>
    <n v="1319.4349999999999"/>
    <n v="0"/>
    <n v="1.08"/>
    <n v="2604.5810000000001"/>
    <n v="1085.7059999999999"/>
    <n v="2752.5770000000002"/>
    <n v="2990.127"/>
    <n v="2308.8987478539998"/>
    <n v="8.6194299694528576E-2"/>
    <n v="271742.557607772"/>
    <m/>
  </r>
  <r>
    <x v="1"/>
    <x v="37"/>
    <x v="0"/>
    <x v="0"/>
    <s v="Doctors"/>
    <s v="ACS"/>
    <n v="80506.378702581002"/>
    <n v="15079.5959102"/>
    <n v="8588.9377829959994"/>
    <n v="1370"/>
    <n v="5660.47"/>
    <n v="26814.914720000001"/>
    <n v="7969.0591999999997"/>
    <n v="928.98918000000003"/>
    <n v="5.0603600000000002"/>
    <n v="1473.73765"/>
    <n v="13264.51836"/>
    <n v="10176.80229"/>
    <n v="3994.5178900000001"/>
    <n v="2010.5"/>
    <n v="276.7"/>
    <n v="494.6866"/>
    <n v="2623.5082400000001"/>
    <n v="1540.8782699999999"/>
    <n v="1083.6087399999999"/>
    <n v="8.4691799999999997"/>
    <n v="2135.195950027"/>
    <n v="8.3972363039090836E-2"/>
    <n v="186006.52902580399"/>
    <m/>
  </r>
  <r>
    <x v="1"/>
    <x v="38"/>
    <x v="0"/>
    <x v="0"/>
    <s v="Laurel Regional"/>
    <s v="ACS"/>
    <n v="33306.866190000001"/>
    <n v="9805.9633200000007"/>
    <n v="3631.4562799999999"/>
    <n v="313.53269999999998"/>
    <n v="50.968380000000003"/>
    <n v="5552.0117700000001"/>
    <n v="3323.34717"/>
    <n v="48.557079999999999"/>
    <n v="12.54068"/>
    <n v="241.64945"/>
    <n v="14878.08023"/>
    <n v="1106.5709099999999"/>
    <n v="2414.1665400000002"/>
    <n v="1276.7046700000001"/>
    <n v="216.62551999999999"/>
    <n v="431.80653000000001"/>
    <n v="1535.1858099999999"/>
    <n v="1101.9681399999999"/>
    <n v="761.17583999999999"/>
    <n v="763.15297999999996"/>
    <n v="1048.2368100000001"/>
    <n v="4.8838055106609074E-2"/>
    <n v="81820.566999999995"/>
    <m/>
  </r>
  <r>
    <x v="1"/>
    <x v="39"/>
    <x v="4"/>
    <x v="2"/>
    <s v="MedStar Good Sam"/>
    <s v="ACS"/>
    <n v="104600.344782464"/>
    <n v="21162.701954025"/>
    <n v="11723.254038169"/>
    <n v="3377.0057142679998"/>
    <n v="1939.295923527"/>
    <n v="10777.714029917001"/>
    <n v="10946.962047999999"/>
    <n v="653.66363999999999"/>
    <n v="317.81650400000001"/>
    <n v="0.43807000000000001"/>
    <n v="3835.9137963570001"/>
    <n v="1385.292406"/>
    <n v="2014.1711"/>
    <n v="2870.5027799999998"/>
    <n v="379.92676265099999"/>
    <n v="360.77454491200001"/>
    <n v="3012.4209999999998"/>
    <n v="2182.0530529580001"/>
    <n v="1192.016519131"/>
    <n v="2003.869080402"/>
    <n v="33175.266449155002"/>
    <n v="7.819487804613845E-2"/>
    <n v="217911.40419593599"/>
    <m/>
  </r>
  <r>
    <x v="1"/>
    <x v="40"/>
    <x v="0"/>
    <x v="0"/>
    <s v="Shady Grove"/>
    <s v="ACS"/>
    <n v="130406.52899999999"/>
    <n v="28191.95"/>
    <n v="19655.205999999998"/>
    <n v="4300.3360000000002"/>
    <n v="6107.4"/>
    <n v="36438.527000000002"/>
    <n v="12284.831"/>
    <n v="1243.509"/>
    <n v="0.28000000000000003"/>
    <n v="1402.338"/>
    <n v="41085.654999999999"/>
    <n v="543.73599999999999"/>
    <n v="8321.8529999999992"/>
    <n v="1216.7729999999999"/>
    <n v="713.34299999999996"/>
    <n v="992.55700000000002"/>
    <n v="5988.4629999999997"/>
    <n v="3111.7649999999999"/>
    <n v="1284.886"/>
    <n v="76.941999999999993"/>
    <n v="4018.4313300001086"/>
    <n v="9.7802142749519441E-2"/>
    <n v="307385.31033000001"/>
    <m/>
  </r>
  <r>
    <x v="1"/>
    <x v="41"/>
    <x v="4"/>
    <x v="2"/>
    <s v="UMROI"/>
    <s v="ACS"/>
    <n v="42815.314315862997"/>
    <n v="8096.279052678"/>
    <n v="6535.8658800000003"/>
    <n v="291.39906000000002"/>
    <n v="722"/>
    <n v="10455.42037"/>
    <n v="4431.1822899999997"/>
    <n v="253.99554000000001"/>
    <n v="0"/>
    <n v="232.63902999999999"/>
    <n v="12837.244915822001"/>
    <n v="8867"/>
    <n v="5586.5716899999998"/>
    <n v="881"/>
    <n v="87.427279999999996"/>
    <n v="26.77713"/>
    <n v="1317.4477899999999"/>
    <n v="-27.305240000000001"/>
    <n v="285.34595000000002"/>
    <n v="0"/>
    <n v="-24.141870000000001"/>
    <n v="7.2819122139473627E-2"/>
    <n v="103671.463184362"/>
    <m/>
  </r>
  <r>
    <x v="1"/>
    <x v="42"/>
    <x v="0"/>
    <x v="0"/>
    <s v="FT. Washignton"/>
    <s v="ACS"/>
    <n v="19979.846052275785"/>
    <n v="4077.0524200000254"/>
    <n v="938.80000000000007"/>
    <n v="531.03699999999992"/>
    <n v="501.78868"/>
    <n v="2095.0250000000001"/>
    <n v="1119.6234099999999"/>
    <n v="540.23916000000008"/>
    <n v="6.9470499999999999"/>
    <n v="226.83891"/>
    <n v="6583.4611099999984"/>
    <n v="2330.6854699999999"/>
    <n v="0"/>
    <n v="546.11400000000003"/>
    <n v="28.521659999999976"/>
    <n v="106.46397"/>
    <n v="558.24512000000004"/>
    <n v="59.11835"/>
    <n v="272.07178999999991"/>
    <n v="149.80026999999998"/>
    <n v="306.38859475910431"/>
    <n v="4.8137663113894419E-2"/>
    <n v="40958.068017034908"/>
    <m/>
  </r>
  <r>
    <x v="1"/>
    <x v="43"/>
    <x v="0"/>
    <x v="0"/>
    <s v="Atlantic General"/>
    <s v="ACS"/>
    <n v="32286.223000000002"/>
    <n v="6098.3873146209999"/>
    <n v="6083.8"/>
    <n v="579.9"/>
    <n v="825.5"/>
    <n v="9419.5779999999995"/>
    <n v="5654.1030000000001"/>
    <n v="339.27800000000002"/>
    <n v="1.23"/>
    <n v="372.30399999999997"/>
    <n v="6606.73"/>
    <n v="1056.864"/>
    <n v="339.63799999999998"/>
    <n v="752.97299999999996"/>
    <n v="174.50327150199999"/>
    <n v="392.21300000000002"/>
    <n v="1148.07"/>
    <n v="471.06900000000002"/>
    <n v="889.20500000000004"/>
    <n v="27.302"/>
    <n v="4198.3057918530003"/>
    <n v="9.6364797964049995E-2"/>
    <n v="77717.176377975004"/>
    <m/>
  </r>
  <r>
    <x v="1"/>
    <x v="44"/>
    <x v="0"/>
    <x v="0"/>
    <s v="MedStar Southern MD"/>
    <s v="ACS"/>
    <n v="87056.545717319997"/>
    <n v="16560.952665297998"/>
    <n v="12352.292186995001"/>
    <n v="1407.3090355899999"/>
    <n v="6302.7910099999999"/>
    <n v="20000.734339477"/>
    <n v="6131.4607464370001"/>
    <n v="1473.4549092760001"/>
    <n v="773.18144008199999"/>
    <n v="952.260360171"/>
    <n v="36739.795573648"/>
    <n v="2555.0072836310001"/>
    <n v="4422.6059999999998"/>
    <n v="2149.8454000000002"/>
    <n v="169.18431000000001"/>
    <n v="46.242371159000001"/>
    <n v="2344.5264400000001"/>
    <n v="410.699599417"/>
    <n v="1002.767834791"/>
    <n v="208.238550092"/>
    <n v="9329.219611429"/>
    <n v="9.4460548019305757E-2"/>
    <n v="212389.11538481299"/>
    <m/>
  </r>
  <r>
    <x v="1"/>
    <x v="45"/>
    <x v="0"/>
    <x v="0"/>
    <s v="UM-St. Joe"/>
    <s v="ACS"/>
    <n v="121873.53904907699"/>
    <n v="25873.943186076001"/>
    <n v="18698.575852171001"/>
    <n v="725.78165999999999"/>
    <n v="9619.6"/>
    <n v="50931.127509999998"/>
    <n v="22227.644506411001"/>
    <n v="2.8758908600000002"/>
    <n v="619.29709093199995"/>
    <n v="1905.836553353"/>
    <n v="26646.906840238"/>
    <n v="5750.8026546319998"/>
    <n v="843.90812172200003"/>
    <n v="7852.4080219540001"/>
    <n v="0"/>
    <n v="98.857639488000004"/>
    <n v="3061.7453438460002"/>
    <n v="3613.7061109390002"/>
    <n v="1577.8211922349999"/>
    <n v="1896.4743847570001"/>
    <n v="9676.9142269000004"/>
    <n v="9.2644862826239877E-2"/>
    <n v="313497.76583559101"/>
    <m/>
  </r>
  <r>
    <x v="1"/>
    <x v="46"/>
    <x v="5"/>
    <x v="4"/>
    <s v="Levindale"/>
    <s v="ACS"/>
    <n v="20709.226000800001"/>
    <n v="4857.7196792000004"/>
    <n v="1801.8430000000001"/>
    <n v="646.50199999999995"/>
    <n v="-1.2E-2"/>
    <n v="2960.7887625650001"/>
    <n v="5571.8653875720001"/>
    <n v="62.781906374000002"/>
    <n v="127.95924911199999"/>
    <n v="0"/>
    <n v="756.63333556999999"/>
    <n v="310.39580030299999"/>
    <n v="281.14853223799997"/>
    <n v="140.65614042799999"/>
    <n v="52.850601740000002"/>
    <n v="18.891393662999999"/>
    <n v="732.39461803699999"/>
    <n v="149.008790723"/>
    <n v="47.228729289999997"/>
    <n v="196.78661717400001"/>
    <n v="2837.8314552090001"/>
    <n v="5.7931570541259983E-2"/>
    <n v="42262.5"/>
    <m/>
  </r>
  <r>
    <x v="1"/>
    <x v="47"/>
    <x v="3"/>
    <x v="0"/>
    <s v="HC-Germantown"/>
    <s v="ACS"/>
    <n v="32010.147910362"/>
    <n v="6584.7149019340004"/>
    <n v="11829.2"/>
    <n v="88.4"/>
    <n v="5122.5189468130002"/>
    <n v="8473.8155800000004"/>
    <n v="2704.1258400000002"/>
    <n v="61.139899999999997"/>
    <n v="0.96162999999999998"/>
    <n v="476.80856999999997"/>
    <n v="9449.5441532050008"/>
    <n v="5605.5"/>
    <n v="557.49192000000005"/>
    <n v="666.351357054"/>
    <n v="166.53346970199999"/>
    <n v="0"/>
    <n v="1933.52358"/>
    <n v="524.77107899999999"/>
    <n v="315.30914999999999"/>
    <n v="39.011330000000001"/>
    <n v="1158.2209617870001"/>
    <n v="0.19414936444986944"/>
    <n v="87768.090279857002"/>
    <m/>
  </r>
  <r>
    <x v="1"/>
    <x v="48"/>
    <x v="5"/>
    <x v="4"/>
    <s v="Adventist Germantown"/>
    <s v="ACS"/>
    <n v="3744.1570000000002"/>
    <n v="662.92899999999997"/>
    <n v="468"/>
    <n v="718.4"/>
    <n v="429.4"/>
    <n v="241.57499999999999"/>
    <n v="127.081"/>
    <n v="61.509"/>
    <n v="0"/>
    <n v="0"/>
    <n v="2976.498"/>
    <n v="1.7250000000000001"/>
    <n v="738.49300000000005"/>
    <n v="47"/>
    <n v="0.6"/>
    <n v="34.191000000000003"/>
    <n v="391.27499999999998"/>
    <n v="17.795999999999999"/>
    <n v="34.9"/>
    <n v="0"/>
    <n v="42.92699999999968"/>
    <n v="0.15046855898091868"/>
    <n v="10738.456"/>
    <m/>
  </r>
  <r>
    <x v="1"/>
    <x v="49"/>
    <x v="5"/>
    <x v="4"/>
    <s v="UM-Queen Anne's ED"/>
    <s v="ACS"/>
    <n v="2748.6308353720001"/>
    <n v="914.79931462800005"/>
    <n v="647"/>
    <n v="2.5842900000000002"/>
    <n v="343"/>
    <n v="198.20765"/>
    <n v="235.27199999999999"/>
    <n v="108.346"/>
    <n v="24.177"/>
    <n v="0"/>
    <n v="935.89953000000003"/>
    <n v="906"/>
    <n v="8.1300000000000008"/>
    <n v="10.121"/>
    <n v="-66.7"/>
    <n v="8.2581299999999995"/>
    <n v="26.529879999999999"/>
    <n v="3.7800799999999999"/>
    <n v="32.105060000000002"/>
    <n v="17.808"/>
    <n v="13.75774"/>
    <n v="0.13945282635712386"/>
    <n v="7117.70651"/>
    <m/>
  </r>
  <r>
    <x v="1"/>
    <x v="50"/>
    <x v="5"/>
    <x v="4"/>
    <s v="Bowie ED"/>
    <s v="ACS"/>
    <n v="5459.5093800000004"/>
    <n v="1381.2377200000001"/>
    <n v="1489.9027000000001"/>
    <n v="37.75141"/>
    <n v="7.3770000000000002E-2"/>
    <n v="435.26369"/>
    <n v="219.66095999999999"/>
    <n v="3.0778699999999999"/>
    <n v="37.213979999999999"/>
    <n v="0"/>
    <n v="2700.93824"/>
    <n v="117.84142"/>
    <n v="1549.65254"/>
    <n v="514.73302000000001"/>
    <n v="9.18872"/>
    <n v="106.7953"/>
    <n v="154.87204"/>
    <n v="25.566040000000001"/>
    <n v="300.02483999999998"/>
    <n v="275.44605999999999"/>
    <n v="0"/>
    <n v="0.10309424957761451"/>
    <n v="14818.7497"/>
    <m/>
  </r>
  <r>
    <x v="1"/>
    <x v="51"/>
    <x v="5"/>
    <x v="4"/>
    <s v="Mt. Washington Peds"/>
    <s v="ACS"/>
    <n v="24084.227318525998"/>
    <n v="7634.8017099999997"/>
    <n v="3198.0481292250001"/>
    <n v="83.116"/>
    <n v="105.10458"/>
    <n v="2344.4733961930001"/>
    <n v="3594.1634100000001"/>
    <n v="40.907330000000002"/>
    <n v="0"/>
    <n v="0"/>
    <n v="1037.889239073"/>
    <n v="3130.9339599999998"/>
    <n v="229.70963"/>
    <n v="-201.84303"/>
    <n v="113.69875"/>
    <n v="386.29462000000001"/>
    <n v="585.58622000000003"/>
    <n v="768.46520608900005"/>
    <n v="781.49716636699998"/>
    <n v="13.22885"/>
    <n v="883.50876138599995"/>
    <n v="6.9371119007693244E-2"/>
    <n v="48813.811246860001"/>
    <m/>
  </r>
  <r>
    <x v="1"/>
    <x v="52"/>
    <x v="5"/>
    <x v="4"/>
    <s v="Sheppard Pratt"/>
    <s v="ACS"/>
    <n v="62862.634192864003"/>
    <n v="21138.534008514998"/>
    <n v="9480.9246164050001"/>
    <n v="2151.6582899999999"/>
    <n v="1411.059192872"/>
    <n v="0"/>
    <n v="1408.9511299999999"/>
    <n v="111.37519"/>
    <n v="0"/>
    <n v="0"/>
    <n v="3584.9016700000002"/>
    <n v="6902.0290100000002"/>
    <n v="0"/>
    <n v="183.60918949500001"/>
    <n v="656.95668714199996"/>
    <n v="617.15860999999995"/>
    <n v="2303.3516800000002"/>
    <n v="3339.1374602000001"/>
    <n v="620.37012000000004"/>
    <n v="0"/>
    <n v="9303.3762135159996"/>
    <n v="0.1034585430922033"/>
    <n v="126076.02726100999"/>
    <m/>
  </r>
  <r>
    <x v="1"/>
    <x v="53"/>
    <x v="5"/>
    <x v="4"/>
    <s v="Brook Lane"/>
    <s v="ACS"/>
    <n v="9348.9"/>
    <n v="2349.6999999999998"/>
    <n v="816.5"/>
    <n v="0"/>
    <n v="246.2"/>
    <n v="94.6"/>
    <n v="802.9"/>
    <n v="8.5"/>
    <n v="0"/>
    <n v="0"/>
    <n v="801.6"/>
    <n v="0"/>
    <n v="0"/>
    <n v="217.9"/>
    <n v="56"/>
    <n v="141.9"/>
    <n v="354.7"/>
    <n v="317.89999999999998"/>
    <n v="78.3"/>
    <n v="0"/>
    <n v="1231.2"/>
    <n v="6.3005430787108407E-2"/>
    <n v="16866.8"/>
    <m/>
  </r>
  <r>
    <x v="1"/>
    <x v="56"/>
    <x v="5"/>
    <x v="4"/>
    <s v="Adventist BH-Rockville"/>
    <s v="ACS"/>
    <n v="19569.725999999999"/>
    <n v="4132.4459999999999"/>
    <n v="1786.8580000000002"/>
    <n v="694.69600000000003"/>
    <n v="365.5"/>
    <n v="132.374"/>
    <n v="216.72300000000001"/>
    <n v="91.106999999999999"/>
    <n v="0"/>
    <n v="0"/>
    <n v="5722.6819999999998"/>
    <n v="7.0789999999999997"/>
    <n v="73.162000000000006"/>
    <n v="55.268000000000001"/>
    <n v="85.899999999999991"/>
    <n v="140.34899999999999"/>
    <n v="554.56700000000001"/>
    <n v="772.77300000000002"/>
    <n v="266.02499999999998"/>
    <n v="0"/>
    <n v="25.393279999996594"/>
    <n v="8.2065099738819786E-2"/>
    <n v="34692.628280000004"/>
    <m/>
  </r>
  <r>
    <x v="1"/>
    <x v="54"/>
    <x v="5"/>
    <x v="4"/>
    <s v="UM-Shock Trauma"/>
    <s v="ACS"/>
    <n v="52685.238663176002"/>
    <n v="13388.161336824"/>
    <n v="12227"/>
    <n v="192.7"/>
    <n v="0"/>
    <n v="24056.436040000001"/>
    <n v="5514.5639600000004"/>
    <n v="0"/>
    <n v="0"/>
    <n v="0"/>
    <n v="34695.316038236997"/>
    <n v="12270"/>
    <n v="274.55414000000002"/>
    <n v="5960.6"/>
    <n v="127.4"/>
    <n v="28.07124"/>
    <n v="0"/>
    <n v="61.425780000000003"/>
    <n v="204.8135"/>
    <n v="0.13500000000000001"/>
    <n v="730.752934482"/>
    <n v="7.6467901174199188E-2"/>
    <n v="162417.168632719"/>
    <m/>
  </r>
  <r>
    <x v="1"/>
    <x v="55"/>
    <x v="4"/>
    <x v="5"/>
    <s v="Holy Cross Hospitals"/>
    <m/>
    <m/>
    <m/>
    <n v="37478.7437852"/>
    <n v="4720"/>
    <n v="13293.83000532"/>
    <m/>
    <m/>
    <m/>
    <m/>
    <m/>
    <m/>
    <m/>
    <m/>
    <m/>
    <m/>
    <m/>
    <m/>
    <m/>
    <m/>
    <m/>
    <m/>
    <n v="0.11817549870932666"/>
    <n v="469577.65693050897"/>
    <m/>
  </r>
  <r>
    <x v="2"/>
    <x v="0"/>
    <x v="0"/>
    <x v="0"/>
    <s v="Meritus"/>
    <s v="ACS"/>
    <n v="81969.14"/>
    <n v="21495.33"/>
    <n v="16973.740000000002"/>
    <n v="2294.6120000000001"/>
    <n v="12266.32"/>
    <n v="29623.91"/>
    <n v="6704.9880000000003"/>
    <n v="766.26300000000003"/>
    <n v="219.768"/>
    <n v="1764.338"/>
    <n v="51131.74"/>
    <n v="9033.6890000000003"/>
    <n v="949.71900000000005"/>
    <n v="399.53399999999999"/>
    <n v="1142.1949999999999"/>
    <n v="287.613"/>
    <n v="2850.1529999999998"/>
    <n v="1747.4929999999999"/>
    <n v="2066.6680000000001"/>
    <n v="268.66300000000001"/>
    <n v="3865.32"/>
    <n v="0.12724767900805387"/>
    <n v="247821.196"/>
    <m/>
  </r>
  <r>
    <x v="2"/>
    <x v="1"/>
    <x v="1"/>
    <x v="1"/>
    <s v="UMMC"/>
    <s v="ACS"/>
    <n v="343835.39107745601"/>
    <n v="154055.11119452599"/>
    <n v="74605.537074064006"/>
    <n v="11049.2"/>
    <n v="29361.9"/>
    <n v="156193.65903000001"/>
    <n v="158536.34096999999"/>
    <n v="122.73273"/>
    <n v="0"/>
    <n v="19.143999999999998"/>
    <n v="42447.905042245002"/>
    <n v="118522"/>
    <n v="4196.2201299999997"/>
    <n v="15571.9"/>
    <n v="1405.9"/>
    <n v="11097.12393"/>
    <n v="13371.27737"/>
    <n v="1100.5955899999999"/>
    <n v="4451.60131"/>
    <n v="9135.4816200000005"/>
    <n v="9939.3613399999995"/>
    <n v="9.9236249243152067E-2"/>
    <n v="1159018.3824082899"/>
    <m/>
  </r>
  <r>
    <x v="2"/>
    <x v="2"/>
    <x v="2"/>
    <x v="1"/>
    <s v="PG Hospital"/>
    <s v="ACS"/>
    <n v="105018.64448613601"/>
    <n v="24723.23747"/>
    <n v="8839.07"/>
    <n v="385.38249999999999"/>
    <n v="86.366680000000002"/>
    <n v="18764.727429999999"/>
    <n v="9633.3325299999997"/>
    <n v="532.21245999999996"/>
    <n v="381.25718999999998"/>
    <n v="1657.96531"/>
    <n v="30265.136299999998"/>
    <n v="3132.5175599999998"/>
    <n v="7995.1924399999998"/>
    <n v="4755.1011200000003"/>
    <n v="460.31882000000002"/>
    <n v="576.36788000000001"/>
    <n v="4203.9296299999996"/>
    <n v="2614.6901800000001"/>
    <n v="3421.5992700000002"/>
    <n v="2036.72885"/>
    <n v="-2131.5303980680001"/>
    <n v="4.0953275253981965E-2"/>
    <n v="227352.247708068"/>
    <m/>
  </r>
  <r>
    <x v="2"/>
    <x v="3"/>
    <x v="3"/>
    <x v="2"/>
    <s v="Holy Cross"/>
    <s v="ACS"/>
    <n v="162027.61758017301"/>
    <n v="36624.135561709998"/>
    <n v="25026.759040000001"/>
    <n v="3260.4"/>
    <n v="5826.5672223299998"/>
    <n v="39945.56151"/>
    <n v="16610.923269999999"/>
    <n v="441.24319000000003"/>
    <n v="12.875690000000001"/>
    <n v="3146.8878500000001"/>
    <n v="37285.040580000001"/>
    <n v="12428.1"/>
    <n v="0"/>
    <n v="2130.1629221379999"/>
    <n v="1045.522715286"/>
    <n v="0"/>
    <n v="6044.7959700000001"/>
    <n v="3825.93028"/>
    <n v="1839.83098"/>
    <n v="386.74452000000002"/>
    <n v="4965.5866249379997"/>
    <n v="9.4009661254565224E-2"/>
    <n v="362874.68550657498"/>
    <m/>
  </r>
  <r>
    <x v="2"/>
    <x v="4"/>
    <x v="0"/>
    <x v="0"/>
    <s v="Frederick"/>
    <s v="ACS"/>
    <n v="91607.878255860996"/>
    <n v="26537.651890960999"/>
    <n v="20119.519840000001"/>
    <n v="777.73054000000002"/>
    <n v="4298.6116754710001"/>
    <n v="29367.777999999998"/>
    <n v="25792.015019999999"/>
    <n v="605.14521999999999"/>
    <n v="6.9482200000000001"/>
    <n v="1244.29637"/>
    <n v="52098.346521845"/>
    <n v="9804.67"/>
    <n v="0"/>
    <n v="1387.3150000000001"/>
    <n v="487.50799999999998"/>
    <n v="849.99477999999999"/>
    <n v="2605.49647"/>
    <n v="1558.7801999999999"/>
    <n v="1511.30115"/>
    <n v="2857.9655600000001"/>
    <n v="4656.2831674990002"/>
    <n v="9.0575503515315736E-2"/>
    <n v="278175.23588163703"/>
    <m/>
  </r>
  <r>
    <x v="2"/>
    <x v="5"/>
    <x v="0"/>
    <x v="0"/>
    <s v="UM-Harford"/>
    <s v="ACS"/>
    <n v="39767.122322071002"/>
    <n v="8878.3916779289993"/>
    <n v="4771"/>
    <n v="576.4"/>
    <n v="1259"/>
    <n v="3411.2"/>
    <n v="2754.3"/>
    <n v="254.43600000000001"/>
    <n v="537.55499999999995"/>
    <n v="349.35599999999999"/>
    <n v="7199.27"/>
    <n v="3620.2"/>
    <n v="336.22800000000001"/>
    <n v="1478.251"/>
    <n v="0"/>
    <n v="769.41099999999994"/>
    <n v="1459.14"/>
    <n v="370.69299999999998"/>
    <n v="1077.2139999999999"/>
    <n v="1582.5989999999999"/>
    <n v="-156.761"/>
    <n v="8.227659887091858E-2"/>
    <n v="80295.005999999994"/>
    <m/>
  </r>
  <r>
    <x v="2"/>
    <x v="6"/>
    <x v="2"/>
    <x v="3"/>
    <s v="Mercy"/>
    <s v="ACS"/>
    <n v="151460.73235634001"/>
    <n v="40863.565999999999"/>
    <n v="31484.52"/>
    <n v="4821.6400000000003"/>
    <n v="16396.315999999999"/>
    <n v="58933.423000000003"/>
    <n v="28816.832999999999"/>
    <n v="121.04300000000001"/>
    <n v="848.80100000000004"/>
    <n v="7141.1760000000004"/>
    <n v="50620.91"/>
    <n v="9129.5810000000001"/>
    <n v="174.46600000000001"/>
    <n v="16742.683000000001"/>
    <n v="757.41399999999999"/>
    <n v="870.56700000000001"/>
    <n v="6909.5039999999999"/>
    <n v="3704.6190000000001"/>
    <n v="3907.721"/>
    <n v="169.67099999999999"/>
    <n v="1805.3040000000001"/>
    <n v="0.12096588478610786"/>
    <n v="435680.49035634001"/>
    <m/>
  </r>
  <r>
    <x v="2"/>
    <x v="7"/>
    <x v="1"/>
    <x v="1"/>
    <s v="Johns Hopkins"/>
    <s v="ACS"/>
    <n v="573787.65881968301"/>
    <n v="201474.09118031699"/>
    <n v="128463.5"/>
    <n v="13425.5"/>
    <n v="46662.358"/>
    <n v="166137.29999999999"/>
    <n v="152453.29999999999"/>
    <n v="6229.4374900000003"/>
    <n v="8.8625000000000007"/>
    <n v="25064.220379999999"/>
    <n v="409319.27"/>
    <n v="29742.821"/>
    <n v="25080.936310000001"/>
    <n v="21614.351719999999"/>
    <n v="2153.92002"/>
    <n v="4767.0569999999998"/>
    <n v="36452.775300000001"/>
    <n v="9179.9218400000009"/>
    <n v="5014.4405699999998"/>
    <n v="14823.6957"/>
    <n v="33140.300000000003"/>
    <n v="9.8977313300620318E-2"/>
    <n v="1904995.71783"/>
    <m/>
  </r>
  <r>
    <x v="2"/>
    <x v="8"/>
    <x v="0"/>
    <x v="0"/>
    <s v="UM-Dorchester"/>
    <s v="ACS"/>
    <n v="16273.505999999999"/>
    <n v="4237.223"/>
    <n v="2425.1080000000002"/>
    <n v="277.03699999999998"/>
    <n v="155.29499999999999"/>
    <n v="821.44299999999998"/>
    <n v="1287.404"/>
    <n v="150.94800000000001"/>
    <n v="24.699000000000002"/>
    <n v="125.76900000000001"/>
    <n v="5537.1589999999997"/>
    <n v="2267.8119999999999"/>
    <n v="747.56899999999996"/>
    <n v="419.33600000000001"/>
    <n v="75.302999999999997"/>
    <n v="62.146000000000001"/>
    <n v="591.226"/>
    <n v="224.54300000000001"/>
    <n v="143.39099999999999"/>
    <n v="433.68700000000001"/>
    <n v="147.31899999999999"/>
    <n v="7.8440925660241453E-2"/>
    <n v="36427.923000000003"/>
    <m/>
  </r>
  <r>
    <x v="2"/>
    <x v="9"/>
    <x v="4"/>
    <x v="2"/>
    <s v="St. Agnes"/>
    <s v="ACS"/>
    <n v="118407.673814087"/>
    <n v="24565.086219205001"/>
    <n v="17646.350630000001"/>
    <n v="2618.93824"/>
    <n v="2388.0035499999999"/>
    <n v="27954.793585791998"/>
    <n v="26560.27649"/>
    <n v="1269.998202985"/>
    <n v="2206.2907570060001"/>
    <n v="1785.9068321039999"/>
    <n v="49998.734112667997"/>
    <n v="2918.9681630129999"/>
    <n v="7360.699852101"/>
    <n v="1015.01431"/>
    <n v="4716.8878599999998"/>
    <n v="0"/>
    <n v="4755.1215249520001"/>
    <n v="44.887547236000003"/>
    <n v="998.92985180699998"/>
    <n v="-0.38642797099999998"/>
    <n v="15326.991743015"/>
    <n v="7.2481451357718538E-2"/>
    <n v="312539.16685799998"/>
    <m/>
  </r>
  <r>
    <x v="2"/>
    <x v="10"/>
    <x v="2"/>
    <x v="1"/>
    <s v="Sinai"/>
    <s v="ACS"/>
    <n v="154842.1"/>
    <n v="60229.9"/>
    <n v="37096"/>
    <n v="9522.9"/>
    <n v="15612.2"/>
    <n v="78835.8"/>
    <n v="59256"/>
    <n v="1760.2"/>
    <n v="652"/>
    <n v="5445.8"/>
    <n v="46916.5"/>
    <n v="32168.400000000001"/>
    <n v="5604.6"/>
    <n v="7090.3"/>
    <n v="788.7"/>
    <n v="639.9"/>
    <n v="12665.6"/>
    <n v="1364.9"/>
    <n v="3091.3"/>
    <n v="2919.8"/>
    <n v="14792.5"/>
    <n v="0.11288158762072022"/>
    <n v="551295.4"/>
    <m/>
  </r>
  <r>
    <x v="2"/>
    <x v="11"/>
    <x v="2"/>
    <x v="3"/>
    <s v="Bon Secours"/>
    <s v="ACS"/>
    <n v="33088.816605118998"/>
    <n v="5331.9433379239999"/>
    <n v="5275.2396284590004"/>
    <n v="1225.0302200000001"/>
    <n v="1609.06999"/>
    <n v="3448.8874999999998"/>
    <n v="2262.99224"/>
    <n v="102.8198"/>
    <n v="156.45940999999999"/>
    <n v="250.86984000000001"/>
    <n v="13071.05941"/>
    <n v="7905.9703051679999"/>
    <n v="659.47577999999999"/>
    <n v="490.30799999999999"/>
    <n v="267.24804"/>
    <n v="132.16967"/>
    <n v="1847.9689900000001"/>
    <n v="-148.91105999999999"/>
    <n v="399.17541"/>
    <n v="664.81813999999997"/>
    <n v="534.39282573599996"/>
    <n v="0.10320403250286146"/>
    <n v="78575.804082404997"/>
    <m/>
  </r>
  <r>
    <x v="2"/>
    <x v="12"/>
    <x v="4"/>
    <x v="2"/>
    <s v="MedStar Fr Square"/>
    <s v="ACS"/>
    <n v="175943.44196891299"/>
    <n v="34377.593904804002"/>
    <n v="22259.529171573999"/>
    <n v="3413.2032539470001"/>
    <n v="7488.6571620000004"/>
    <n v="31404.153429999998"/>
    <n v="22533.010129999999"/>
    <n v="1804.8143"/>
    <n v="374.63234999999997"/>
    <n v="0"/>
    <n v="36654.345956138"/>
    <n v="871.71243100000004"/>
    <n v="0"/>
    <n v="11038.369057"/>
    <n v="407.854360805"/>
    <n v="313.85153566999998"/>
    <n v="4377.7679799999996"/>
    <n v="6098.1428900000001"/>
    <n v="2983.1339196819999"/>
    <n v="3500.2345300000002"/>
    <n v="19684.418869325"/>
    <n v="8.601532183125507E-2"/>
    <n v="385528.86720085802"/>
    <m/>
  </r>
  <r>
    <x v="2"/>
    <x v="13"/>
    <x v="0"/>
    <x v="0"/>
    <s v="Washington Adventist"/>
    <s v="ACS"/>
    <n v="89930.313999999998"/>
    <n v="18793.249"/>
    <n v="8172.0140000000001"/>
    <n v="1016.91"/>
    <n v="2355"/>
    <n v="27921.095000000001"/>
    <n v="7323.1760000000004"/>
    <n v="1125.8910000000001"/>
    <n v="0.79"/>
    <n v="1025.92"/>
    <n v="31183.502"/>
    <n v="438.10899999999998"/>
    <n v="2198.1109999999999"/>
    <n v="849.5"/>
    <n v="520.73900000000003"/>
    <n v="772.57"/>
    <n v="2996.9349999999999"/>
    <n v="1582.7639999999999"/>
    <n v="784.779"/>
    <n v="72.221000000000004"/>
    <n v="5170.5836799999997"/>
    <n v="5.6522979717441094E-2"/>
    <n v="204234.17267999999"/>
    <m/>
  </r>
  <r>
    <x v="2"/>
    <x v="14"/>
    <x v="0"/>
    <x v="0"/>
    <s v="Garrett"/>
    <s v="ACS"/>
    <n v="15718.950791912001"/>
    <n v="6339.0872989520003"/>
    <n v="2833.3320083049998"/>
    <n v="9.7100601829999995"/>
    <n v="138.738"/>
    <n v="4862.7777062249997"/>
    <n v="1731.3679999999999"/>
    <n v="49.915886323999999"/>
    <n v="206.215"/>
    <n v="320.64485999999999"/>
    <n v="3512.6228911759999"/>
    <n v="894.61436025600005"/>
    <n v="0"/>
    <n v="-56.396000000000001"/>
    <n v="108.175777076"/>
    <n v="18.502458646000001"/>
    <n v="433.85256920299997"/>
    <n v="328.42633859300003"/>
    <n v="1321.475923297"/>
    <n v="7.7110000000000003"/>
    <n v="467.52922983899998"/>
    <n v="7.5974233925593521E-2"/>
    <n v="39247.254159985998"/>
    <m/>
  </r>
  <r>
    <x v="2"/>
    <x v="15"/>
    <x v="0"/>
    <x v="0"/>
    <s v="MedStar Montgomery"/>
    <s v="ACS"/>
    <n v="55592.296387182003"/>
    <n v="8984.9630520179999"/>
    <n v="10646.445858134"/>
    <n v="725.48452549700005"/>
    <n v="1305.8923"/>
    <n v="12604.649931657001"/>
    <n v="12122.516995026001"/>
    <n v="747.33541319599999"/>
    <n v="345.66302000000002"/>
    <n v="616.74534000000006"/>
    <n v="10287.874900299001"/>
    <n v="7156.1095588039998"/>
    <n v="318.26913999999999"/>
    <n v="1175.31729"/>
    <n v="169.733572283"/>
    <n v="276.49120635600002"/>
    <n v="2314.1470629999999"/>
    <n v="435.46112791399997"/>
    <n v="498.48144842699998"/>
    <n v="156.54167000000001"/>
    <n v="10167.075684932001"/>
    <n v="9.2777570775515447E-2"/>
    <n v="136647.49548472499"/>
    <m/>
  </r>
  <r>
    <x v="2"/>
    <x v="16"/>
    <x v="0"/>
    <x v="0"/>
    <s v="Peninsula"/>
    <s v="ACS"/>
    <n v="118896.9"/>
    <n v="29838.6"/>
    <n v="22363.8"/>
    <n v="1557.9"/>
    <n v="4886.5"/>
    <n v="43486.9"/>
    <n v="42641.2"/>
    <n v="1350"/>
    <n v="1279.7"/>
    <n v="1709"/>
    <n v="36701.5"/>
    <n v="10823.2"/>
    <n v="1136"/>
    <n v="2924.5"/>
    <n v="164.7"/>
    <n v="526.20000000000005"/>
    <n v="2483.8000000000002"/>
    <n v="1774.3"/>
    <n v="2166.1999999999998"/>
    <n v="2654.6"/>
    <n v="397.6"/>
    <n v="8.7360289856566742E-2"/>
    <n v="329763.09999999998"/>
    <m/>
  </r>
  <r>
    <x v="2"/>
    <x v="17"/>
    <x v="4"/>
    <x v="2"/>
    <s v="Suburban"/>
    <s v="ACS"/>
    <n v="90643.532760000002"/>
    <n v="17372.42325"/>
    <n v="14383.11031"/>
    <n v="1255.1036295649999"/>
    <n v="588.69863999999995"/>
    <n v="43081.912049999999"/>
    <n v="10916.108249999999"/>
    <n v="874.11387999999999"/>
    <n v="6.2695100000000004"/>
    <n v="1560.28694"/>
    <n v="25474.841820000001"/>
    <n v="12566.58618"/>
    <n v="2788.9315299999998"/>
    <n v="506.47302999999999"/>
    <n v="363.12081000000001"/>
    <n v="705.70531000000005"/>
    <n v="3025.95327"/>
    <n v="1557.48696"/>
    <n v="914.15760999999998"/>
    <n v="2364.9391799999999"/>
    <n v="5720.9064600000002"/>
    <n v="6.8563262066271849E-2"/>
    <n v="236670.66137956499"/>
    <m/>
  </r>
  <r>
    <x v="2"/>
    <x v="18"/>
    <x v="0"/>
    <x v="0"/>
    <s v="Anne Arundel"/>
    <s v="ACS"/>
    <n v="179290.07269146401"/>
    <n v="32331.790556374999"/>
    <n v="27686.333569999999"/>
    <n v="4921.7"/>
    <n v="12121.5"/>
    <n v="69020.498479999995"/>
    <n v="52512.768980000001"/>
    <n v="675.77306999999996"/>
    <n v="2.3374000000000001"/>
    <n v="15.82705"/>
    <n v="45970.040220000003"/>
    <n v="4800.6899299999995"/>
    <n v="2048.0173399999999"/>
    <n v="2103"/>
    <n v="-854.5"/>
    <n v="106.96823000000001"/>
    <n v="5331.2510000000002"/>
    <n v="5929.3255399999998"/>
    <n v="3588.9713000000002"/>
    <n v="1049.4037900000001"/>
    <n v="2879.4626699999999"/>
    <n v="9.9061881921038875E-2"/>
    <n v="451531.23181783903"/>
    <m/>
  </r>
  <r>
    <x v="2"/>
    <x v="19"/>
    <x v="2"/>
    <x v="1"/>
    <s v="MedStar Union Mem"/>
    <s v="ACS"/>
    <n v="132076.19910267601"/>
    <n v="26022.703228230999"/>
    <n v="14181.528986604"/>
    <n v="2809.8657524690002"/>
    <n v="2182.0367538589999"/>
    <n v="55576.744900389996"/>
    <n v="14172.43406"/>
    <n v="1280.8525999999999"/>
    <n v="1.9684200000000001"/>
    <n v="-604.27083000000005"/>
    <n v="12227.448762759001"/>
    <n v="700.62690999999995"/>
    <n v="2872.1770200000001"/>
    <n v="8747.0838239639997"/>
    <n v="322.17233288400001"/>
    <n v="470.98071806000002"/>
    <n v="3977.6303400000002"/>
    <n v="3880.3785899999998"/>
    <n v="20694.889218101001"/>
    <n v="3062.0955399999998"/>
    <n v="15410.48901397"/>
    <n v="5.9904611491554391E-2"/>
    <n v="320066.03524396702"/>
    <m/>
  </r>
  <r>
    <x v="2"/>
    <x v="20"/>
    <x v="0"/>
    <x v="0"/>
    <s v="Western Maryland"/>
    <s v="ACS"/>
    <n v="71938.020640000002"/>
    <n v="25057.9"/>
    <n v="23798.799999999999"/>
    <n v="2409.4"/>
    <n v="11949.3"/>
    <n v="20061.364000000001"/>
    <n v="20137.833999999999"/>
    <n v="940.8"/>
    <n v="258.60000000000002"/>
    <n v="2650.2"/>
    <n v="35466.800000000003"/>
    <n v="9437.2000000000007"/>
    <n v="0"/>
    <n v="2613"/>
    <n v="506.5"/>
    <n v="566"/>
    <n v="2986"/>
    <n v="1771.1"/>
    <n v="1984.1"/>
    <n v="645.70000000000005"/>
    <n v="1900.1020000000001"/>
    <n v="0.16094864987035892"/>
    <n v="237078.72064000001"/>
    <m/>
  </r>
  <r>
    <x v="2"/>
    <x v="21"/>
    <x v="0"/>
    <x v="0"/>
    <s v="MedStar St. Mary's"/>
    <s v="ACS"/>
    <n v="57925.408654475003"/>
    <n v="10525.797002337"/>
    <n v="7356.6857130349999"/>
    <n v="848.12400412199997"/>
    <n v="816.22059999999999"/>
    <n v="15919.786308031"/>
    <n v="8767.9274726170006"/>
    <n v="723.06509936400005"/>
    <n v="211.394098386"/>
    <n v="459.816460307"/>
    <n v="7692.7226847729999"/>
    <n v="1997.6655499999999"/>
    <n v="1387.312903"/>
    <n v="852.23108000000002"/>
    <n v="136.844199221"/>
    <n v="229.74063640899999"/>
    <n v="1885.001346044"/>
    <n v="77.968899672000006"/>
    <n v="650.11233518500001"/>
    <n v="74.932559999999995"/>
    <n v="12317.88235147"/>
    <n v="6.8938269544605885E-2"/>
    <n v="130856.639958449"/>
    <m/>
  </r>
  <r>
    <x v="2"/>
    <x v="22"/>
    <x v="2"/>
    <x v="1"/>
    <s v="JH Bayview"/>
    <s v="ACS"/>
    <n v="177810.4"/>
    <n v="65369.8"/>
    <n v="29260.6"/>
    <n v="8787.9"/>
    <n v="7871.7"/>
    <n v="32261.200000000001"/>
    <n v="29053.5"/>
    <n v="1369.7"/>
    <n v="5.5"/>
    <n v="2270.5"/>
    <n v="145788.1"/>
    <n v="2030.1"/>
    <n v="10554"/>
    <n v="4103.8"/>
    <n v="596"/>
    <n v="2794.1"/>
    <n v="4843.3999999999996"/>
    <n v="3504.2"/>
    <n v="1693.9"/>
    <n v="468.5"/>
    <n v="341.7"/>
    <n v="8.6514791666431168E-2"/>
    <n v="530778.6"/>
    <m/>
  </r>
  <r>
    <x v="2"/>
    <x v="23"/>
    <x v="0"/>
    <x v="0"/>
    <s v="UM-Chestertown"/>
    <s v="ACS"/>
    <n v="10844.819223562999"/>
    <n v="3344.2710936560002"/>
    <n v="3634.0027574269998"/>
    <n v="113.2"/>
    <n v="193"/>
    <n v="2339.0120000000002"/>
    <n v="2082.107"/>
    <n v="156.13900000000001"/>
    <n v="44.281999999999996"/>
    <n v="161.54599999999999"/>
    <n v="12296.380999999999"/>
    <n v="3586.221322162"/>
    <n v="34.343000000000004"/>
    <n v="691.404"/>
    <n v="67.546999999999997"/>
    <n v="48.267000000000003"/>
    <n v="2171.13"/>
    <n v="153.81899999999999"/>
    <n v="413.49599999999998"/>
    <n v="163.208"/>
    <n v="29.492999999999999"/>
    <n v="9.2563230605739483E-2"/>
    <n v="42567.688396808"/>
    <m/>
  </r>
  <r>
    <x v="2"/>
    <x v="24"/>
    <x v="0"/>
    <x v="0"/>
    <s v="Union of Cecil"/>
    <s v="ACS"/>
    <n v="52812.2"/>
    <n v="10715.9"/>
    <n v="11055.6"/>
    <n v="797.6"/>
    <n v="1842.6"/>
    <n v="7739.1"/>
    <n v="8387.2999999999993"/>
    <n v="169.6"/>
    <n v="0"/>
    <n v="444.46384999999998"/>
    <n v="12190.4"/>
    <n v="1899.6"/>
    <n v="469.3"/>
    <n v="2055"/>
    <n v="291.89999999999998"/>
    <n v="404.1"/>
    <n v="1990.1"/>
    <n v="557.4"/>
    <n v="267.60000000000002"/>
    <n v="94"/>
    <n v="7328.6361500000003"/>
    <n v="0.11271113071587757"/>
    <n v="121512.4"/>
    <m/>
  </r>
  <r>
    <x v="2"/>
    <x v="25"/>
    <x v="0"/>
    <x v="0"/>
    <s v="Carroll"/>
    <s v="ACS"/>
    <n v="85420.6"/>
    <n v="17426.7"/>
    <n v="14977.7"/>
    <n v="3723.9"/>
    <n v="5694.7"/>
    <n v="16696"/>
    <n v="18212.8"/>
    <n v="320.2"/>
    <n v="256.3"/>
    <n v="700.6"/>
    <n v="5820.2"/>
    <n v="21165.9"/>
    <n v="568.6"/>
    <n v="1443.3"/>
    <n v="806.6"/>
    <n v="86.4"/>
    <n v="2455"/>
    <n v="1120"/>
    <n v="555.5"/>
    <n v="1712.8"/>
    <n v="298.45800000000003"/>
    <n v="0.12231035708018508"/>
    <n v="199462.258"/>
    <m/>
  </r>
  <r>
    <x v="2"/>
    <x v="26"/>
    <x v="2"/>
    <x v="3"/>
    <s v="MedStar Harbor"/>
    <s v="ACS"/>
    <n v="65997.637273154003"/>
    <n v="12886.901311305"/>
    <n v="6461.5021700220004"/>
    <n v="394.12352694399999"/>
    <n v="1231.791757"/>
    <n v="14374.667751000001"/>
    <n v="4977.4788600000002"/>
    <n v="628.215959"/>
    <n v="165.44064"/>
    <n v="0"/>
    <n v="10619.987327385001"/>
    <n v="122.12699000000001"/>
    <n v="0"/>
    <n v="3253.1499199999998"/>
    <n v="261.17987286800002"/>
    <n v="522.99225622300003"/>
    <n v="3134.0068000000001"/>
    <n v="3013.8206799999998"/>
    <n v="960.78557000000001"/>
    <n v="1129.8763100000001"/>
    <n v="13431.603018403001"/>
    <n v="5.6331895426924829E-2"/>
    <n v="143567.28799330399"/>
    <m/>
  </r>
  <r>
    <x v="2"/>
    <x v="27"/>
    <x v="0"/>
    <x v="0"/>
    <s v="UM-Charles Regional"/>
    <s v="ACS"/>
    <n v="39539.114839738002"/>
    <n v="12574.046630000001"/>
    <n v="4628.1959399999996"/>
    <n v="904.97457999999995"/>
    <n v="1874.20317"/>
    <n v="7996.7740100000001"/>
    <n v="4858.9044000000004"/>
    <n v="497.78514000000001"/>
    <n v="3.5616300000000001"/>
    <n v="812.65858000000003"/>
    <n v="17367.693869675"/>
    <n v="6914.3434399999996"/>
    <n v="776.84501999999998"/>
    <n v="40.755099999999999"/>
    <n v="2860.8756699999999"/>
    <n v="35.446280000000002"/>
    <n v="1791.9385199999999"/>
    <n v="671.80654000000004"/>
    <n v="3330.4187700000002"/>
    <n v="56.84592"/>
    <n v="1490.56881"/>
    <n v="6.7940255796984317E-2"/>
    <n v="109027.756859414"/>
    <m/>
  </r>
  <r>
    <x v="2"/>
    <x v="28"/>
    <x v="0"/>
    <x v="0"/>
    <s v="UM-Easton"/>
    <s v="ACS"/>
    <n v="54856.281999999999"/>
    <n v="16291.45"/>
    <n v="8982.8610000000008"/>
    <n v="858.77300000000002"/>
    <n v="2838.4"/>
    <n v="13214.779"/>
    <n v="10745.593000000001"/>
    <n v="722.21299999999997"/>
    <n v="25.379000000000001"/>
    <n v="776.49900000000002"/>
    <n v="21773.1"/>
    <n v="5371.4459999999999"/>
    <n v="3612.223"/>
    <n v="538.38199999999995"/>
    <n v="141.60900000000001"/>
    <n v="240.93299999999999"/>
    <n v="1759.039"/>
    <n v="727.80799999999999"/>
    <n v="1050.05"/>
    <n v="1495.259"/>
    <n v="731.24599999999998"/>
    <n v="8.6403726023950231E-2"/>
    <n v="146753.32399999999"/>
    <m/>
  </r>
  <r>
    <x v="2"/>
    <x v="29"/>
    <x v="2"/>
    <x v="3"/>
    <s v="UMMC Midtown"/>
    <s v="ACS"/>
    <n v="45310.741365943002"/>
    <n v="12690.824943928001"/>
    <n v="11765.342920536999"/>
    <n v="1403.94832"/>
    <n v="1185.1519599999999"/>
    <n v="12262.16705"/>
    <n v="7792.1827199999998"/>
    <n v="692.04637000000002"/>
    <n v="0"/>
    <n v="394.46866999999997"/>
    <n v="33395.660442715001"/>
    <n v="24933.05863"/>
    <n v="3159.5559800000001"/>
    <n v="546.84595000000002"/>
    <n v="258.66109"/>
    <n v="6.7613500000000002"/>
    <n v="4985.9897600000004"/>
    <n v="858.40347999999994"/>
    <n v="554.34581000000003"/>
    <n v="0"/>
    <n v="666.67890999999997"/>
    <n v="8.8138236920671922E-2"/>
    <n v="162862.835723122"/>
    <m/>
  </r>
  <r>
    <x v="2"/>
    <x v="30"/>
    <x v="0"/>
    <x v="0"/>
    <s v="Calvert"/>
    <s v="ACS"/>
    <n v="47818.963725212001"/>
    <n v="10937.379721234"/>
    <n v="8404.0392551669993"/>
    <n v="1843.3865900000001"/>
    <n v="2311.112845266"/>
    <n v="9798.7975100000003"/>
    <n v="8094.5323399999997"/>
    <n v="50.422730000000001"/>
    <n v="4.4758800000000001"/>
    <n v="426.63319000000001"/>
    <n v="9554.3900699999995"/>
    <n v="4425.3009099999999"/>
    <n v="657.8895"/>
    <n v="1125.7027399999999"/>
    <n v="677.24122999999997"/>
    <n v="448.04109999999997"/>
    <n v="1421.6023399999999"/>
    <n v="821.39000999999996"/>
    <n v="869.35230000000001"/>
    <n v="1324.6357399999999"/>
    <n v="771.76335249299996"/>
    <n v="0.11234340958533176"/>
    <n v="111787.05307937101"/>
    <m/>
  </r>
  <r>
    <x v="2"/>
    <x v="31"/>
    <x v="0"/>
    <x v="0"/>
    <s v="Northwest"/>
    <s v="ACS"/>
    <n v="77918.751629999999"/>
    <n v="25509.10311"/>
    <n v="12707.17727"/>
    <n v="2408.0127000000002"/>
    <n v="5374.9000299999998"/>
    <n v="12019.400379999999"/>
    <n v="11403.699570000001"/>
    <n v="905.89308000000005"/>
    <n v="95.78877"/>
    <n v="838.20207000000005"/>
    <n v="14091.833020774"/>
    <n v="6209.3986299999997"/>
    <n v="1720.07132"/>
    <n v="2570.8413999999998"/>
    <n v="243.12974380899999"/>
    <n v="160.17966000000001"/>
    <n v="2567.5817000000002"/>
    <n v="486.72023999999999"/>
    <n v="1543.0349699999999"/>
    <n v="876.07006999999999"/>
    <n v="1521.387879226"/>
    <n v="0.11309795692515537"/>
    <n v="181171.17724380901"/>
    <m/>
  </r>
  <r>
    <x v="2"/>
    <x v="32"/>
    <x v="4"/>
    <x v="2"/>
    <s v="UM-BWMC"/>
    <s v="ACS"/>
    <n v="120162.07327975301"/>
    <n v="58208.282775008003"/>
    <n v="23103.133333333"/>
    <n v="2239.9"/>
    <n v="6003.1"/>
    <n v="41487.115118916001"/>
    <n v="12781.168058028999"/>
    <n v="427.59662429299999"/>
    <n v="0"/>
    <n v="0"/>
    <n v="27181.513523294001"/>
    <n v="12287.611177446001"/>
    <n v="4479.1537178939998"/>
    <n v="6681.1683655899997"/>
    <n v="0"/>
    <n v="209.91856755500001"/>
    <n v="3533.699011957"/>
    <n v="2047.186439804"/>
    <n v="1396.785980934"/>
    <n v="0"/>
    <n v="484.04623074199998"/>
    <n v="9.7133023489410455E-2"/>
    <n v="322713.45220454701"/>
    <m/>
  </r>
  <r>
    <x v="2"/>
    <x v="33"/>
    <x v="4"/>
    <x v="2"/>
    <s v="GBMC"/>
    <s v="ACS"/>
    <n v="144604.27799999999"/>
    <n v="35915.322"/>
    <n v="24360.14"/>
    <n v="2349.1999999999998"/>
    <n v="5576.8"/>
    <n v="32898.300000000003"/>
    <n v="30490"/>
    <n v="1304.3"/>
    <n v="6"/>
    <n v="1490.4"/>
    <n v="37261.5"/>
    <n v="3011.6"/>
    <n v="2070.6"/>
    <n v="7204.2"/>
    <n v="573.70000000000005"/>
    <n v="470.7"/>
    <n v="3234.7"/>
    <n v="1888.1"/>
    <n v="485.2"/>
    <n v="1615.7"/>
    <n v="4549.8"/>
    <n v="9.4580762029495266E-2"/>
    <n v="341360.54"/>
    <m/>
  </r>
  <r>
    <x v="2"/>
    <x v="34"/>
    <x v="0"/>
    <x v="0"/>
    <s v="McCready"/>
    <s v="ACS"/>
    <n v="6912.4470099999999"/>
    <n v="1332.6989902959999"/>
    <n v="841.2"/>
    <n v="478.6"/>
    <n v="90.9"/>
    <n v="613.86685"/>
    <n v="506.19515999999999"/>
    <n v="43.039920000000002"/>
    <n v="11.28622"/>
    <n v="32.72831"/>
    <n v="241.75314"/>
    <n v="1450.78737"/>
    <n v="30.6631"/>
    <n v="125.60446"/>
    <n v="110.67247"/>
    <n v="76.692809999999994"/>
    <n v="250.88380000000001"/>
    <n v="41.966270000000002"/>
    <n v="153.33121"/>
    <n v="14.58586"/>
    <n v="1306.5257891819999"/>
    <n v="9.6185651262388053E-2"/>
    <n v="14666.428739477"/>
    <m/>
  </r>
  <r>
    <x v="2"/>
    <x v="35"/>
    <x v="0"/>
    <x v="0"/>
    <s v="Howard County"/>
    <s v="ACS"/>
    <n v="95239.183000000005"/>
    <n v="24776.737000000001"/>
    <n v="13527.394"/>
    <n v="1164.5740000000001"/>
    <n v="7886.5640000000003"/>
    <n v="22008.678"/>
    <n v="10866.096"/>
    <n v="880.71900000000005"/>
    <n v="14.228999999999999"/>
    <n v="1311.4559999999999"/>
    <n v="30574.69"/>
    <n v="25758.308000000001"/>
    <n v="1604.5340000000001"/>
    <n v="1226.2190000000001"/>
    <n v="213.03399999999999"/>
    <n v="92.763999999999996"/>
    <n v="985.84299999999996"/>
    <n v="748.22199999999998"/>
    <n v="909.37199999999996"/>
    <n v="22.315000000000001"/>
    <n v="2242.4450000000002"/>
    <n v="9.3279145174988184E-2"/>
    <n v="242053.37599999999"/>
    <m/>
  </r>
  <r>
    <x v="2"/>
    <x v="36"/>
    <x v="0"/>
    <x v="0"/>
    <s v="UM-Upper Chesapeake"/>
    <s v="ACS"/>
    <n v="96879.906713944001"/>
    <n v="32247.404605446001"/>
    <n v="13650.471"/>
    <n v="850.5"/>
    <n v="7321"/>
    <n v="27178.83"/>
    <n v="25385.205999999998"/>
    <n v="966.16"/>
    <n v="7.367"/>
    <n v="3156.7069999999999"/>
    <n v="18349.199768343002"/>
    <n v="9300.93"/>
    <n v="286.108"/>
    <n v="573.61599999999999"/>
    <n v="0"/>
    <n v="1.01"/>
    <n v="1302.617"/>
    <n v="1007.461"/>
    <n v="2664.5259999999998"/>
    <n v="4848.4350000000004"/>
    <n v="2211.3159999999998"/>
    <n v="8.7924892429101856E-2"/>
    <n v="248188.771087734"/>
    <m/>
  </r>
  <r>
    <x v="2"/>
    <x v="37"/>
    <x v="0"/>
    <x v="0"/>
    <s v="Doctors"/>
    <s v="ACS"/>
    <n v="75589.551182893003"/>
    <n v="16349.667638614999"/>
    <n v="8505.5793090509997"/>
    <n v="1143.9000000000001"/>
    <n v="7459.9030000000002"/>
    <n v="25630.73993"/>
    <n v="6981.4667600000002"/>
    <n v="806.17061999999999"/>
    <n v="2.3626299999999998"/>
    <n v="1385.2840000000001"/>
    <n v="11740.256890000001"/>
    <n v="10216.074640000001"/>
    <n v="2006.7694799999999"/>
    <n v="2265.5"/>
    <n v="326.7"/>
    <n v="456.27242999999999"/>
    <n v="2474.9129200000002"/>
    <n v="1421.26674"/>
    <n v="1170.3579199999999"/>
    <n v="13.417820000000001"/>
    <n v="3533.9254114519999"/>
    <n v="9.5327472406308122E-2"/>
    <n v="179480.07932201101"/>
    <m/>
  </r>
  <r>
    <x v="2"/>
    <x v="38"/>
    <x v="0"/>
    <x v="0"/>
    <s v="Laurel Regional"/>
    <s v="ACS"/>
    <n v="37894.808185551999"/>
    <n v="10114.418994448"/>
    <n v="3944.7326800000001"/>
    <n v="468.73844000000003"/>
    <n v="64.368170000000006"/>
    <n v="5098.1053700000002"/>
    <n v="3376.8975599999999"/>
    <n v="51.520940000000003"/>
    <n v="18.001480000000001"/>
    <n v="317.47922"/>
    <n v="13832.00856"/>
    <n v="1314.7173"/>
    <n v="1463.00207"/>
    <n v="1435.8753200000001"/>
    <n v="220.08482000000001"/>
    <n v="380.21854999999999"/>
    <n v="1286.2317499999999"/>
    <n v="1155.7072800000001"/>
    <n v="1084.1334199999999"/>
    <n v="758.93795"/>
    <n v="787.00437999999997"/>
    <n v="5.2638975019110239E-2"/>
    <n v="85066.992440000002"/>
    <m/>
  </r>
  <r>
    <x v="2"/>
    <x v="39"/>
    <x v="4"/>
    <x v="2"/>
    <s v="MedStar Good Sam"/>
    <s v="ACS"/>
    <n v="97889.103969349002"/>
    <n v="22755.800903220999"/>
    <n v="11698.694429698"/>
    <n v="3125.982819971"/>
    <n v="1878.3847899360001"/>
    <n v="14335.744197021"/>
    <n v="13159.118783591"/>
    <n v="21.267240000000001"/>
    <n v="0"/>
    <n v="19.198869999999999"/>
    <n v="1232.9267306740001"/>
    <n v="760.37004000000002"/>
    <n v="987.06241"/>
    <n v="3770.6384039989998"/>
    <n v="264.47828399799999"/>
    <n v="390.52758999999998"/>
    <n v="3191.3635399999998"/>
    <n v="3931.7121200000001"/>
    <n v="16078.531509517001"/>
    <n v="2458.7913800000001"/>
    <n v="15988.154874567001"/>
    <n v="7.8074365122010825E-2"/>
    <n v="213937.85288554401"/>
    <m/>
  </r>
  <r>
    <x v="2"/>
    <x v="40"/>
    <x v="0"/>
    <x v="0"/>
    <s v="Shady Grove"/>
    <s v="ACS"/>
    <n v="127675.482"/>
    <n v="27569.555"/>
    <n v="19532.962"/>
    <n v="4276.5159999999996"/>
    <n v="6055.4"/>
    <n v="35733.196000000004"/>
    <n v="12046.358"/>
    <n v="1437.684"/>
    <n v="0"/>
    <n v="1508.6489999999999"/>
    <n v="38472.089"/>
    <n v="596.43700000000001"/>
    <n v="6861.9660000000003"/>
    <n v="1254.3"/>
    <n v="683.87"/>
    <n v="1171.3330000000001"/>
    <n v="6586.1239999999998"/>
    <n v="3070.9369999999999"/>
    <n v="1170.7249999999999"/>
    <n v="74.364999999999995"/>
    <n v="6522.9455699999999"/>
    <n v="9.8791894550204373E-2"/>
    <n v="302300.89357000001"/>
    <m/>
  </r>
  <r>
    <x v="2"/>
    <x v="41"/>
    <x v="4"/>
    <x v="2"/>
    <s v="UMROI"/>
    <s v="ACS"/>
    <n v="40745.344263252999"/>
    <n v="8551.1230567469993"/>
    <n v="5654.0127091539998"/>
    <n v="290.51805000000002"/>
    <n v="761.54799675100003"/>
    <n v="9745.8107299999992"/>
    <n v="3468.9003400000001"/>
    <n v="243.94049000000001"/>
    <n v="0"/>
    <n v="275.21871750000003"/>
    <n v="14999.2443625"/>
    <n v="9126"/>
    <n v="3872.32188"/>
    <n v="1705.2"/>
    <n v="119.78307"/>
    <n v="72.598320000000001"/>
    <n v="1134.0458599999999"/>
    <n v="-37.066679999999998"/>
    <n v="287.17415"/>
    <n v="0"/>
    <n v="-74.351089999999999"/>
    <n v="6.6435387261322712E-2"/>
    <n v="100941.366225905"/>
    <m/>
  </r>
  <r>
    <x v="2"/>
    <x v="42"/>
    <x v="0"/>
    <x v="0"/>
    <s v="Ft. Washington"/>
    <s v="ACS"/>
    <n v="20396.117463813"/>
    <n v="3887.4872270720002"/>
    <n v="956.1"/>
    <n v="806.07799999999997"/>
    <n v="532.86199999999997"/>
    <n v="2407.3649999999998"/>
    <n v="1144.9670000000001"/>
    <n v="690.63900000000001"/>
    <n v="5.56"/>
    <n v="257.93400000000003"/>
    <n v="5340.8825500000003"/>
    <n v="1956.827"/>
    <n v="0"/>
    <n v="583.17399999999998"/>
    <n v="25.530999999999999"/>
    <n v="111.953"/>
    <n v="731.76800000000003"/>
    <n v="14.331"/>
    <n v="280.67700000000002"/>
    <n v="779.43700000000001"/>
    <n v="763.00728931799995"/>
    <n v="5.5072988695693992E-2"/>
    <n v="41672.697530204001"/>
    <m/>
  </r>
  <r>
    <x v="2"/>
    <x v="43"/>
    <x v="0"/>
    <x v="0"/>
    <s v="Atlantic General"/>
    <s v="ACS"/>
    <n v="30623.505000000001"/>
    <n v="6639.0444358470004"/>
    <n v="6021"/>
    <n v="520.20000000000005"/>
    <n v="805.8"/>
    <n v="8206.8619999999992"/>
    <n v="4062.319"/>
    <n v="396.28100000000001"/>
    <n v="0.82899999999999996"/>
    <n v="350.21199999999999"/>
    <n v="7478.8050000000003"/>
    <n v="1385.4760000000001"/>
    <n v="351.5"/>
    <n v="677.19299999999998"/>
    <n v="324.743083807"/>
    <n v="208.065"/>
    <n v="953.995"/>
    <n v="381.80799999999999"/>
    <n v="827.02"/>
    <n v="29.684999999999999"/>
    <n v="5240.2033213750001"/>
    <n v="9.7331181080069495E-2"/>
    <n v="75484.545841029001"/>
    <m/>
  </r>
  <r>
    <x v="2"/>
    <x v="44"/>
    <x v="0"/>
    <x v="0"/>
    <s v="MedStar Southern MD"/>
    <s v="ACS"/>
    <n v="83654.958165204007"/>
    <n v="15328.514647851"/>
    <n v="11412.186023304001"/>
    <n v="1035.3395130009999"/>
    <n v="5822.8819800000001"/>
    <n v="23646.888747280998"/>
    <n v="6588.3057227019999"/>
    <n v="1382.240465699"/>
    <n v="495.642287082"/>
    <n v="1066.8559021999999"/>
    <n v="38975.611041695003"/>
    <n v="2191.944490419"/>
    <n v="2650.9353584649998"/>
    <n v="2737.9583899999998"/>
    <n v="167.52722"/>
    <n v="351.11035636100002"/>
    <n v="2268.8749798959998"/>
    <n v="155.39936844600001"/>
    <n v="1827.6122681419999"/>
    <n v="239.13470000000001"/>
    <n v="8251.99508934"/>
    <n v="8.6897697778847427E-2"/>
    <n v="210251.91671708901"/>
    <m/>
  </r>
  <r>
    <x v="2"/>
    <x v="45"/>
    <x v="0"/>
    <x v="0"/>
    <s v="UM-St. Joe"/>
    <s v="ACS"/>
    <n v="117741.037923069"/>
    <n v="23603.848777300998"/>
    <n v="16648.314077373001"/>
    <n v="1504.31753"/>
    <n v="9684.6"/>
    <n v="51051.936860000002"/>
    <n v="21465.355122639001"/>
    <n v="2.4193023939999998"/>
    <n v="685.00858949400003"/>
    <n v="2054.9579415799999"/>
    <n v="23148.735089209"/>
    <n v="4164.2877723290003"/>
    <n v="3269.5416646190001"/>
    <n v="5896.4715076590001"/>
    <n v="0"/>
    <n v="55.093136829999999"/>
    <n v="3567.8535726260002"/>
    <n v="3538.4808358710002"/>
    <n v="1581.604413091"/>
    <n v="1912.1810454839999"/>
    <n v="9699.8680034000008"/>
    <n v="9.2397800125927812E-2"/>
    <n v="301275.91316496697"/>
    <m/>
  </r>
  <r>
    <x v="2"/>
    <x v="46"/>
    <x v="5"/>
    <x v="4"/>
    <s v="Levindale"/>
    <s v="ACS"/>
    <n v="19958.636309400001"/>
    <n v="4681.6554305999998"/>
    <n v="1862.5409999999999"/>
    <n v="590.4"/>
    <n v="-2.3E-2"/>
    <n v="3019.578"/>
    <n v="5682.5"/>
    <n v="64.028499999999994"/>
    <n v="130.5"/>
    <n v="0"/>
    <n v="771.65700000000004"/>
    <n v="316.55900000000003"/>
    <n v="286.73099999999999"/>
    <n v="143.44900000000001"/>
    <n v="53.9"/>
    <n v="19.266500000000001"/>
    <n v="746.93700000000001"/>
    <n v="151.9675"/>
    <n v="48.166499999999999"/>
    <n v="200.69399999999999"/>
    <n v="2894.1792599999999"/>
    <n v="5.8931335203582853E-2"/>
    <n v="41623.322999999997"/>
    <m/>
  </r>
  <r>
    <x v="2"/>
    <x v="47"/>
    <x v="3"/>
    <x v="0"/>
    <s v="HC-Germantown"/>
    <s v="ACS"/>
    <n v="28408.271627209"/>
    <n v="5723.6646391300001"/>
    <n v="10913.5"/>
    <n v="84"/>
    <n v="5095.2180076510003"/>
    <n v="7742.2687400000004"/>
    <n v="2638.04576"/>
    <n v="60.925960000000003"/>
    <n v="0.29076000000000002"/>
    <n v="398.75671999999997"/>
    <n v="5846.9"/>
    <n v="5867.1"/>
    <n v="0"/>
    <n v="341.37525307999999"/>
    <n v="159.02740713899999"/>
    <n v="0"/>
    <n v="1730.48297"/>
    <n v="301.95632999999998"/>
    <n v="276.60239999999999"/>
    <n v="29.02291"/>
    <n v="739.62363786200001"/>
    <n v="0.21075619821325142"/>
    <n v="76357.033122071007"/>
    <m/>
  </r>
  <r>
    <x v="2"/>
    <x v="48"/>
    <x v="5"/>
    <x v="4"/>
    <s v="Germantown ED"/>
    <s v="ACS"/>
    <n v="3708.8789999999999"/>
    <n v="656.54600000000005"/>
    <n v="506.1"/>
    <n v="677.5"/>
    <n v="382.8"/>
    <n v="253.684"/>
    <n v="157.35"/>
    <n v="79.703999999999994"/>
    <n v="0"/>
    <n v="0"/>
    <n v="2933.3530000000001"/>
    <n v="2.117"/>
    <n v="1000.399"/>
    <n v="67.099999999999994"/>
    <n v="0.7"/>
    <n v="40.536999999999999"/>
    <n v="357.67399999999998"/>
    <n v="19.283999999999999"/>
    <n v="44.131"/>
    <n v="0"/>
    <n v="107.44"/>
    <n v="0.1424608955573555"/>
    <n v="10995.298000000001"/>
    <m/>
  </r>
  <r>
    <x v="2"/>
    <x v="49"/>
    <x v="5"/>
    <x v="4"/>
    <s v="UM-Queen Anne's ED"/>
    <s v="ACS"/>
    <n v="2472.2860000000001"/>
    <n v="723.95699999999999"/>
    <n v="912.50099999999998"/>
    <n v="20.417999999999999"/>
    <n v="514.86400000000003"/>
    <n v="238.88499999999999"/>
    <n v="207.71100000000001"/>
    <n v="25.045999999999999"/>
    <n v="9.3190000000000008"/>
    <n v="0"/>
    <n v="566.07299999999998"/>
    <n v="895.69100000000003"/>
    <n v="10.595000000000001"/>
    <n v="65.703000000000003"/>
    <n v="8.8680000000000003"/>
    <n v="9.5090000000000003"/>
    <n v="11.239000000000001"/>
    <n v="8.2729999999999997"/>
    <n v="24.876000000000001"/>
    <n v="125.483"/>
    <n v="20.145"/>
    <n v="0.2106956589315605"/>
    <n v="6871.442"/>
    <m/>
  </r>
  <r>
    <x v="2"/>
    <x v="50"/>
    <x v="5"/>
    <x v="4"/>
    <s v="Bowie ED"/>
    <s v="ACS"/>
    <n v="4969.5830007479999"/>
    <n v="1339.4920092519999"/>
    <n v="915.15491999999995"/>
    <n v="55.132089999999998"/>
    <n v="5.3120000000000001E-2"/>
    <n v="557.17981999999995"/>
    <n v="246.42510999999999"/>
    <n v="0"/>
    <n v="31.228449999999999"/>
    <n v="0"/>
    <n v="2260.08788"/>
    <n v="219.41587999999999"/>
    <n v="1114.9881499999999"/>
    <n v="57.671349999999997"/>
    <n v="9.0708900000000003"/>
    <n v="46.16337"/>
    <n v="109.07129999999999"/>
    <n v="16.88945"/>
    <n v="258.61547999999999"/>
    <n v="338.16696000000002"/>
    <n v="70.419409999999999"/>
    <n v="7.6920717364128005E-2"/>
    <n v="12614.808639999999"/>
    <m/>
  </r>
  <r>
    <x v="2"/>
    <x v="51"/>
    <x v="5"/>
    <x v="4"/>
    <s v="Mt. Washington Peds"/>
    <s v="ACS"/>
    <n v="23575.618155714001"/>
    <n v="7605.6675800000003"/>
    <n v="3038.6937907070001"/>
    <n v="198.86845"/>
    <n v="80.453580000000002"/>
    <n v="1955.3161299999999"/>
    <n v="3333.1442299999999"/>
    <n v="56.104140000000001"/>
    <n v="0"/>
    <n v="0"/>
    <n v="1405.17128"/>
    <n v="3352.5092"/>
    <n v="112.48902"/>
    <n v="237.76224999999999"/>
    <n v="105.66228"/>
    <n v="357.72906999999998"/>
    <n v="420.62765000000002"/>
    <n v="677.93714"/>
    <n v="415.48145"/>
    <n v="25.3215"/>
    <n v="-755.361016694"/>
    <n v="7.1819774295315691E-2"/>
    <n v="46199.195879726001"/>
    <m/>
  </r>
  <r>
    <x v="2"/>
    <x v="52"/>
    <x v="5"/>
    <x v="4"/>
    <s v="Sheppard Pratt"/>
    <s v="ACS"/>
    <n v="57348.597608844"/>
    <n v="19592.491650560001"/>
    <n v="9256.8956092009994"/>
    <n v="1993.2082"/>
    <n v="1306.925323297"/>
    <n v="0"/>
    <n v="1490.8891000000001"/>
    <n v="119.60764"/>
    <n v="0"/>
    <n v="0"/>
    <n v="3244.46434"/>
    <n v="6976.0968400000002"/>
    <n v="0"/>
    <n v="-284.17692959499999"/>
    <n v="661.78477324400001"/>
    <n v="550.85547999999994"/>
    <n v="2256.8081999999999"/>
    <n v="3271.1341742630002"/>
    <n v="658.07839000000001"/>
    <n v="0"/>
    <n v="10695.831115483001"/>
    <n v="0.1053977062751341"/>
    <n v="119139.491515296"/>
    <m/>
  </r>
  <r>
    <x v="2"/>
    <x v="53"/>
    <x v="5"/>
    <x v="4"/>
    <s v="Brook Lane"/>
    <s v="ACS"/>
    <n v="11205.3"/>
    <n v="2710.1"/>
    <n v="728"/>
    <n v="0"/>
    <n v="276.5"/>
    <n v="116"/>
    <n v="826"/>
    <n v="10.1"/>
    <n v="0"/>
    <n v="0"/>
    <n v="792.7"/>
    <n v="0"/>
    <n v="0"/>
    <n v="204.3"/>
    <n v="52.5"/>
    <n v="135"/>
    <n v="357.1"/>
    <n v="334.7"/>
    <n v="93.5"/>
    <n v="0"/>
    <n v="1142.5999999999999"/>
    <n v="5.2911864478203154E-2"/>
    <n v="18984.400000000001"/>
    <m/>
  </r>
  <r>
    <x v="2"/>
    <x v="56"/>
    <x v="5"/>
    <x v="4"/>
    <s v="Adventist BH-Rockville"/>
    <s v="ACS"/>
    <n v="15938.880999999999"/>
    <n v="3212.2939999999999"/>
    <n v="992.8"/>
    <n v="664.49"/>
    <n v="225.2"/>
    <n v="66.224999999999994"/>
    <n v="225.54499999999999"/>
    <n v="77.519000000000005"/>
    <n v="0"/>
    <n v="0"/>
    <n v="4155.4189999999999"/>
    <n v="4.3949999999999996"/>
    <n v="111.42700000000001"/>
    <n v="61.5"/>
    <n v="95.8"/>
    <n v="128.834"/>
    <n v="398.77300000000002"/>
    <n v="443.24200000000002"/>
    <n v="112.88500000000001"/>
    <n v="0"/>
    <n v="527.80742999999995"/>
    <n v="6.8596272311256049E-2"/>
    <n v="27443.03643"/>
    <m/>
  </r>
  <r>
    <x v="2"/>
    <x v="54"/>
    <x v="5"/>
    <x v="4"/>
    <s v="UM-Shock Trauma"/>
    <s v="ACS"/>
    <n v="52031.514629666002"/>
    <n v="12412.664410334"/>
    <n v="11962.6"/>
    <n v="177.3"/>
    <n v="0"/>
    <n v="22870.598170000001"/>
    <n v="5350.8942399999996"/>
    <n v="0"/>
    <n v="0"/>
    <n v="0"/>
    <n v="34601.315275018002"/>
    <n v="12112.212"/>
    <n v="368.08611000000002"/>
    <n v="5960.6"/>
    <n v="127.4"/>
    <n v="33.429609999999997"/>
    <n v="0"/>
    <n v="70.612099999999998"/>
    <n v="204.39895999999999"/>
    <n v="2.6"/>
    <n v="792.64085498199995"/>
    <n v="7.6313719589420875E-2"/>
    <n v="159078.86636000001"/>
    <m/>
  </r>
  <r>
    <x v="2"/>
    <x v="55"/>
    <x v="4"/>
    <x v="5"/>
    <s v="Holy Cross Hospitals"/>
    <m/>
    <m/>
    <m/>
    <n v="35940.259040000004"/>
    <n v="3344.4"/>
    <n v="10921.785229981"/>
    <m/>
    <m/>
    <m/>
    <m/>
    <m/>
    <m/>
    <m/>
    <m/>
    <m/>
    <m/>
    <m/>
    <m/>
    <m/>
    <m/>
    <m/>
    <m/>
    <n v="0.11430514268581017"/>
    <n v="439231.71862864599"/>
    <m/>
  </r>
  <r>
    <x v="3"/>
    <x v="57"/>
    <x v="6"/>
    <x v="5"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U53" firstHeaderRow="1" firstDataRow="3" firstDataCol="1"/>
  <pivotFields count="31">
    <pivotField axis="axisCol" showAll="0">
      <items count="5">
        <item x="2"/>
        <item x="1"/>
        <item x="0"/>
        <item h="1" x="3"/>
        <item t="default"/>
      </items>
    </pivotField>
    <pivotField axis="axisRow" showAl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4"/>
        <item x="55"/>
        <item x="57"/>
        <item t="default"/>
      </items>
    </pivotField>
    <pivotField axis="axisRow" showAll="0">
      <items count="8">
        <item x="4"/>
        <item x="0"/>
        <item x="2"/>
        <item h="1" x="1"/>
        <item h="1" x="5"/>
        <item h="1" x="3"/>
        <item h="1" x="6"/>
        <item t="default"/>
      </items>
    </pivotField>
    <pivotField showAll="0">
      <items count="7">
        <item x="2"/>
        <item x="0"/>
        <item x="3"/>
        <item x="1"/>
        <item x="4"/>
        <item x="5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dataField="1" showAll="0"/>
    <pivotField showAll="0"/>
    <pivotField dataField="1" dragToRow="0" dragToCol="0" dragToPage="0" showAll="0" defaultSubtotal="0"/>
  </pivotFields>
  <rowFields count="2">
    <field x="2"/>
    <field x="1"/>
  </rowFields>
  <rowItems count="48">
    <i>
      <x/>
    </i>
    <i r="1">
      <x v="9"/>
    </i>
    <i r="1">
      <x v="12"/>
    </i>
    <i r="1">
      <x v="17"/>
    </i>
    <i r="1">
      <x v="32"/>
    </i>
    <i r="1">
      <x v="33"/>
    </i>
    <i r="1">
      <x v="39"/>
    </i>
    <i r="1">
      <x v="41"/>
    </i>
    <i r="1">
      <x v="56"/>
    </i>
    <i>
      <x v="1"/>
    </i>
    <i r="1">
      <x/>
    </i>
    <i r="1">
      <x v="4"/>
    </i>
    <i r="1">
      <x v="5"/>
    </i>
    <i r="1">
      <x v="8"/>
    </i>
    <i r="1">
      <x v="13"/>
    </i>
    <i r="1">
      <x v="14"/>
    </i>
    <i r="1">
      <x v="15"/>
    </i>
    <i r="1">
      <x v="16"/>
    </i>
    <i r="1">
      <x v="18"/>
    </i>
    <i r="1">
      <x v="20"/>
    </i>
    <i r="1">
      <x v="21"/>
    </i>
    <i r="1">
      <x v="23"/>
    </i>
    <i r="1">
      <x v="24"/>
    </i>
    <i r="1">
      <x v="25"/>
    </i>
    <i r="1">
      <x v="27"/>
    </i>
    <i r="1">
      <x v="28"/>
    </i>
    <i r="1">
      <x v="30"/>
    </i>
    <i r="1">
      <x v="31"/>
    </i>
    <i r="1">
      <x v="34"/>
    </i>
    <i r="1">
      <x v="35"/>
    </i>
    <i r="1">
      <x v="36"/>
    </i>
    <i r="1">
      <x v="37"/>
    </i>
    <i r="1">
      <x v="38"/>
    </i>
    <i r="1">
      <x v="40"/>
    </i>
    <i r="1">
      <x v="42"/>
    </i>
    <i r="1">
      <x v="43"/>
    </i>
    <i r="1">
      <x v="44"/>
    </i>
    <i r="1">
      <x v="45"/>
    </i>
    <i>
      <x v="2"/>
    </i>
    <i r="1">
      <x v="2"/>
    </i>
    <i r="1">
      <x v="6"/>
    </i>
    <i r="1">
      <x v="10"/>
    </i>
    <i r="1">
      <x v="11"/>
    </i>
    <i r="1">
      <x v="19"/>
    </i>
    <i r="1">
      <x v="22"/>
    </i>
    <i r="1">
      <x v="26"/>
    </i>
    <i r="1">
      <x v="29"/>
    </i>
    <i t="grand">
      <x/>
    </i>
  </rowItems>
  <colFields count="2">
    <field x="-2"/>
    <field x="0"/>
  </colFields>
  <colItems count="20">
    <i>
      <x/>
      <x/>
    </i>
    <i r="1">
      <x v="1"/>
    </i>
    <i r="1">
      <x v="2"/>
    </i>
    <i i="1">
      <x v="1"/>
      <x/>
    </i>
    <i r="1" i="1">
      <x v="1"/>
    </i>
    <i r="1" i="1">
      <x v="2"/>
    </i>
    <i i="2">
      <x v="2"/>
      <x/>
    </i>
    <i r="1" i="2">
      <x v="1"/>
    </i>
    <i r="1" i="2">
      <x v="2"/>
    </i>
    <i i="3">
      <x v="3"/>
      <x/>
    </i>
    <i r="1" i="3">
      <x v="1"/>
    </i>
    <i r="1" i="3">
      <x v="2"/>
    </i>
    <i i="4">
      <x v="4"/>
      <x/>
    </i>
    <i r="1" i="4">
      <x v="1"/>
    </i>
    <i r="1" i="4">
      <x v="2"/>
    </i>
    <i t="grand">
      <x/>
    </i>
    <i t="grand" i="1">
      <x/>
    </i>
    <i t="grand" i="2">
      <x/>
    </i>
    <i t="grand" i="3">
      <x/>
    </i>
    <i t="grand" i="4">
      <x/>
    </i>
  </colItems>
  <dataFields count="5">
    <dataField name="Sum of DEP_AMOR" fld="8" baseField="2" baseItem="0"/>
    <dataField name="Sum of OPERAT_LEASES" fld="9" baseField="2" baseItem="0"/>
    <dataField name="Sum of INTEREST" fld="10" baseField="2" baseItem="0"/>
    <dataField name="Sum of TOT_COST" fld="28" baseField="2" baseItem="0"/>
    <dataField name="Sum of Capital Cost Share" fld="30" baseField="0" baseItem="0"/>
  </dataFields>
  <formats count="19">
    <format dxfId="74">
      <pivotArea outline="0" collapsedLevelsAreSubtotals="1" fieldPosition="0"/>
    </format>
    <format dxfId="73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72">
      <pivotArea outline="0" collapsedLevelsAreSubtotals="1" fieldPosition="0">
        <references count="2">
          <reference field="4294967294" count="1" selected="0">
            <x v="4"/>
          </reference>
          <reference field="0" count="0" selected="0"/>
        </references>
      </pivotArea>
    </format>
    <format dxfId="71">
      <pivotArea field="2" type="button" dataOnly="0" labelOnly="1" outline="0" axis="axisRow" fieldPosition="0"/>
    </format>
    <format dxfId="70">
      <pivotArea field="0" dataOnly="0" labelOnly="1" grandCol="1" outline="0" axis="axisCol" fieldPosition="1">
        <references count="1">
          <reference field="4294967294" count="1" selected="0">
            <x v="0"/>
          </reference>
        </references>
      </pivotArea>
    </format>
    <format dxfId="69">
      <pivotArea field="0" dataOnly="0" labelOnly="1" grandCol="1" outline="0" axis="axisCol" fieldPosition="1">
        <references count="1">
          <reference field="4294967294" count="1" selected="0">
            <x v="1"/>
          </reference>
        </references>
      </pivotArea>
    </format>
    <format dxfId="68">
      <pivotArea field="0" dataOnly="0" labelOnly="1" grandCol="1" outline="0" axis="axisCol" fieldPosition="1">
        <references count="1">
          <reference field="4294967294" count="1" selected="0">
            <x v="2"/>
          </reference>
        </references>
      </pivotArea>
    </format>
    <format dxfId="67">
      <pivotArea field="0" dataOnly="0" labelOnly="1" grandCol="1" outline="0" axis="axisCol" fieldPosition="1">
        <references count="1">
          <reference field="4294967294" count="1" selected="0">
            <x v="3"/>
          </reference>
        </references>
      </pivotArea>
    </format>
    <format dxfId="66">
      <pivotArea field="0" dataOnly="0" labelOnly="1" grandCol="1" outline="0" axis="axisCol" fieldPosition="1">
        <references count="1">
          <reference field="4294967294" count="1" selected="0">
            <x v="4"/>
          </reference>
        </references>
      </pivotArea>
    </format>
    <format dxfId="65">
      <pivotArea dataOnly="0" labelOnly="1" fieldPosition="0">
        <references count="2">
          <reference field="4294967294" count="1" selected="0">
            <x v="0"/>
          </reference>
          <reference field="0" count="0"/>
        </references>
      </pivotArea>
    </format>
    <format dxfId="64">
      <pivotArea dataOnly="0" labelOnly="1" fieldPosition="0">
        <references count="2">
          <reference field="4294967294" count="1" selected="0">
            <x v="1"/>
          </reference>
          <reference field="0" count="0"/>
        </references>
      </pivotArea>
    </format>
    <format dxfId="63">
      <pivotArea dataOnly="0" labelOnly="1" fieldPosition="0">
        <references count="2">
          <reference field="4294967294" count="1" selected="0">
            <x v="2"/>
          </reference>
          <reference field="0" count="0"/>
        </references>
      </pivotArea>
    </format>
    <format dxfId="62">
      <pivotArea dataOnly="0" labelOnly="1" fieldPosition="0">
        <references count="2">
          <reference field="4294967294" count="1" selected="0">
            <x v="3"/>
          </reference>
          <reference field="0" count="0"/>
        </references>
      </pivotArea>
    </format>
    <format dxfId="61">
      <pivotArea dataOnly="0" labelOnly="1" fieldPosition="0">
        <references count="2">
          <reference field="4294967294" count="1" selected="0">
            <x v="4"/>
          </reference>
          <reference field="0" count="0"/>
        </references>
      </pivotArea>
    </format>
    <format dxfId="60">
      <pivotArea field="0" grandCol="1" outline="0" collapsedLevelsAreSubtotals="1" axis="axisCol" fieldPosition="1">
        <references count="1">
          <reference field="4294967294" count="1" selected="0">
            <x v="4"/>
          </reference>
        </references>
      </pivotArea>
    </format>
    <format dxfId="59">
      <pivotArea collapsedLevelsAreSubtotals="1" fieldPosition="0">
        <references count="4">
          <reference field="4294967294" count="1" selected="0">
            <x v="4"/>
          </reference>
          <reference field="0" count="1" selected="0">
            <x v="2"/>
          </reference>
          <reference field="1" count="1">
            <x v="56"/>
          </reference>
          <reference field="2" count="1" selected="0">
            <x v="0"/>
          </reference>
        </references>
      </pivotArea>
    </format>
    <format dxfId="58">
      <pivotArea collapsedLevelsAreSubtotals="1" fieldPosition="0">
        <references count="3">
          <reference field="4294967294" count="1" selected="0">
            <x v="4"/>
          </reference>
          <reference field="0" count="1" selected="0">
            <x v="2"/>
          </reference>
          <reference field="2" count="1">
            <x v="1"/>
          </reference>
        </references>
      </pivotArea>
    </format>
    <format dxfId="57">
      <pivotArea collapsedLevelsAreSubtotals="1" fieldPosition="0">
        <references count="4">
          <reference field="4294967294" count="1" selected="0">
            <x v="4"/>
          </reference>
          <reference field="0" count="1" selected="0">
            <x v="2"/>
          </reference>
          <reference field="1" count="10">
            <x v="0"/>
            <x v="4"/>
            <x v="5"/>
            <x v="8"/>
            <x v="13"/>
            <x v="14"/>
            <x v="15"/>
            <x v="16"/>
            <x v="18"/>
            <x v="20"/>
          </reference>
          <reference field="2" count="1" selected="0">
            <x v="1"/>
          </reference>
        </references>
      </pivotArea>
    </format>
    <format dxfId="56">
      <pivotArea collapsedLevelsAreSubtotals="1" fieldPosition="0">
        <references count="3">
          <reference field="4294967294" count="1" selected="0">
            <x v="4"/>
          </reference>
          <reference field="0" count="1" selected="0">
            <x v="2"/>
          </reference>
          <reference field="2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U13" firstHeaderRow="1" firstDataRow="3" firstDataCol="1"/>
  <pivotFields count="31">
    <pivotField axis="axisCol" showAll="0">
      <items count="5">
        <item x="2"/>
        <item x="1"/>
        <item x="0"/>
        <item h="1" x="3"/>
        <item t="default"/>
      </items>
    </pivotField>
    <pivotField axis="axisRow" showAl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6"/>
        <item x="54"/>
        <item x="55"/>
        <item x="57"/>
        <item t="default"/>
      </items>
    </pivotField>
    <pivotField showAll="0">
      <items count="8">
        <item x="4"/>
        <item x="0"/>
        <item x="2"/>
        <item h="1" x="1"/>
        <item h="1" x="5"/>
        <item h="1" x="3"/>
        <item h="1" x="6"/>
        <item t="default"/>
      </items>
    </pivotField>
    <pivotField axis="axisRow" showAll="0">
      <items count="7">
        <item h="1" x="2"/>
        <item h="1" x="0"/>
        <item h="1" x="3"/>
        <item x="1"/>
        <item h="1" x="4"/>
        <item h="1" x="5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dataField="1" showAll="0"/>
    <pivotField showAll="0"/>
    <pivotField dataField="1" dragToRow="0" dragToCol="0" dragToPage="0" showAll="0" defaultSubtotal="0"/>
  </pivotFields>
  <rowFields count="2">
    <field x="3"/>
    <field x="1"/>
  </rowFields>
  <rowItems count="8">
    <i>
      <x v="3"/>
    </i>
    <i r="1">
      <x v="1"/>
    </i>
    <i r="1">
      <x v="2"/>
    </i>
    <i r="1">
      <x v="7"/>
    </i>
    <i r="1">
      <x v="10"/>
    </i>
    <i r="1">
      <x v="19"/>
    </i>
    <i r="1">
      <x v="22"/>
    </i>
    <i t="grand">
      <x/>
    </i>
  </rowItems>
  <colFields count="2">
    <field x="-2"/>
    <field x="0"/>
  </colFields>
  <colItems count="20">
    <i>
      <x/>
      <x/>
    </i>
    <i r="1">
      <x v="1"/>
    </i>
    <i r="1">
      <x v="2"/>
    </i>
    <i i="1">
      <x v="1"/>
      <x/>
    </i>
    <i r="1" i="1">
      <x v="1"/>
    </i>
    <i r="1" i="1">
      <x v="2"/>
    </i>
    <i i="2">
      <x v="2"/>
      <x/>
    </i>
    <i r="1" i="2">
      <x v="1"/>
    </i>
    <i r="1" i="2">
      <x v="2"/>
    </i>
    <i i="3">
      <x v="3"/>
      <x/>
    </i>
    <i r="1" i="3">
      <x v="1"/>
    </i>
    <i r="1" i="3">
      <x v="2"/>
    </i>
    <i i="4">
      <x v="4"/>
      <x/>
    </i>
    <i r="1" i="4">
      <x v="1"/>
    </i>
    <i r="1" i="4">
      <x v="2"/>
    </i>
    <i t="grand">
      <x/>
    </i>
    <i t="grand" i="1">
      <x/>
    </i>
    <i t="grand" i="2">
      <x/>
    </i>
    <i t="grand" i="3">
      <x/>
    </i>
    <i t="grand" i="4">
      <x/>
    </i>
  </colItems>
  <dataFields count="5">
    <dataField name="Sum of DEP_AMOR" fld="8" baseField="2" baseItem="0"/>
    <dataField name="Sum of OPERAT_LEASES" fld="9" baseField="2" baseItem="0"/>
    <dataField name="Sum of INTEREST" fld="10" baseField="2" baseItem="0"/>
    <dataField name="Sum of TOT_COST" fld="28" baseField="2" baseItem="0"/>
    <dataField name="Sum of Capital Cost Share" fld="30" baseField="0" baseItem="0"/>
  </dataFields>
  <formats count="16">
    <format dxfId="55">
      <pivotArea outline="0" collapsedLevelsAreSubtotals="1" fieldPosition="0"/>
    </format>
    <format dxfId="54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53">
      <pivotArea outline="0" collapsedLevelsAreSubtotals="1" fieldPosition="0">
        <references count="2">
          <reference field="4294967294" count="1" selected="0">
            <x v="4"/>
          </reference>
          <reference field="0" count="0" selected="0"/>
        </references>
      </pivotArea>
    </format>
    <format dxfId="52">
      <pivotArea field="2" type="button" dataOnly="0" labelOnly="1" outline="0"/>
    </format>
    <format dxfId="51">
      <pivotArea field="0" dataOnly="0" labelOnly="1" grandCol="1" outline="0" axis="axisCol" fieldPosition="1">
        <references count="1">
          <reference field="4294967294" count="1" selected="0">
            <x v="0"/>
          </reference>
        </references>
      </pivotArea>
    </format>
    <format dxfId="50">
      <pivotArea field="0" dataOnly="0" labelOnly="1" grandCol="1" outline="0" axis="axisCol" fieldPosition="1">
        <references count="1">
          <reference field="4294967294" count="1" selected="0">
            <x v="1"/>
          </reference>
        </references>
      </pivotArea>
    </format>
    <format dxfId="49">
      <pivotArea field="0" dataOnly="0" labelOnly="1" grandCol="1" outline="0" axis="axisCol" fieldPosition="1">
        <references count="1">
          <reference field="4294967294" count="1" selected="0">
            <x v="2"/>
          </reference>
        </references>
      </pivotArea>
    </format>
    <format dxfId="48">
      <pivotArea field="0" dataOnly="0" labelOnly="1" grandCol="1" outline="0" axis="axisCol" fieldPosition="1">
        <references count="1">
          <reference field="4294967294" count="1" selected="0">
            <x v="3"/>
          </reference>
        </references>
      </pivotArea>
    </format>
    <format dxfId="47">
      <pivotArea field="0" dataOnly="0" labelOnly="1" grandCol="1" outline="0" axis="axisCol" fieldPosition="1">
        <references count="1">
          <reference field="4294967294" count="1" selected="0">
            <x v="4"/>
          </reference>
        </references>
      </pivotArea>
    </format>
    <format dxfId="46">
      <pivotArea dataOnly="0" labelOnly="1" fieldPosition="0">
        <references count="2">
          <reference field="4294967294" count="1" selected="0">
            <x v="0"/>
          </reference>
          <reference field="0" count="0"/>
        </references>
      </pivotArea>
    </format>
    <format dxfId="45">
      <pivotArea dataOnly="0" labelOnly="1" fieldPosition="0">
        <references count="2">
          <reference field="4294967294" count="1" selected="0">
            <x v="1"/>
          </reference>
          <reference field="0" count="0"/>
        </references>
      </pivotArea>
    </format>
    <format dxfId="44">
      <pivotArea dataOnly="0" labelOnly="1" fieldPosition="0">
        <references count="2">
          <reference field="4294967294" count="1" selected="0">
            <x v="2"/>
          </reference>
          <reference field="0" count="0"/>
        </references>
      </pivotArea>
    </format>
    <format dxfId="43">
      <pivotArea dataOnly="0" labelOnly="1" fieldPosition="0">
        <references count="2">
          <reference field="4294967294" count="1" selected="0">
            <x v="3"/>
          </reference>
          <reference field="0" count="0"/>
        </references>
      </pivotArea>
    </format>
    <format dxfId="42">
      <pivotArea dataOnly="0" labelOnly="1" fieldPosition="0">
        <references count="2">
          <reference field="4294967294" count="1" selected="0">
            <x v="4"/>
          </reference>
          <reference field="0" count="0"/>
        </references>
      </pivotArea>
    </format>
    <format dxfId="41">
      <pivotArea field="0" grandCol="1" outline="0" collapsedLevelsAreSubtotals="1" axis="axisCol" fieldPosition="1">
        <references count="1">
          <reference field="4294967294" count="1" selected="0">
            <x v="4"/>
          </reference>
        </references>
      </pivotArea>
    </format>
    <format dxfId="40">
      <pivotArea collapsedLevelsAreSubtotals="1" fieldPosition="0">
        <references count="4">
          <reference field="4294967294" count="1" selected="0">
            <x v="4"/>
          </reference>
          <reference field="0" count="1" selected="0">
            <x v="2"/>
          </reference>
          <reference field="1" count="1">
            <x v="7"/>
          </reference>
          <reference field="3" count="0" selected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3"/>
  <sheetViews>
    <sheetView workbookViewId="0">
      <selection activeCell="E14" sqref="E14"/>
    </sheetView>
  </sheetViews>
  <sheetFormatPr defaultRowHeight="14.4" x14ac:dyDescent="0.55000000000000004"/>
  <cols>
    <col min="1" max="1" width="27.15625" bestFit="1" customWidth="1"/>
    <col min="2" max="2" width="17.578125" style="4" bestFit="1" customWidth="1"/>
    <col min="3" max="3" width="18.15625" style="4" bestFit="1" customWidth="1"/>
    <col min="4" max="4" width="44.68359375" bestFit="1" customWidth="1"/>
    <col min="5" max="5" width="54" bestFit="1" customWidth="1"/>
    <col min="6" max="6" width="19.15625" bestFit="1" customWidth="1"/>
  </cols>
  <sheetData>
    <row r="1" spans="1:6" x14ac:dyDescent="0.55000000000000004">
      <c r="A1" t="s">
        <v>213</v>
      </c>
      <c r="B1" s="12">
        <v>0.05</v>
      </c>
    </row>
    <row r="2" spans="1:6" ht="16.2" x14ac:dyDescent="0.85">
      <c r="B2" s="140" t="s">
        <v>214</v>
      </c>
      <c r="C2" s="140" t="s">
        <v>215</v>
      </c>
      <c r="D2" s="141" t="s">
        <v>216</v>
      </c>
      <c r="E2" s="142" t="s">
        <v>217</v>
      </c>
      <c r="F2" s="143" t="s">
        <v>218</v>
      </c>
    </row>
    <row r="3" spans="1:6" x14ac:dyDescent="0.55000000000000004">
      <c r="A3" t="s">
        <v>219</v>
      </c>
      <c r="B3" s="4">
        <v>335065080.9852137</v>
      </c>
      <c r="C3" s="144">
        <v>0.25</v>
      </c>
      <c r="D3" s="144">
        <v>0</v>
      </c>
      <c r="E3" s="144">
        <f>C3-D3</f>
        <v>0.25</v>
      </c>
      <c r="F3" s="4">
        <f t="shared" ref="F3:F9" si="0">B3*E3</f>
        <v>83766270.246303424</v>
      </c>
    </row>
    <row r="4" spans="1:6" x14ac:dyDescent="0.55000000000000004">
      <c r="B4" s="4">
        <v>300000000</v>
      </c>
      <c r="C4" s="144">
        <v>0.25</v>
      </c>
      <c r="D4" s="144">
        <v>0</v>
      </c>
      <c r="E4" s="144">
        <f>C4-D4</f>
        <v>0.25</v>
      </c>
      <c r="F4" s="4">
        <f t="shared" si="0"/>
        <v>75000000</v>
      </c>
    </row>
    <row r="5" spans="1:6" x14ac:dyDescent="0.55000000000000004">
      <c r="B5" s="4">
        <v>250000000</v>
      </c>
      <c r="C5" s="144">
        <f>C4+$B$1</f>
        <v>0.3</v>
      </c>
      <c r="D5" s="144">
        <v>0</v>
      </c>
      <c r="E5" s="144">
        <f t="shared" ref="E5:E8" si="1">C5-D5</f>
        <v>0.3</v>
      </c>
      <c r="F5" s="4">
        <f t="shared" si="0"/>
        <v>75000000</v>
      </c>
    </row>
    <row r="6" spans="1:6" x14ac:dyDescent="0.55000000000000004">
      <c r="B6" s="4">
        <v>200000000</v>
      </c>
      <c r="C6" s="144">
        <f t="shared" ref="C6:C9" si="2">C5+$B$1</f>
        <v>0.35</v>
      </c>
      <c r="D6" s="144">
        <v>0</v>
      </c>
      <c r="E6" s="144">
        <f t="shared" si="1"/>
        <v>0.35</v>
      </c>
      <c r="F6" s="4">
        <f t="shared" si="0"/>
        <v>70000000</v>
      </c>
    </row>
    <row r="7" spans="1:6" x14ac:dyDescent="0.55000000000000004">
      <c r="B7" s="4">
        <v>150000000</v>
      </c>
      <c r="C7" s="144">
        <f t="shared" si="2"/>
        <v>0.39999999999999997</v>
      </c>
      <c r="D7" s="144">
        <v>0</v>
      </c>
      <c r="E7" s="144">
        <f t="shared" si="1"/>
        <v>0.39999999999999997</v>
      </c>
      <c r="F7" s="4">
        <f t="shared" si="0"/>
        <v>59999999.999999993</v>
      </c>
    </row>
    <row r="8" spans="1:6" x14ac:dyDescent="0.55000000000000004">
      <c r="B8" s="4">
        <v>100000000</v>
      </c>
      <c r="C8" s="144">
        <f t="shared" si="2"/>
        <v>0.44999999999999996</v>
      </c>
      <c r="D8" s="144">
        <v>0</v>
      </c>
      <c r="E8" s="144">
        <f t="shared" si="1"/>
        <v>0.44999999999999996</v>
      </c>
      <c r="F8" s="4">
        <f t="shared" si="0"/>
        <v>44999999.999999993</v>
      </c>
    </row>
    <row r="9" spans="1:6" x14ac:dyDescent="0.55000000000000004">
      <c r="B9" s="4">
        <v>50000000</v>
      </c>
      <c r="C9" s="144">
        <f t="shared" si="2"/>
        <v>0.49999999999999994</v>
      </c>
      <c r="D9" s="144">
        <v>0</v>
      </c>
      <c r="E9" s="144">
        <f>C9-D9</f>
        <v>0.49999999999999994</v>
      </c>
      <c r="F9" s="4">
        <f t="shared" si="0"/>
        <v>24999999.999999996</v>
      </c>
    </row>
    <row r="10" spans="1:6" ht="17.25" customHeight="1" x14ac:dyDescent="0.55000000000000004"/>
    <row r="11" spans="1:6" s="142" customFormat="1" ht="17.25" customHeight="1" x14ac:dyDescent="0.85">
      <c r="B11" s="145" t="s">
        <v>220</v>
      </c>
      <c r="C11" s="140" t="s">
        <v>215</v>
      </c>
      <c r="D11" s="141" t="s">
        <v>216</v>
      </c>
      <c r="E11" s="142" t="s">
        <v>217</v>
      </c>
      <c r="F11" s="143" t="s">
        <v>218</v>
      </c>
    </row>
    <row r="12" spans="1:6" x14ac:dyDescent="0.55000000000000004">
      <c r="A12" t="s">
        <v>221</v>
      </c>
      <c r="B12" s="118">
        <v>275000000</v>
      </c>
      <c r="C12" s="144">
        <f>IF(B12&gt;=B4,C4,IF(AND(B12&gt;=B5,B12&lt;B4),C5,IF(AND(B12&gt;=B6,B12&lt;B5),C6,IF(AND(B12&gt;=B7,B12&lt;B6),C7,IF(AND(B12&gt;=B8,B12&lt;B7),C8,C9)))))</f>
        <v>0.3</v>
      </c>
      <c r="D12" s="146">
        <f>IF(B12&lt;B9,0%,IF(C12=C9,(B12-B9)/B9*B1,IF(C12=C8,(B12-B8)/B9*B1,IF(C12=C7,(B12-B7)/B9*B1,IF(C12=C6,(B12-B6)/B9*B1,IF(C12=C5,(B12-B5)/B9*B1,IF(AND(C12=C4,B12&lt;B4),(B12-B4)/B9*B1,0%)))))))</f>
        <v>2.5000000000000001E-2</v>
      </c>
      <c r="E12" s="10">
        <f>C12-D12</f>
        <v>0.27499999999999997</v>
      </c>
      <c r="F12" s="118">
        <f>B12*E12</f>
        <v>75624999.999999985</v>
      </c>
    </row>
    <row r="13" spans="1:6" x14ac:dyDescent="0.55000000000000004">
      <c r="B13" s="44"/>
      <c r="C13" s="144"/>
      <c r="D13" s="11"/>
      <c r="E13" s="84"/>
      <c r="F13" s="44"/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X77"/>
  <sheetViews>
    <sheetView tabSelected="1" zoomScaleNormal="100" workbookViewId="0">
      <pane xSplit="2" ySplit="7" topLeftCell="C8" activePane="bottomRight" state="frozen"/>
      <selection pane="topRight" activeCell="C1" sqref="C1"/>
      <selection pane="bottomLeft" activeCell="A7" sqref="A7"/>
      <selection pane="bottomRight" activeCell="AT6" sqref="AT6"/>
    </sheetView>
  </sheetViews>
  <sheetFormatPr defaultColWidth="8.68359375" defaultRowHeight="14.4" x14ac:dyDescent="0.55000000000000004"/>
  <cols>
    <col min="1" max="1" width="14.15625" style="18" customWidth="1"/>
    <col min="2" max="2" width="51.68359375" style="14" customWidth="1"/>
    <col min="3" max="3" width="18.83984375" bestFit="1" customWidth="1"/>
    <col min="4" max="5" width="15.41796875" style="20" customWidth="1"/>
    <col min="6" max="6" width="18" style="20" bestFit="1" customWidth="1"/>
    <col min="7" max="8" width="17" style="20" customWidth="1"/>
    <col min="9" max="9" width="22.83984375" bestFit="1" customWidth="1"/>
    <col min="10" max="12" width="22.83984375" customWidth="1"/>
    <col min="13" max="13" width="18.15625" bestFit="1" customWidth="1"/>
    <col min="14" max="15" width="21.83984375" customWidth="1"/>
    <col min="16" max="16" width="17.578125" style="17" customWidth="1"/>
    <col min="17" max="17" width="18.83984375" customWidth="1"/>
    <col min="18" max="18" width="9.41796875" customWidth="1"/>
    <col min="19" max="19" width="8" customWidth="1"/>
    <col min="20" max="20" width="12.15625" customWidth="1"/>
    <col min="21" max="21" width="8.41796875" customWidth="1"/>
    <col min="22" max="22" width="14.68359375" style="20" bestFit="1" customWidth="1"/>
    <col min="23" max="24" width="10.578125" style="20" customWidth="1"/>
    <col min="25" max="25" width="13.41796875" style="8" customWidth="1"/>
    <col min="26" max="26" width="14" bestFit="1" customWidth="1"/>
    <col min="27" max="27" width="19.15625" bestFit="1" customWidth="1"/>
    <col min="28" max="28" width="36.41796875" bestFit="1" customWidth="1"/>
    <col min="29" max="29" width="15.15625" customWidth="1"/>
    <col min="30" max="32" width="15.68359375" customWidth="1"/>
    <col min="33" max="34" width="17" customWidth="1"/>
    <col min="35" max="35" width="14.578125" customWidth="1"/>
    <col min="36" max="36" width="16.41796875" customWidth="1"/>
    <col min="37" max="37" width="15.15625" customWidth="1"/>
    <col min="38" max="38" width="14.26171875" customWidth="1"/>
    <col min="39" max="39" width="13" customWidth="1"/>
    <col min="40" max="40" width="24.41796875" customWidth="1"/>
    <col min="41" max="41" width="16.68359375" customWidth="1"/>
    <col min="42" max="42" width="16.83984375" customWidth="1"/>
    <col min="43" max="44" width="21.26171875" customWidth="1"/>
    <col min="45" max="45" width="33.68359375" customWidth="1"/>
    <col min="46" max="47" width="24.68359375" customWidth="1"/>
    <col min="48" max="48" width="17.41796875" customWidth="1"/>
    <col min="49" max="49" width="13.41796875" style="20" hidden="1" customWidth="1"/>
    <col min="262" max="262" width="14.15625" customWidth="1"/>
    <col min="263" max="263" width="51.68359375" customWidth="1"/>
    <col min="264" max="264" width="9.41796875" customWidth="1"/>
    <col min="265" max="265" width="8" customWidth="1"/>
    <col min="266" max="266" width="12.15625" customWidth="1"/>
    <col min="267" max="267" width="8.41796875" customWidth="1"/>
    <col min="268" max="268" width="4" customWidth="1"/>
    <col min="269" max="269" width="10.578125" customWidth="1"/>
    <col min="270" max="270" width="0" hidden="1" customWidth="1"/>
    <col min="271" max="272" width="10.578125" customWidth="1"/>
    <col min="273" max="273" width="13.41796875" customWidth="1"/>
    <col min="274" max="274" width="3.26171875" customWidth="1"/>
    <col min="275" max="275" width="22.83984375" bestFit="1" customWidth="1"/>
    <col min="276" max="276" width="18.15625" bestFit="1" customWidth="1"/>
    <col min="277" max="277" width="21.83984375" customWidth="1"/>
    <col min="278" max="278" width="17.578125" customWidth="1"/>
    <col min="279" max="279" width="18.83984375" bestFit="1" customWidth="1"/>
    <col min="280" max="280" width="18.83984375" customWidth="1"/>
    <col min="281" max="281" width="14" bestFit="1" customWidth="1"/>
    <col min="282" max="282" width="14.578125" bestFit="1" customWidth="1"/>
    <col min="283" max="283" width="17.68359375" bestFit="1" customWidth="1"/>
    <col min="284" max="284" width="16.83984375" bestFit="1" customWidth="1"/>
    <col min="285" max="285" width="21.578125" bestFit="1" customWidth="1"/>
    <col min="286" max="286" width="10.68359375" customWidth="1"/>
    <col min="287" max="287" width="15.68359375" customWidth="1"/>
    <col min="288" max="288" width="17" customWidth="1"/>
    <col min="289" max="289" width="11.68359375" customWidth="1"/>
    <col min="290" max="290" width="15.15625" customWidth="1"/>
    <col min="291" max="291" width="12.83984375" customWidth="1"/>
    <col min="292" max="292" width="15.15625" customWidth="1"/>
    <col min="293" max="293" width="11.83984375" customWidth="1"/>
    <col min="294" max="296" width="13" customWidth="1"/>
    <col min="298" max="304" width="0" hidden="1" customWidth="1"/>
    <col min="518" max="518" width="14.15625" customWidth="1"/>
    <col min="519" max="519" width="51.68359375" customWidth="1"/>
    <col min="520" max="520" width="9.41796875" customWidth="1"/>
    <col min="521" max="521" width="8" customWidth="1"/>
    <col min="522" max="522" width="12.15625" customWidth="1"/>
    <col min="523" max="523" width="8.41796875" customWidth="1"/>
    <col min="524" max="524" width="4" customWidth="1"/>
    <col min="525" max="525" width="10.578125" customWidth="1"/>
    <col min="526" max="526" width="0" hidden="1" customWidth="1"/>
    <col min="527" max="528" width="10.578125" customWidth="1"/>
    <col min="529" max="529" width="13.41796875" customWidth="1"/>
    <col min="530" max="530" width="3.26171875" customWidth="1"/>
    <col min="531" max="531" width="22.83984375" bestFit="1" customWidth="1"/>
    <col min="532" max="532" width="18.15625" bestFit="1" customWidth="1"/>
    <col min="533" max="533" width="21.83984375" customWidth="1"/>
    <col min="534" max="534" width="17.578125" customWidth="1"/>
    <col min="535" max="535" width="18.83984375" bestFit="1" customWidth="1"/>
    <col min="536" max="536" width="18.83984375" customWidth="1"/>
    <col min="537" max="537" width="14" bestFit="1" customWidth="1"/>
    <col min="538" max="538" width="14.578125" bestFit="1" customWidth="1"/>
    <col min="539" max="539" width="17.68359375" bestFit="1" customWidth="1"/>
    <col min="540" max="540" width="16.83984375" bestFit="1" customWidth="1"/>
    <col min="541" max="541" width="21.578125" bestFit="1" customWidth="1"/>
    <col min="542" max="542" width="10.68359375" customWidth="1"/>
    <col min="543" max="543" width="15.68359375" customWidth="1"/>
    <col min="544" max="544" width="17" customWidth="1"/>
    <col min="545" max="545" width="11.68359375" customWidth="1"/>
    <col min="546" max="546" width="15.15625" customWidth="1"/>
    <col min="547" max="547" width="12.83984375" customWidth="1"/>
    <col min="548" max="548" width="15.15625" customWidth="1"/>
    <col min="549" max="549" width="11.83984375" customWidth="1"/>
    <col min="550" max="552" width="13" customWidth="1"/>
    <col min="554" max="560" width="0" hidden="1" customWidth="1"/>
    <col min="774" max="774" width="14.15625" customWidth="1"/>
    <col min="775" max="775" width="51.68359375" customWidth="1"/>
    <col min="776" max="776" width="9.41796875" customWidth="1"/>
    <col min="777" max="777" width="8" customWidth="1"/>
    <col min="778" max="778" width="12.15625" customWidth="1"/>
    <col min="779" max="779" width="8.41796875" customWidth="1"/>
    <col min="780" max="780" width="4" customWidth="1"/>
    <col min="781" max="781" width="10.578125" customWidth="1"/>
    <col min="782" max="782" width="0" hidden="1" customWidth="1"/>
    <col min="783" max="784" width="10.578125" customWidth="1"/>
    <col min="785" max="785" width="13.41796875" customWidth="1"/>
    <col min="786" max="786" width="3.26171875" customWidth="1"/>
    <col min="787" max="787" width="22.83984375" bestFit="1" customWidth="1"/>
    <col min="788" max="788" width="18.15625" bestFit="1" customWidth="1"/>
    <col min="789" max="789" width="21.83984375" customWidth="1"/>
    <col min="790" max="790" width="17.578125" customWidth="1"/>
    <col min="791" max="791" width="18.83984375" bestFit="1" customWidth="1"/>
    <col min="792" max="792" width="18.83984375" customWidth="1"/>
    <col min="793" max="793" width="14" bestFit="1" customWidth="1"/>
    <col min="794" max="794" width="14.578125" bestFit="1" customWidth="1"/>
    <col min="795" max="795" width="17.68359375" bestFit="1" customWidth="1"/>
    <col min="796" max="796" width="16.83984375" bestFit="1" customWidth="1"/>
    <col min="797" max="797" width="21.578125" bestFit="1" customWidth="1"/>
    <col min="798" max="798" width="10.68359375" customWidth="1"/>
    <col min="799" max="799" width="15.68359375" customWidth="1"/>
    <col min="800" max="800" width="17" customWidth="1"/>
    <col min="801" max="801" width="11.68359375" customWidth="1"/>
    <col min="802" max="802" width="15.15625" customWidth="1"/>
    <col min="803" max="803" width="12.83984375" customWidth="1"/>
    <col min="804" max="804" width="15.15625" customWidth="1"/>
    <col min="805" max="805" width="11.83984375" customWidth="1"/>
    <col min="806" max="808" width="13" customWidth="1"/>
    <col min="810" max="816" width="0" hidden="1" customWidth="1"/>
    <col min="1030" max="1030" width="14.15625" customWidth="1"/>
    <col min="1031" max="1031" width="51.68359375" customWidth="1"/>
    <col min="1032" max="1032" width="9.41796875" customWidth="1"/>
    <col min="1033" max="1033" width="8" customWidth="1"/>
    <col min="1034" max="1034" width="12.15625" customWidth="1"/>
    <col min="1035" max="1035" width="8.41796875" customWidth="1"/>
    <col min="1036" max="1036" width="4" customWidth="1"/>
    <col min="1037" max="1037" width="10.578125" customWidth="1"/>
    <col min="1038" max="1038" width="0" hidden="1" customWidth="1"/>
    <col min="1039" max="1040" width="10.578125" customWidth="1"/>
    <col min="1041" max="1041" width="13.41796875" customWidth="1"/>
    <col min="1042" max="1042" width="3.26171875" customWidth="1"/>
    <col min="1043" max="1043" width="22.83984375" bestFit="1" customWidth="1"/>
    <col min="1044" max="1044" width="18.15625" bestFit="1" customWidth="1"/>
    <col min="1045" max="1045" width="21.83984375" customWidth="1"/>
    <col min="1046" max="1046" width="17.578125" customWidth="1"/>
    <col min="1047" max="1047" width="18.83984375" bestFit="1" customWidth="1"/>
    <col min="1048" max="1048" width="18.83984375" customWidth="1"/>
    <col min="1049" max="1049" width="14" bestFit="1" customWidth="1"/>
    <col min="1050" max="1050" width="14.578125" bestFit="1" customWidth="1"/>
    <col min="1051" max="1051" width="17.68359375" bestFit="1" customWidth="1"/>
    <col min="1052" max="1052" width="16.83984375" bestFit="1" customWidth="1"/>
    <col min="1053" max="1053" width="21.578125" bestFit="1" customWidth="1"/>
    <col min="1054" max="1054" width="10.68359375" customWidth="1"/>
    <col min="1055" max="1055" width="15.68359375" customWidth="1"/>
    <col min="1056" max="1056" width="17" customWidth="1"/>
    <col min="1057" max="1057" width="11.68359375" customWidth="1"/>
    <col min="1058" max="1058" width="15.15625" customWidth="1"/>
    <col min="1059" max="1059" width="12.83984375" customWidth="1"/>
    <col min="1060" max="1060" width="15.15625" customWidth="1"/>
    <col min="1061" max="1061" width="11.83984375" customWidth="1"/>
    <col min="1062" max="1064" width="13" customWidth="1"/>
    <col min="1066" max="1072" width="0" hidden="1" customWidth="1"/>
    <col min="1286" max="1286" width="14.15625" customWidth="1"/>
    <col min="1287" max="1287" width="51.68359375" customWidth="1"/>
    <col min="1288" max="1288" width="9.41796875" customWidth="1"/>
    <col min="1289" max="1289" width="8" customWidth="1"/>
    <col min="1290" max="1290" width="12.15625" customWidth="1"/>
    <col min="1291" max="1291" width="8.41796875" customWidth="1"/>
    <col min="1292" max="1292" width="4" customWidth="1"/>
    <col min="1293" max="1293" width="10.578125" customWidth="1"/>
    <col min="1294" max="1294" width="0" hidden="1" customWidth="1"/>
    <col min="1295" max="1296" width="10.578125" customWidth="1"/>
    <col min="1297" max="1297" width="13.41796875" customWidth="1"/>
    <col min="1298" max="1298" width="3.26171875" customWidth="1"/>
    <col min="1299" max="1299" width="22.83984375" bestFit="1" customWidth="1"/>
    <col min="1300" max="1300" width="18.15625" bestFit="1" customWidth="1"/>
    <col min="1301" max="1301" width="21.83984375" customWidth="1"/>
    <col min="1302" max="1302" width="17.578125" customWidth="1"/>
    <col min="1303" max="1303" width="18.83984375" bestFit="1" customWidth="1"/>
    <col min="1304" max="1304" width="18.83984375" customWidth="1"/>
    <col min="1305" max="1305" width="14" bestFit="1" customWidth="1"/>
    <col min="1306" max="1306" width="14.578125" bestFit="1" customWidth="1"/>
    <col min="1307" max="1307" width="17.68359375" bestFit="1" customWidth="1"/>
    <col min="1308" max="1308" width="16.83984375" bestFit="1" customWidth="1"/>
    <col min="1309" max="1309" width="21.578125" bestFit="1" customWidth="1"/>
    <col min="1310" max="1310" width="10.68359375" customWidth="1"/>
    <col min="1311" max="1311" width="15.68359375" customWidth="1"/>
    <col min="1312" max="1312" width="17" customWidth="1"/>
    <col min="1313" max="1313" width="11.68359375" customWidth="1"/>
    <col min="1314" max="1314" width="15.15625" customWidth="1"/>
    <col min="1315" max="1315" width="12.83984375" customWidth="1"/>
    <col min="1316" max="1316" width="15.15625" customWidth="1"/>
    <col min="1317" max="1317" width="11.83984375" customWidth="1"/>
    <col min="1318" max="1320" width="13" customWidth="1"/>
    <col min="1322" max="1328" width="0" hidden="1" customWidth="1"/>
    <col min="1542" max="1542" width="14.15625" customWidth="1"/>
    <col min="1543" max="1543" width="51.68359375" customWidth="1"/>
    <col min="1544" max="1544" width="9.41796875" customWidth="1"/>
    <col min="1545" max="1545" width="8" customWidth="1"/>
    <col min="1546" max="1546" width="12.15625" customWidth="1"/>
    <col min="1547" max="1547" width="8.41796875" customWidth="1"/>
    <col min="1548" max="1548" width="4" customWidth="1"/>
    <col min="1549" max="1549" width="10.578125" customWidth="1"/>
    <col min="1550" max="1550" width="0" hidden="1" customWidth="1"/>
    <col min="1551" max="1552" width="10.578125" customWidth="1"/>
    <col min="1553" max="1553" width="13.41796875" customWidth="1"/>
    <col min="1554" max="1554" width="3.26171875" customWidth="1"/>
    <col min="1555" max="1555" width="22.83984375" bestFit="1" customWidth="1"/>
    <col min="1556" max="1556" width="18.15625" bestFit="1" customWidth="1"/>
    <col min="1557" max="1557" width="21.83984375" customWidth="1"/>
    <col min="1558" max="1558" width="17.578125" customWidth="1"/>
    <col min="1559" max="1559" width="18.83984375" bestFit="1" customWidth="1"/>
    <col min="1560" max="1560" width="18.83984375" customWidth="1"/>
    <col min="1561" max="1561" width="14" bestFit="1" customWidth="1"/>
    <col min="1562" max="1562" width="14.578125" bestFit="1" customWidth="1"/>
    <col min="1563" max="1563" width="17.68359375" bestFit="1" customWidth="1"/>
    <col min="1564" max="1564" width="16.83984375" bestFit="1" customWidth="1"/>
    <col min="1565" max="1565" width="21.578125" bestFit="1" customWidth="1"/>
    <col min="1566" max="1566" width="10.68359375" customWidth="1"/>
    <col min="1567" max="1567" width="15.68359375" customWidth="1"/>
    <col min="1568" max="1568" width="17" customWidth="1"/>
    <col min="1569" max="1569" width="11.68359375" customWidth="1"/>
    <col min="1570" max="1570" width="15.15625" customWidth="1"/>
    <col min="1571" max="1571" width="12.83984375" customWidth="1"/>
    <col min="1572" max="1572" width="15.15625" customWidth="1"/>
    <col min="1573" max="1573" width="11.83984375" customWidth="1"/>
    <col min="1574" max="1576" width="13" customWidth="1"/>
    <col min="1578" max="1584" width="0" hidden="1" customWidth="1"/>
    <col min="1798" max="1798" width="14.15625" customWidth="1"/>
    <col min="1799" max="1799" width="51.68359375" customWidth="1"/>
    <col min="1800" max="1800" width="9.41796875" customWidth="1"/>
    <col min="1801" max="1801" width="8" customWidth="1"/>
    <col min="1802" max="1802" width="12.15625" customWidth="1"/>
    <col min="1803" max="1803" width="8.41796875" customWidth="1"/>
    <col min="1804" max="1804" width="4" customWidth="1"/>
    <col min="1805" max="1805" width="10.578125" customWidth="1"/>
    <col min="1806" max="1806" width="0" hidden="1" customWidth="1"/>
    <col min="1807" max="1808" width="10.578125" customWidth="1"/>
    <col min="1809" max="1809" width="13.41796875" customWidth="1"/>
    <col min="1810" max="1810" width="3.26171875" customWidth="1"/>
    <col min="1811" max="1811" width="22.83984375" bestFit="1" customWidth="1"/>
    <col min="1812" max="1812" width="18.15625" bestFit="1" customWidth="1"/>
    <col min="1813" max="1813" width="21.83984375" customWidth="1"/>
    <col min="1814" max="1814" width="17.578125" customWidth="1"/>
    <col min="1815" max="1815" width="18.83984375" bestFit="1" customWidth="1"/>
    <col min="1816" max="1816" width="18.83984375" customWidth="1"/>
    <col min="1817" max="1817" width="14" bestFit="1" customWidth="1"/>
    <col min="1818" max="1818" width="14.578125" bestFit="1" customWidth="1"/>
    <col min="1819" max="1819" width="17.68359375" bestFit="1" customWidth="1"/>
    <col min="1820" max="1820" width="16.83984375" bestFit="1" customWidth="1"/>
    <col min="1821" max="1821" width="21.578125" bestFit="1" customWidth="1"/>
    <col min="1822" max="1822" width="10.68359375" customWidth="1"/>
    <col min="1823" max="1823" width="15.68359375" customWidth="1"/>
    <col min="1824" max="1824" width="17" customWidth="1"/>
    <col min="1825" max="1825" width="11.68359375" customWidth="1"/>
    <col min="1826" max="1826" width="15.15625" customWidth="1"/>
    <col min="1827" max="1827" width="12.83984375" customWidth="1"/>
    <col min="1828" max="1828" width="15.15625" customWidth="1"/>
    <col min="1829" max="1829" width="11.83984375" customWidth="1"/>
    <col min="1830" max="1832" width="13" customWidth="1"/>
    <col min="1834" max="1840" width="0" hidden="1" customWidth="1"/>
    <col min="2054" max="2054" width="14.15625" customWidth="1"/>
    <col min="2055" max="2055" width="51.68359375" customWidth="1"/>
    <col min="2056" max="2056" width="9.41796875" customWidth="1"/>
    <col min="2057" max="2057" width="8" customWidth="1"/>
    <col min="2058" max="2058" width="12.15625" customWidth="1"/>
    <col min="2059" max="2059" width="8.41796875" customWidth="1"/>
    <col min="2060" max="2060" width="4" customWidth="1"/>
    <col min="2061" max="2061" width="10.578125" customWidth="1"/>
    <col min="2062" max="2062" width="0" hidden="1" customWidth="1"/>
    <col min="2063" max="2064" width="10.578125" customWidth="1"/>
    <col min="2065" max="2065" width="13.41796875" customWidth="1"/>
    <col min="2066" max="2066" width="3.26171875" customWidth="1"/>
    <col min="2067" max="2067" width="22.83984375" bestFit="1" customWidth="1"/>
    <col min="2068" max="2068" width="18.15625" bestFit="1" customWidth="1"/>
    <col min="2069" max="2069" width="21.83984375" customWidth="1"/>
    <col min="2070" max="2070" width="17.578125" customWidth="1"/>
    <col min="2071" max="2071" width="18.83984375" bestFit="1" customWidth="1"/>
    <col min="2072" max="2072" width="18.83984375" customWidth="1"/>
    <col min="2073" max="2073" width="14" bestFit="1" customWidth="1"/>
    <col min="2074" max="2074" width="14.578125" bestFit="1" customWidth="1"/>
    <col min="2075" max="2075" width="17.68359375" bestFit="1" customWidth="1"/>
    <col min="2076" max="2076" width="16.83984375" bestFit="1" customWidth="1"/>
    <col min="2077" max="2077" width="21.578125" bestFit="1" customWidth="1"/>
    <col min="2078" max="2078" width="10.68359375" customWidth="1"/>
    <col min="2079" max="2079" width="15.68359375" customWidth="1"/>
    <col min="2080" max="2080" width="17" customWidth="1"/>
    <col min="2081" max="2081" width="11.68359375" customWidth="1"/>
    <col min="2082" max="2082" width="15.15625" customWidth="1"/>
    <col min="2083" max="2083" width="12.83984375" customWidth="1"/>
    <col min="2084" max="2084" width="15.15625" customWidth="1"/>
    <col min="2085" max="2085" width="11.83984375" customWidth="1"/>
    <col min="2086" max="2088" width="13" customWidth="1"/>
    <col min="2090" max="2096" width="0" hidden="1" customWidth="1"/>
    <col min="2310" max="2310" width="14.15625" customWidth="1"/>
    <col min="2311" max="2311" width="51.68359375" customWidth="1"/>
    <col min="2312" max="2312" width="9.41796875" customWidth="1"/>
    <col min="2313" max="2313" width="8" customWidth="1"/>
    <col min="2314" max="2314" width="12.15625" customWidth="1"/>
    <col min="2315" max="2315" width="8.41796875" customWidth="1"/>
    <col min="2316" max="2316" width="4" customWidth="1"/>
    <col min="2317" max="2317" width="10.578125" customWidth="1"/>
    <col min="2318" max="2318" width="0" hidden="1" customWidth="1"/>
    <col min="2319" max="2320" width="10.578125" customWidth="1"/>
    <col min="2321" max="2321" width="13.41796875" customWidth="1"/>
    <col min="2322" max="2322" width="3.26171875" customWidth="1"/>
    <col min="2323" max="2323" width="22.83984375" bestFit="1" customWidth="1"/>
    <col min="2324" max="2324" width="18.15625" bestFit="1" customWidth="1"/>
    <col min="2325" max="2325" width="21.83984375" customWidth="1"/>
    <col min="2326" max="2326" width="17.578125" customWidth="1"/>
    <col min="2327" max="2327" width="18.83984375" bestFit="1" customWidth="1"/>
    <col min="2328" max="2328" width="18.83984375" customWidth="1"/>
    <col min="2329" max="2329" width="14" bestFit="1" customWidth="1"/>
    <col min="2330" max="2330" width="14.578125" bestFit="1" customWidth="1"/>
    <col min="2331" max="2331" width="17.68359375" bestFit="1" customWidth="1"/>
    <col min="2332" max="2332" width="16.83984375" bestFit="1" customWidth="1"/>
    <col min="2333" max="2333" width="21.578125" bestFit="1" customWidth="1"/>
    <col min="2334" max="2334" width="10.68359375" customWidth="1"/>
    <col min="2335" max="2335" width="15.68359375" customWidth="1"/>
    <col min="2336" max="2336" width="17" customWidth="1"/>
    <col min="2337" max="2337" width="11.68359375" customWidth="1"/>
    <col min="2338" max="2338" width="15.15625" customWidth="1"/>
    <col min="2339" max="2339" width="12.83984375" customWidth="1"/>
    <col min="2340" max="2340" width="15.15625" customWidth="1"/>
    <col min="2341" max="2341" width="11.83984375" customWidth="1"/>
    <col min="2342" max="2344" width="13" customWidth="1"/>
    <col min="2346" max="2352" width="0" hidden="1" customWidth="1"/>
    <col min="2566" max="2566" width="14.15625" customWidth="1"/>
    <col min="2567" max="2567" width="51.68359375" customWidth="1"/>
    <col min="2568" max="2568" width="9.41796875" customWidth="1"/>
    <col min="2569" max="2569" width="8" customWidth="1"/>
    <col min="2570" max="2570" width="12.15625" customWidth="1"/>
    <col min="2571" max="2571" width="8.41796875" customWidth="1"/>
    <col min="2572" max="2572" width="4" customWidth="1"/>
    <col min="2573" max="2573" width="10.578125" customWidth="1"/>
    <col min="2574" max="2574" width="0" hidden="1" customWidth="1"/>
    <col min="2575" max="2576" width="10.578125" customWidth="1"/>
    <col min="2577" max="2577" width="13.41796875" customWidth="1"/>
    <col min="2578" max="2578" width="3.26171875" customWidth="1"/>
    <col min="2579" max="2579" width="22.83984375" bestFit="1" customWidth="1"/>
    <col min="2580" max="2580" width="18.15625" bestFit="1" customWidth="1"/>
    <col min="2581" max="2581" width="21.83984375" customWidth="1"/>
    <col min="2582" max="2582" width="17.578125" customWidth="1"/>
    <col min="2583" max="2583" width="18.83984375" bestFit="1" customWidth="1"/>
    <col min="2584" max="2584" width="18.83984375" customWidth="1"/>
    <col min="2585" max="2585" width="14" bestFit="1" customWidth="1"/>
    <col min="2586" max="2586" width="14.578125" bestFit="1" customWidth="1"/>
    <col min="2587" max="2587" width="17.68359375" bestFit="1" customWidth="1"/>
    <col min="2588" max="2588" width="16.83984375" bestFit="1" customWidth="1"/>
    <col min="2589" max="2589" width="21.578125" bestFit="1" customWidth="1"/>
    <col min="2590" max="2590" width="10.68359375" customWidth="1"/>
    <col min="2591" max="2591" width="15.68359375" customWidth="1"/>
    <col min="2592" max="2592" width="17" customWidth="1"/>
    <col min="2593" max="2593" width="11.68359375" customWidth="1"/>
    <col min="2594" max="2594" width="15.15625" customWidth="1"/>
    <col min="2595" max="2595" width="12.83984375" customWidth="1"/>
    <col min="2596" max="2596" width="15.15625" customWidth="1"/>
    <col min="2597" max="2597" width="11.83984375" customWidth="1"/>
    <col min="2598" max="2600" width="13" customWidth="1"/>
    <col min="2602" max="2608" width="0" hidden="1" customWidth="1"/>
    <col min="2822" max="2822" width="14.15625" customWidth="1"/>
    <col min="2823" max="2823" width="51.68359375" customWidth="1"/>
    <col min="2824" max="2824" width="9.41796875" customWidth="1"/>
    <col min="2825" max="2825" width="8" customWidth="1"/>
    <col min="2826" max="2826" width="12.15625" customWidth="1"/>
    <col min="2827" max="2827" width="8.41796875" customWidth="1"/>
    <col min="2828" max="2828" width="4" customWidth="1"/>
    <col min="2829" max="2829" width="10.578125" customWidth="1"/>
    <col min="2830" max="2830" width="0" hidden="1" customWidth="1"/>
    <col min="2831" max="2832" width="10.578125" customWidth="1"/>
    <col min="2833" max="2833" width="13.41796875" customWidth="1"/>
    <col min="2834" max="2834" width="3.26171875" customWidth="1"/>
    <col min="2835" max="2835" width="22.83984375" bestFit="1" customWidth="1"/>
    <col min="2836" max="2836" width="18.15625" bestFit="1" customWidth="1"/>
    <col min="2837" max="2837" width="21.83984375" customWidth="1"/>
    <col min="2838" max="2838" width="17.578125" customWidth="1"/>
    <col min="2839" max="2839" width="18.83984375" bestFit="1" customWidth="1"/>
    <col min="2840" max="2840" width="18.83984375" customWidth="1"/>
    <col min="2841" max="2841" width="14" bestFit="1" customWidth="1"/>
    <col min="2842" max="2842" width="14.578125" bestFit="1" customWidth="1"/>
    <col min="2843" max="2843" width="17.68359375" bestFit="1" customWidth="1"/>
    <col min="2844" max="2844" width="16.83984375" bestFit="1" customWidth="1"/>
    <col min="2845" max="2845" width="21.578125" bestFit="1" customWidth="1"/>
    <col min="2846" max="2846" width="10.68359375" customWidth="1"/>
    <col min="2847" max="2847" width="15.68359375" customWidth="1"/>
    <col min="2848" max="2848" width="17" customWidth="1"/>
    <col min="2849" max="2849" width="11.68359375" customWidth="1"/>
    <col min="2850" max="2850" width="15.15625" customWidth="1"/>
    <col min="2851" max="2851" width="12.83984375" customWidth="1"/>
    <col min="2852" max="2852" width="15.15625" customWidth="1"/>
    <col min="2853" max="2853" width="11.83984375" customWidth="1"/>
    <col min="2854" max="2856" width="13" customWidth="1"/>
    <col min="2858" max="2864" width="0" hidden="1" customWidth="1"/>
    <col min="3078" max="3078" width="14.15625" customWidth="1"/>
    <col min="3079" max="3079" width="51.68359375" customWidth="1"/>
    <col min="3080" max="3080" width="9.41796875" customWidth="1"/>
    <col min="3081" max="3081" width="8" customWidth="1"/>
    <col min="3082" max="3082" width="12.15625" customWidth="1"/>
    <col min="3083" max="3083" width="8.41796875" customWidth="1"/>
    <col min="3084" max="3084" width="4" customWidth="1"/>
    <col min="3085" max="3085" width="10.578125" customWidth="1"/>
    <col min="3086" max="3086" width="0" hidden="1" customWidth="1"/>
    <col min="3087" max="3088" width="10.578125" customWidth="1"/>
    <col min="3089" max="3089" width="13.41796875" customWidth="1"/>
    <col min="3090" max="3090" width="3.26171875" customWidth="1"/>
    <col min="3091" max="3091" width="22.83984375" bestFit="1" customWidth="1"/>
    <col min="3092" max="3092" width="18.15625" bestFit="1" customWidth="1"/>
    <col min="3093" max="3093" width="21.83984375" customWidth="1"/>
    <col min="3094" max="3094" width="17.578125" customWidth="1"/>
    <col min="3095" max="3095" width="18.83984375" bestFit="1" customWidth="1"/>
    <col min="3096" max="3096" width="18.83984375" customWidth="1"/>
    <col min="3097" max="3097" width="14" bestFit="1" customWidth="1"/>
    <col min="3098" max="3098" width="14.578125" bestFit="1" customWidth="1"/>
    <col min="3099" max="3099" width="17.68359375" bestFit="1" customWidth="1"/>
    <col min="3100" max="3100" width="16.83984375" bestFit="1" customWidth="1"/>
    <col min="3101" max="3101" width="21.578125" bestFit="1" customWidth="1"/>
    <col min="3102" max="3102" width="10.68359375" customWidth="1"/>
    <col min="3103" max="3103" width="15.68359375" customWidth="1"/>
    <col min="3104" max="3104" width="17" customWidth="1"/>
    <col min="3105" max="3105" width="11.68359375" customWidth="1"/>
    <col min="3106" max="3106" width="15.15625" customWidth="1"/>
    <col min="3107" max="3107" width="12.83984375" customWidth="1"/>
    <col min="3108" max="3108" width="15.15625" customWidth="1"/>
    <col min="3109" max="3109" width="11.83984375" customWidth="1"/>
    <col min="3110" max="3112" width="13" customWidth="1"/>
    <col min="3114" max="3120" width="0" hidden="1" customWidth="1"/>
    <col min="3334" max="3334" width="14.15625" customWidth="1"/>
    <col min="3335" max="3335" width="51.68359375" customWidth="1"/>
    <col min="3336" max="3336" width="9.41796875" customWidth="1"/>
    <col min="3337" max="3337" width="8" customWidth="1"/>
    <col min="3338" max="3338" width="12.15625" customWidth="1"/>
    <col min="3339" max="3339" width="8.41796875" customWidth="1"/>
    <col min="3340" max="3340" width="4" customWidth="1"/>
    <col min="3341" max="3341" width="10.578125" customWidth="1"/>
    <col min="3342" max="3342" width="0" hidden="1" customWidth="1"/>
    <col min="3343" max="3344" width="10.578125" customWidth="1"/>
    <col min="3345" max="3345" width="13.41796875" customWidth="1"/>
    <col min="3346" max="3346" width="3.26171875" customWidth="1"/>
    <col min="3347" max="3347" width="22.83984375" bestFit="1" customWidth="1"/>
    <col min="3348" max="3348" width="18.15625" bestFit="1" customWidth="1"/>
    <col min="3349" max="3349" width="21.83984375" customWidth="1"/>
    <col min="3350" max="3350" width="17.578125" customWidth="1"/>
    <col min="3351" max="3351" width="18.83984375" bestFit="1" customWidth="1"/>
    <col min="3352" max="3352" width="18.83984375" customWidth="1"/>
    <col min="3353" max="3353" width="14" bestFit="1" customWidth="1"/>
    <col min="3354" max="3354" width="14.578125" bestFit="1" customWidth="1"/>
    <col min="3355" max="3355" width="17.68359375" bestFit="1" customWidth="1"/>
    <col min="3356" max="3356" width="16.83984375" bestFit="1" customWidth="1"/>
    <col min="3357" max="3357" width="21.578125" bestFit="1" customWidth="1"/>
    <col min="3358" max="3358" width="10.68359375" customWidth="1"/>
    <col min="3359" max="3359" width="15.68359375" customWidth="1"/>
    <col min="3360" max="3360" width="17" customWidth="1"/>
    <col min="3361" max="3361" width="11.68359375" customWidth="1"/>
    <col min="3362" max="3362" width="15.15625" customWidth="1"/>
    <col min="3363" max="3363" width="12.83984375" customWidth="1"/>
    <col min="3364" max="3364" width="15.15625" customWidth="1"/>
    <col min="3365" max="3365" width="11.83984375" customWidth="1"/>
    <col min="3366" max="3368" width="13" customWidth="1"/>
    <col min="3370" max="3376" width="0" hidden="1" customWidth="1"/>
    <col min="3590" max="3590" width="14.15625" customWidth="1"/>
    <col min="3591" max="3591" width="51.68359375" customWidth="1"/>
    <col min="3592" max="3592" width="9.41796875" customWidth="1"/>
    <col min="3593" max="3593" width="8" customWidth="1"/>
    <col min="3594" max="3594" width="12.15625" customWidth="1"/>
    <col min="3595" max="3595" width="8.41796875" customWidth="1"/>
    <col min="3596" max="3596" width="4" customWidth="1"/>
    <col min="3597" max="3597" width="10.578125" customWidth="1"/>
    <col min="3598" max="3598" width="0" hidden="1" customWidth="1"/>
    <col min="3599" max="3600" width="10.578125" customWidth="1"/>
    <col min="3601" max="3601" width="13.41796875" customWidth="1"/>
    <col min="3602" max="3602" width="3.26171875" customWidth="1"/>
    <col min="3603" max="3603" width="22.83984375" bestFit="1" customWidth="1"/>
    <col min="3604" max="3604" width="18.15625" bestFit="1" customWidth="1"/>
    <col min="3605" max="3605" width="21.83984375" customWidth="1"/>
    <col min="3606" max="3606" width="17.578125" customWidth="1"/>
    <col min="3607" max="3607" width="18.83984375" bestFit="1" customWidth="1"/>
    <col min="3608" max="3608" width="18.83984375" customWidth="1"/>
    <col min="3609" max="3609" width="14" bestFit="1" customWidth="1"/>
    <col min="3610" max="3610" width="14.578125" bestFit="1" customWidth="1"/>
    <col min="3611" max="3611" width="17.68359375" bestFit="1" customWidth="1"/>
    <col min="3612" max="3612" width="16.83984375" bestFit="1" customWidth="1"/>
    <col min="3613" max="3613" width="21.578125" bestFit="1" customWidth="1"/>
    <col min="3614" max="3614" width="10.68359375" customWidth="1"/>
    <col min="3615" max="3615" width="15.68359375" customWidth="1"/>
    <col min="3616" max="3616" width="17" customWidth="1"/>
    <col min="3617" max="3617" width="11.68359375" customWidth="1"/>
    <col min="3618" max="3618" width="15.15625" customWidth="1"/>
    <col min="3619" max="3619" width="12.83984375" customWidth="1"/>
    <col min="3620" max="3620" width="15.15625" customWidth="1"/>
    <col min="3621" max="3621" width="11.83984375" customWidth="1"/>
    <col min="3622" max="3624" width="13" customWidth="1"/>
    <col min="3626" max="3632" width="0" hidden="1" customWidth="1"/>
    <col min="3846" max="3846" width="14.15625" customWidth="1"/>
    <col min="3847" max="3847" width="51.68359375" customWidth="1"/>
    <col min="3848" max="3848" width="9.41796875" customWidth="1"/>
    <col min="3849" max="3849" width="8" customWidth="1"/>
    <col min="3850" max="3850" width="12.15625" customWidth="1"/>
    <col min="3851" max="3851" width="8.41796875" customWidth="1"/>
    <col min="3852" max="3852" width="4" customWidth="1"/>
    <col min="3853" max="3853" width="10.578125" customWidth="1"/>
    <col min="3854" max="3854" width="0" hidden="1" customWidth="1"/>
    <col min="3855" max="3856" width="10.578125" customWidth="1"/>
    <col min="3857" max="3857" width="13.41796875" customWidth="1"/>
    <col min="3858" max="3858" width="3.26171875" customWidth="1"/>
    <col min="3859" max="3859" width="22.83984375" bestFit="1" customWidth="1"/>
    <col min="3860" max="3860" width="18.15625" bestFit="1" customWidth="1"/>
    <col min="3861" max="3861" width="21.83984375" customWidth="1"/>
    <col min="3862" max="3862" width="17.578125" customWidth="1"/>
    <col min="3863" max="3863" width="18.83984375" bestFit="1" customWidth="1"/>
    <col min="3864" max="3864" width="18.83984375" customWidth="1"/>
    <col min="3865" max="3865" width="14" bestFit="1" customWidth="1"/>
    <col min="3866" max="3866" width="14.578125" bestFit="1" customWidth="1"/>
    <col min="3867" max="3867" width="17.68359375" bestFit="1" customWidth="1"/>
    <col min="3868" max="3868" width="16.83984375" bestFit="1" customWidth="1"/>
    <col min="3869" max="3869" width="21.578125" bestFit="1" customWidth="1"/>
    <col min="3870" max="3870" width="10.68359375" customWidth="1"/>
    <col min="3871" max="3871" width="15.68359375" customWidth="1"/>
    <col min="3872" max="3872" width="17" customWidth="1"/>
    <col min="3873" max="3873" width="11.68359375" customWidth="1"/>
    <col min="3874" max="3874" width="15.15625" customWidth="1"/>
    <col min="3875" max="3875" width="12.83984375" customWidth="1"/>
    <col min="3876" max="3876" width="15.15625" customWidth="1"/>
    <col min="3877" max="3877" width="11.83984375" customWidth="1"/>
    <col min="3878" max="3880" width="13" customWidth="1"/>
    <col min="3882" max="3888" width="0" hidden="1" customWidth="1"/>
    <col min="4102" max="4102" width="14.15625" customWidth="1"/>
    <col min="4103" max="4103" width="51.68359375" customWidth="1"/>
    <col min="4104" max="4104" width="9.41796875" customWidth="1"/>
    <col min="4105" max="4105" width="8" customWidth="1"/>
    <col min="4106" max="4106" width="12.15625" customWidth="1"/>
    <col min="4107" max="4107" width="8.41796875" customWidth="1"/>
    <col min="4108" max="4108" width="4" customWidth="1"/>
    <col min="4109" max="4109" width="10.578125" customWidth="1"/>
    <col min="4110" max="4110" width="0" hidden="1" customWidth="1"/>
    <col min="4111" max="4112" width="10.578125" customWidth="1"/>
    <col min="4113" max="4113" width="13.41796875" customWidth="1"/>
    <col min="4114" max="4114" width="3.26171875" customWidth="1"/>
    <col min="4115" max="4115" width="22.83984375" bestFit="1" customWidth="1"/>
    <col min="4116" max="4116" width="18.15625" bestFit="1" customWidth="1"/>
    <col min="4117" max="4117" width="21.83984375" customWidth="1"/>
    <col min="4118" max="4118" width="17.578125" customWidth="1"/>
    <col min="4119" max="4119" width="18.83984375" bestFit="1" customWidth="1"/>
    <col min="4120" max="4120" width="18.83984375" customWidth="1"/>
    <col min="4121" max="4121" width="14" bestFit="1" customWidth="1"/>
    <col min="4122" max="4122" width="14.578125" bestFit="1" customWidth="1"/>
    <col min="4123" max="4123" width="17.68359375" bestFit="1" customWidth="1"/>
    <col min="4124" max="4124" width="16.83984375" bestFit="1" customWidth="1"/>
    <col min="4125" max="4125" width="21.578125" bestFit="1" customWidth="1"/>
    <col min="4126" max="4126" width="10.68359375" customWidth="1"/>
    <col min="4127" max="4127" width="15.68359375" customWidth="1"/>
    <col min="4128" max="4128" width="17" customWidth="1"/>
    <col min="4129" max="4129" width="11.68359375" customWidth="1"/>
    <col min="4130" max="4130" width="15.15625" customWidth="1"/>
    <col min="4131" max="4131" width="12.83984375" customWidth="1"/>
    <col min="4132" max="4132" width="15.15625" customWidth="1"/>
    <col min="4133" max="4133" width="11.83984375" customWidth="1"/>
    <col min="4134" max="4136" width="13" customWidth="1"/>
    <col min="4138" max="4144" width="0" hidden="1" customWidth="1"/>
    <col min="4358" max="4358" width="14.15625" customWidth="1"/>
    <col min="4359" max="4359" width="51.68359375" customWidth="1"/>
    <col min="4360" max="4360" width="9.41796875" customWidth="1"/>
    <col min="4361" max="4361" width="8" customWidth="1"/>
    <col min="4362" max="4362" width="12.15625" customWidth="1"/>
    <col min="4363" max="4363" width="8.41796875" customWidth="1"/>
    <col min="4364" max="4364" width="4" customWidth="1"/>
    <col min="4365" max="4365" width="10.578125" customWidth="1"/>
    <col min="4366" max="4366" width="0" hidden="1" customWidth="1"/>
    <col min="4367" max="4368" width="10.578125" customWidth="1"/>
    <col min="4369" max="4369" width="13.41796875" customWidth="1"/>
    <col min="4370" max="4370" width="3.26171875" customWidth="1"/>
    <col min="4371" max="4371" width="22.83984375" bestFit="1" customWidth="1"/>
    <col min="4372" max="4372" width="18.15625" bestFit="1" customWidth="1"/>
    <col min="4373" max="4373" width="21.83984375" customWidth="1"/>
    <col min="4374" max="4374" width="17.578125" customWidth="1"/>
    <col min="4375" max="4375" width="18.83984375" bestFit="1" customWidth="1"/>
    <col min="4376" max="4376" width="18.83984375" customWidth="1"/>
    <col min="4377" max="4377" width="14" bestFit="1" customWidth="1"/>
    <col min="4378" max="4378" width="14.578125" bestFit="1" customWidth="1"/>
    <col min="4379" max="4379" width="17.68359375" bestFit="1" customWidth="1"/>
    <col min="4380" max="4380" width="16.83984375" bestFit="1" customWidth="1"/>
    <col min="4381" max="4381" width="21.578125" bestFit="1" customWidth="1"/>
    <col min="4382" max="4382" width="10.68359375" customWidth="1"/>
    <col min="4383" max="4383" width="15.68359375" customWidth="1"/>
    <col min="4384" max="4384" width="17" customWidth="1"/>
    <col min="4385" max="4385" width="11.68359375" customWidth="1"/>
    <col min="4386" max="4386" width="15.15625" customWidth="1"/>
    <col min="4387" max="4387" width="12.83984375" customWidth="1"/>
    <col min="4388" max="4388" width="15.15625" customWidth="1"/>
    <col min="4389" max="4389" width="11.83984375" customWidth="1"/>
    <col min="4390" max="4392" width="13" customWidth="1"/>
    <col min="4394" max="4400" width="0" hidden="1" customWidth="1"/>
    <col min="4614" max="4614" width="14.15625" customWidth="1"/>
    <col min="4615" max="4615" width="51.68359375" customWidth="1"/>
    <col min="4616" max="4616" width="9.41796875" customWidth="1"/>
    <col min="4617" max="4617" width="8" customWidth="1"/>
    <col min="4618" max="4618" width="12.15625" customWidth="1"/>
    <col min="4619" max="4619" width="8.41796875" customWidth="1"/>
    <col min="4620" max="4620" width="4" customWidth="1"/>
    <col min="4621" max="4621" width="10.578125" customWidth="1"/>
    <col min="4622" max="4622" width="0" hidden="1" customWidth="1"/>
    <col min="4623" max="4624" width="10.578125" customWidth="1"/>
    <col min="4625" max="4625" width="13.41796875" customWidth="1"/>
    <col min="4626" max="4626" width="3.26171875" customWidth="1"/>
    <col min="4627" max="4627" width="22.83984375" bestFit="1" customWidth="1"/>
    <col min="4628" max="4628" width="18.15625" bestFit="1" customWidth="1"/>
    <col min="4629" max="4629" width="21.83984375" customWidth="1"/>
    <col min="4630" max="4630" width="17.578125" customWidth="1"/>
    <col min="4631" max="4631" width="18.83984375" bestFit="1" customWidth="1"/>
    <col min="4632" max="4632" width="18.83984375" customWidth="1"/>
    <col min="4633" max="4633" width="14" bestFit="1" customWidth="1"/>
    <col min="4634" max="4634" width="14.578125" bestFit="1" customWidth="1"/>
    <col min="4635" max="4635" width="17.68359375" bestFit="1" customWidth="1"/>
    <col min="4636" max="4636" width="16.83984375" bestFit="1" customWidth="1"/>
    <col min="4637" max="4637" width="21.578125" bestFit="1" customWidth="1"/>
    <col min="4638" max="4638" width="10.68359375" customWidth="1"/>
    <col min="4639" max="4639" width="15.68359375" customWidth="1"/>
    <col min="4640" max="4640" width="17" customWidth="1"/>
    <col min="4641" max="4641" width="11.68359375" customWidth="1"/>
    <col min="4642" max="4642" width="15.15625" customWidth="1"/>
    <col min="4643" max="4643" width="12.83984375" customWidth="1"/>
    <col min="4644" max="4644" width="15.15625" customWidth="1"/>
    <col min="4645" max="4645" width="11.83984375" customWidth="1"/>
    <col min="4646" max="4648" width="13" customWidth="1"/>
    <col min="4650" max="4656" width="0" hidden="1" customWidth="1"/>
    <col min="4870" max="4870" width="14.15625" customWidth="1"/>
    <col min="4871" max="4871" width="51.68359375" customWidth="1"/>
    <col min="4872" max="4872" width="9.41796875" customWidth="1"/>
    <col min="4873" max="4873" width="8" customWidth="1"/>
    <col min="4874" max="4874" width="12.15625" customWidth="1"/>
    <col min="4875" max="4875" width="8.41796875" customWidth="1"/>
    <col min="4876" max="4876" width="4" customWidth="1"/>
    <col min="4877" max="4877" width="10.578125" customWidth="1"/>
    <col min="4878" max="4878" width="0" hidden="1" customWidth="1"/>
    <col min="4879" max="4880" width="10.578125" customWidth="1"/>
    <col min="4881" max="4881" width="13.41796875" customWidth="1"/>
    <col min="4882" max="4882" width="3.26171875" customWidth="1"/>
    <col min="4883" max="4883" width="22.83984375" bestFit="1" customWidth="1"/>
    <col min="4884" max="4884" width="18.15625" bestFit="1" customWidth="1"/>
    <col min="4885" max="4885" width="21.83984375" customWidth="1"/>
    <col min="4886" max="4886" width="17.578125" customWidth="1"/>
    <col min="4887" max="4887" width="18.83984375" bestFit="1" customWidth="1"/>
    <col min="4888" max="4888" width="18.83984375" customWidth="1"/>
    <col min="4889" max="4889" width="14" bestFit="1" customWidth="1"/>
    <col min="4890" max="4890" width="14.578125" bestFit="1" customWidth="1"/>
    <col min="4891" max="4891" width="17.68359375" bestFit="1" customWidth="1"/>
    <col min="4892" max="4892" width="16.83984375" bestFit="1" customWidth="1"/>
    <col min="4893" max="4893" width="21.578125" bestFit="1" customWidth="1"/>
    <col min="4894" max="4894" width="10.68359375" customWidth="1"/>
    <col min="4895" max="4895" width="15.68359375" customWidth="1"/>
    <col min="4896" max="4896" width="17" customWidth="1"/>
    <col min="4897" max="4897" width="11.68359375" customWidth="1"/>
    <col min="4898" max="4898" width="15.15625" customWidth="1"/>
    <col min="4899" max="4899" width="12.83984375" customWidth="1"/>
    <col min="4900" max="4900" width="15.15625" customWidth="1"/>
    <col min="4901" max="4901" width="11.83984375" customWidth="1"/>
    <col min="4902" max="4904" width="13" customWidth="1"/>
    <col min="4906" max="4912" width="0" hidden="1" customWidth="1"/>
    <col min="5126" max="5126" width="14.15625" customWidth="1"/>
    <col min="5127" max="5127" width="51.68359375" customWidth="1"/>
    <col min="5128" max="5128" width="9.41796875" customWidth="1"/>
    <col min="5129" max="5129" width="8" customWidth="1"/>
    <col min="5130" max="5130" width="12.15625" customWidth="1"/>
    <col min="5131" max="5131" width="8.41796875" customWidth="1"/>
    <col min="5132" max="5132" width="4" customWidth="1"/>
    <col min="5133" max="5133" width="10.578125" customWidth="1"/>
    <col min="5134" max="5134" width="0" hidden="1" customWidth="1"/>
    <col min="5135" max="5136" width="10.578125" customWidth="1"/>
    <col min="5137" max="5137" width="13.41796875" customWidth="1"/>
    <col min="5138" max="5138" width="3.26171875" customWidth="1"/>
    <col min="5139" max="5139" width="22.83984375" bestFit="1" customWidth="1"/>
    <col min="5140" max="5140" width="18.15625" bestFit="1" customWidth="1"/>
    <col min="5141" max="5141" width="21.83984375" customWidth="1"/>
    <col min="5142" max="5142" width="17.578125" customWidth="1"/>
    <col min="5143" max="5143" width="18.83984375" bestFit="1" customWidth="1"/>
    <col min="5144" max="5144" width="18.83984375" customWidth="1"/>
    <col min="5145" max="5145" width="14" bestFit="1" customWidth="1"/>
    <col min="5146" max="5146" width="14.578125" bestFit="1" customWidth="1"/>
    <col min="5147" max="5147" width="17.68359375" bestFit="1" customWidth="1"/>
    <col min="5148" max="5148" width="16.83984375" bestFit="1" customWidth="1"/>
    <col min="5149" max="5149" width="21.578125" bestFit="1" customWidth="1"/>
    <col min="5150" max="5150" width="10.68359375" customWidth="1"/>
    <col min="5151" max="5151" width="15.68359375" customWidth="1"/>
    <col min="5152" max="5152" width="17" customWidth="1"/>
    <col min="5153" max="5153" width="11.68359375" customWidth="1"/>
    <col min="5154" max="5154" width="15.15625" customWidth="1"/>
    <col min="5155" max="5155" width="12.83984375" customWidth="1"/>
    <col min="5156" max="5156" width="15.15625" customWidth="1"/>
    <col min="5157" max="5157" width="11.83984375" customWidth="1"/>
    <col min="5158" max="5160" width="13" customWidth="1"/>
    <col min="5162" max="5168" width="0" hidden="1" customWidth="1"/>
    <col min="5382" max="5382" width="14.15625" customWidth="1"/>
    <col min="5383" max="5383" width="51.68359375" customWidth="1"/>
    <col min="5384" max="5384" width="9.41796875" customWidth="1"/>
    <col min="5385" max="5385" width="8" customWidth="1"/>
    <col min="5386" max="5386" width="12.15625" customWidth="1"/>
    <col min="5387" max="5387" width="8.41796875" customWidth="1"/>
    <col min="5388" max="5388" width="4" customWidth="1"/>
    <col min="5389" max="5389" width="10.578125" customWidth="1"/>
    <col min="5390" max="5390" width="0" hidden="1" customWidth="1"/>
    <col min="5391" max="5392" width="10.578125" customWidth="1"/>
    <col min="5393" max="5393" width="13.41796875" customWidth="1"/>
    <col min="5394" max="5394" width="3.26171875" customWidth="1"/>
    <col min="5395" max="5395" width="22.83984375" bestFit="1" customWidth="1"/>
    <col min="5396" max="5396" width="18.15625" bestFit="1" customWidth="1"/>
    <col min="5397" max="5397" width="21.83984375" customWidth="1"/>
    <col min="5398" max="5398" width="17.578125" customWidth="1"/>
    <col min="5399" max="5399" width="18.83984375" bestFit="1" customWidth="1"/>
    <col min="5400" max="5400" width="18.83984375" customWidth="1"/>
    <col min="5401" max="5401" width="14" bestFit="1" customWidth="1"/>
    <col min="5402" max="5402" width="14.578125" bestFit="1" customWidth="1"/>
    <col min="5403" max="5403" width="17.68359375" bestFit="1" customWidth="1"/>
    <col min="5404" max="5404" width="16.83984375" bestFit="1" customWidth="1"/>
    <col min="5405" max="5405" width="21.578125" bestFit="1" customWidth="1"/>
    <col min="5406" max="5406" width="10.68359375" customWidth="1"/>
    <col min="5407" max="5407" width="15.68359375" customWidth="1"/>
    <col min="5408" max="5408" width="17" customWidth="1"/>
    <col min="5409" max="5409" width="11.68359375" customWidth="1"/>
    <col min="5410" max="5410" width="15.15625" customWidth="1"/>
    <col min="5411" max="5411" width="12.83984375" customWidth="1"/>
    <col min="5412" max="5412" width="15.15625" customWidth="1"/>
    <col min="5413" max="5413" width="11.83984375" customWidth="1"/>
    <col min="5414" max="5416" width="13" customWidth="1"/>
    <col min="5418" max="5424" width="0" hidden="1" customWidth="1"/>
    <col min="5638" max="5638" width="14.15625" customWidth="1"/>
    <col min="5639" max="5639" width="51.68359375" customWidth="1"/>
    <col min="5640" max="5640" width="9.41796875" customWidth="1"/>
    <col min="5641" max="5641" width="8" customWidth="1"/>
    <col min="5642" max="5642" width="12.15625" customWidth="1"/>
    <col min="5643" max="5643" width="8.41796875" customWidth="1"/>
    <col min="5644" max="5644" width="4" customWidth="1"/>
    <col min="5645" max="5645" width="10.578125" customWidth="1"/>
    <col min="5646" max="5646" width="0" hidden="1" customWidth="1"/>
    <col min="5647" max="5648" width="10.578125" customWidth="1"/>
    <col min="5649" max="5649" width="13.41796875" customWidth="1"/>
    <col min="5650" max="5650" width="3.26171875" customWidth="1"/>
    <col min="5651" max="5651" width="22.83984375" bestFit="1" customWidth="1"/>
    <col min="5652" max="5652" width="18.15625" bestFit="1" customWidth="1"/>
    <col min="5653" max="5653" width="21.83984375" customWidth="1"/>
    <col min="5654" max="5654" width="17.578125" customWidth="1"/>
    <col min="5655" max="5655" width="18.83984375" bestFit="1" customWidth="1"/>
    <col min="5656" max="5656" width="18.83984375" customWidth="1"/>
    <col min="5657" max="5657" width="14" bestFit="1" customWidth="1"/>
    <col min="5658" max="5658" width="14.578125" bestFit="1" customWidth="1"/>
    <col min="5659" max="5659" width="17.68359375" bestFit="1" customWidth="1"/>
    <col min="5660" max="5660" width="16.83984375" bestFit="1" customWidth="1"/>
    <col min="5661" max="5661" width="21.578125" bestFit="1" customWidth="1"/>
    <col min="5662" max="5662" width="10.68359375" customWidth="1"/>
    <col min="5663" max="5663" width="15.68359375" customWidth="1"/>
    <col min="5664" max="5664" width="17" customWidth="1"/>
    <col min="5665" max="5665" width="11.68359375" customWidth="1"/>
    <col min="5666" max="5666" width="15.15625" customWidth="1"/>
    <col min="5667" max="5667" width="12.83984375" customWidth="1"/>
    <col min="5668" max="5668" width="15.15625" customWidth="1"/>
    <col min="5669" max="5669" width="11.83984375" customWidth="1"/>
    <col min="5670" max="5672" width="13" customWidth="1"/>
    <col min="5674" max="5680" width="0" hidden="1" customWidth="1"/>
    <col min="5894" max="5894" width="14.15625" customWidth="1"/>
    <col min="5895" max="5895" width="51.68359375" customWidth="1"/>
    <col min="5896" max="5896" width="9.41796875" customWidth="1"/>
    <col min="5897" max="5897" width="8" customWidth="1"/>
    <col min="5898" max="5898" width="12.15625" customWidth="1"/>
    <col min="5899" max="5899" width="8.41796875" customWidth="1"/>
    <col min="5900" max="5900" width="4" customWidth="1"/>
    <col min="5901" max="5901" width="10.578125" customWidth="1"/>
    <col min="5902" max="5902" width="0" hidden="1" customWidth="1"/>
    <col min="5903" max="5904" width="10.578125" customWidth="1"/>
    <col min="5905" max="5905" width="13.41796875" customWidth="1"/>
    <col min="5906" max="5906" width="3.26171875" customWidth="1"/>
    <col min="5907" max="5907" width="22.83984375" bestFit="1" customWidth="1"/>
    <col min="5908" max="5908" width="18.15625" bestFit="1" customWidth="1"/>
    <col min="5909" max="5909" width="21.83984375" customWidth="1"/>
    <col min="5910" max="5910" width="17.578125" customWidth="1"/>
    <col min="5911" max="5911" width="18.83984375" bestFit="1" customWidth="1"/>
    <col min="5912" max="5912" width="18.83984375" customWidth="1"/>
    <col min="5913" max="5913" width="14" bestFit="1" customWidth="1"/>
    <col min="5914" max="5914" width="14.578125" bestFit="1" customWidth="1"/>
    <col min="5915" max="5915" width="17.68359375" bestFit="1" customWidth="1"/>
    <col min="5916" max="5916" width="16.83984375" bestFit="1" customWidth="1"/>
    <col min="5917" max="5917" width="21.578125" bestFit="1" customWidth="1"/>
    <col min="5918" max="5918" width="10.68359375" customWidth="1"/>
    <col min="5919" max="5919" width="15.68359375" customWidth="1"/>
    <col min="5920" max="5920" width="17" customWidth="1"/>
    <col min="5921" max="5921" width="11.68359375" customWidth="1"/>
    <col min="5922" max="5922" width="15.15625" customWidth="1"/>
    <col min="5923" max="5923" width="12.83984375" customWidth="1"/>
    <col min="5924" max="5924" width="15.15625" customWidth="1"/>
    <col min="5925" max="5925" width="11.83984375" customWidth="1"/>
    <col min="5926" max="5928" width="13" customWidth="1"/>
    <col min="5930" max="5936" width="0" hidden="1" customWidth="1"/>
    <col min="6150" max="6150" width="14.15625" customWidth="1"/>
    <col min="6151" max="6151" width="51.68359375" customWidth="1"/>
    <col min="6152" max="6152" width="9.41796875" customWidth="1"/>
    <col min="6153" max="6153" width="8" customWidth="1"/>
    <col min="6154" max="6154" width="12.15625" customWidth="1"/>
    <col min="6155" max="6155" width="8.41796875" customWidth="1"/>
    <col min="6156" max="6156" width="4" customWidth="1"/>
    <col min="6157" max="6157" width="10.578125" customWidth="1"/>
    <col min="6158" max="6158" width="0" hidden="1" customWidth="1"/>
    <col min="6159" max="6160" width="10.578125" customWidth="1"/>
    <col min="6161" max="6161" width="13.41796875" customWidth="1"/>
    <col min="6162" max="6162" width="3.26171875" customWidth="1"/>
    <col min="6163" max="6163" width="22.83984375" bestFit="1" customWidth="1"/>
    <col min="6164" max="6164" width="18.15625" bestFit="1" customWidth="1"/>
    <col min="6165" max="6165" width="21.83984375" customWidth="1"/>
    <col min="6166" max="6166" width="17.578125" customWidth="1"/>
    <col min="6167" max="6167" width="18.83984375" bestFit="1" customWidth="1"/>
    <col min="6168" max="6168" width="18.83984375" customWidth="1"/>
    <col min="6169" max="6169" width="14" bestFit="1" customWidth="1"/>
    <col min="6170" max="6170" width="14.578125" bestFit="1" customWidth="1"/>
    <col min="6171" max="6171" width="17.68359375" bestFit="1" customWidth="1"/>
    <col min="6172" max="6172" width="16.83984375" bestFit="1" customWidth="1"/>
    <col min="6173" max="6173" width="21.578125" bestFit="1" customWidth="1"/>
    <col min="6174" max="6174" width="10.68359375" customWidth="1"/>
    <col min="6175" max="6175" width="15.68359375" customWidth="1"/>
    <col min="6176" max="6176" width="17" customWidth="1"/>
    <col min="6177" max="6177" width="11.68359375" customWidth="1"/>
    <col min="6178" max="6178" width="15.15625" customWidth="1"/>
    <col min="6179" max="6179" width="12.83984375" customWidth="1"/>
    <col min="6180" max="6180" width="15.15625" customWidth="1"/>
    <col min="6181" max="6181" width="11.83984375" customWidth="1"/>
    <col min="6182" max="6184" width="13" customWidth="1"/>
    <col min="6186" max="6192" width="0" hidden="1" customWidth="1"/>
    <col min="6406" max="6406" width="14.15625" customWidth="1"/>
    <col min="6407" max="6407" width="51.68359375" customWidth="1"/>
    <col min="6408" max="6408" width="9.41796875" customWidth="1"/>
    <col min="6409" max="6409" width="8" customWidth="1"/>
    <col min="6410" max="6410" width="12.15625" customWidth="1"/>
    <col min="6411" max="6411" width="8.41796875" customWidth="1"/>
    <col min="6412" max="6412" width="4" customWidth="1"/>
    <col min="6413" max="6413" width="10.578125" customWidth="1"/>
    <col min="6414" max="6414" width="0" hidden="1" customWidth="1"/>
    <col min="6415" max="6416" width="10.578125" customWidth="1"/>
    <col min="6417" max="6417" width="13.41796875" customWidth="1"/>
    <col min="6418" max="6418" width="3.26171875" customWidth="1"/>
    <col min="6419" max="6419" width="22.83984375" bestFit="1" customWidth="1"/>
    <col min="6420" max="6420" width="18.15625" bestFit="1" customWidth="1"/>
    <col min="6421" max="6421" width="21.83984375" customWidth="1"/>
    <col min="6422" max="6422" width="17.578125" customWidth="1"/>
    <col min="6423" max="6423" width="18.83984375" bestFit="1" customWidth="1"/>
    <col min="6424" max="6424" width="18.83984375" customWidth="1"/>
    <col min="6425" max="6425" width="14" bestFit="1" customWidth="1"/>
    <col min="6426" max="6426" width="14.578125" bestFit="1" customWidth="1"/>
    <col min="6427" max="6427" width="17.68359375" bestFit="1" customWidth="1"/>
    <col min="6428" max="6428" width="16.83984375" bestFit="1" customWidth="1"/>
    <col min="6429" max="6429" width="21.578125" bestFit="1" customWidth="1"/>
    <col min="6430" max="6430" width="10.68359375" customWidth="1"/>
    <col min="6431" max="6431" width="15.68359375" customWidth="1"/>
    <col min="6432" max="6432" width="17" customWidth="1"/>
    <col min="6433" max="6433" width="11.68359375" customWidth="1"/>
    <col min="6434" max="6434" width="15.15625" customWidth="1"/>
    <col min="6435" max="6435" width="12.83984375" customWidth="1"/>
    <col min="6436" max="6436" width="15.15625" customWidth="1"/>
    <col min="6437" max="6437" width="11.83984375" customWidth="1"/>
    <col min="6438" max="6440" width="13" customWidth="1"/>
    <col min="6442" max="6448" width="0" hidden="1" customWidth="1"/>
    <col min="6662" max="6662" width="14.15625" customWidth="1"/>
    <col min="6663" max="6663" width="51.68359375" customWidth="1"/>
    <col min="6664" max="6664" width="9.41796875" customWidth="1"/>
    <col min="6665" max="6665" width="8" customWidth="1"/>
    <col min="6666" max="6666" width="12.15625" customWidth="1"/>
    <col min="6667" max="6667" width="8.41796875" customWidth="1"/>
    <col min="6668" max="6668" width="4" customWidth="1"/>
    <col min="6669" max="6669" width="10.578125" customWidth="1"/>
    <col min="6670" max="6670" width="0" hidden="1" customWidth="1"/>
    <col min="6671" max="6672" width="10.578125" customWidth="1"/>
    <col min="6673" max="6673" width="13.41796875" customWidth="1"/>
    <col min="6674" max="6674" width="3.26171875" customWidth="1"/>
    <col min="6675" max="6675" width="22.83984375" bestFit="1" customWidth="1"/>
    <col min="6676" max="6676" width="18.15625" bestFit="1" customWidth="1"/>
    <col min="6677" max="6677" width="21.83984375" customWidth="1"/>
    <col min="6678" max="6678" width="17.578125" customWidth="1"/>
    <col min="6679" max="6679" width="18.83984375" bestFit="1" customWidth="1"/>
    <col min="6680" max="6680" width="18.83984375" customWidth="1"/>
    <col min="6681" max="6681" width="14" bestFit="1" customWidth="1"/>
    <col min="6682" max="6682" width="14.578125" bestFit="1" customWidth="1"/>
    <col min="6683" max="6683" width="17.68359375" bestFit="1" customWidth="1"/>
    <col min="6684" max="6684" width="16.83984375" bestFit="1" customWidth="1"/>
    <col min="6685" max="6685" width="21.578125" bestFit="1" customWidth="1"/>
    <col min="6686" max="6686" width="10.68359375" customWidth="1"/>
    <col min="6687" max="6687" width="15.68359375" customWidth="1"/>
    <col min="6688" max="6688" width="17" customWidth="1"/>
    <col min="6689" max="6689" width="11.68359375" customWidth="1"/>
    <col min="6690" max="6690" width="15.15625" customWidth="1"/>
    <col min="6691" max="6691" width="12.83984375" customWidth="1"/>
    <col min="6692" max="6692" width="15.15625" customWidth="1"/>
    <col min="6693" max="6693" width="11.83984375" customWidth="1"/>
    <col min="6694" max="6696" width="13" customWidth="1"/>
    <col min="6698" max="6704" width="0" hidden="1" customWidth="1"/>
    <col min="6918" max="6918" width="14.15625" customWidth="1"/>
    <col min="6919" max="6919" width="51.68359375" customWidth="1"/>
    <col min="6920" max="6920" width="9.41796875" customWidth="1"/>
    <col min="6921" max="6921" width="8" customWidth="1"/>
    <col min="6922" max="6922" width="12.15625" customWidth="1"/>
    <col min="6923" max="6923" width="8.41796875" customWidth="1"/>
    <col min="6924" max="6924" width="4" customWidth="1"/>
    <col min="6925" max="6925" width="10.578125" customWidth="1"/>
    <col min="6926" max="6926" width="0" hidden="1" customWidth="1"/>
    <col min="6927" max="6928" width="10.578125" customWidth="1"/>
    <col min="6929" max="6929" width="13.41796875" customWidth="1"/>
    <col min="6930" max="6930" width="3.26171875" customWidth="1"/>
    <col min="6931" max="6931" width="22.83984375" bestFit="1" customWidth="1"/>
    <col min="6932" max="6932" width="18.15625" bestFit="1" customWidth="1"/>
    <col min="6933" max="6933" width="21.83984375" customWidth="1"/>
    <col min="6934" max="6934" width="17.578125" customWidth="1"/>
    <col min="6935" max="6935" width="18.83984375" bestFit="1" customWidth="1"/>
    <col min="6936" max="6936" width="18.83984375" customWidth="1"/>
    <col min="6937" max="6937" width="14" bestFit="1" customWidth="1"/>
    <col min="6938" max="6938" width="14.578125" bestFit="1" customWidth="1"/>
    <col min="6939" max="6939" width="17.68359375" bestFit="1" customWidth="1"/>
    <col min="6940" max="6940" width="16.83984375" bestFit="1" customWidth="1"/>
    <col min="6941" max="6941" width="21.578125" bestFit="1" customWidth="1"/>
    <col min="6942" max="6942" width="10.68359375" customWidth="1"/>
    <col min="6943" max="6943" width="15.68359375" customWidth="1"/>
    <col min="6944" max="6944" width="17" customWidth="1"/>
    <col min="6945" max="6945" width="11.68359375" customWidth="1"/>
    <col min="6946" max="6946" width="15.15625" customWidth="1"/>
    <col min="6947" max="6947" width="12.83984375" customWidth="1"/>
    <col min="6948" max="6948" width="15.15625" customWidth="1"/>
    <col min="6949" max="6949" width="11.83984375" customWidth="1"/>
    <col min="6950" max="6952" width="13" customWidth="1"/>
    <col min="6954" max="6960" width="0" hidden="1" customWidth="1"/>
    <col min="7174" max="7174" width="14.15625" customWidth="1"/>
    <col min="7175" max="7175" width="51.68359375" customWidth="1"/>
    <col min="7176" max="7176" width="9.41796875" customWidth="1"/>
    <col min="7177" max="7177" width="8" customWidth="1"/>
    <col min="7178" max="7178" width="12.15625" customWidth="1"/>
    <col min="7179" max="7179" width="8.41796875" customWidth="1"/>
    <col min="7180" max="7180" width="4" customWidth="1"/>
    <col min="7181" max="7181" width="10.578125" customWidth="1"/>
    <col min="7182" max="7182" width="0" hidden="1" customWidth="1"/>
    <col min="7183" max="7184" width="10.578125" customWidth="1"/>
    <col min="7185" max="7185" width="13.41796875" customWidth="1"/>
    <col min="7186" max="7186" width="3.26171875" customWidth="1"/>
    <col min="7187" max="7187" width="22.83984375" bestFit="1" customWidth="1"/>
    <col min="7188" max="7188" width="18.15625" bestFit="1" customWidth="1"/>
    <col min="7189" max="7189" width="21.83984375" customWidth="1"/>
    <col min="7190" max="7190" width="17.578125" customWidth="1"/>
    <col min="7191" max="7191" width="18.83984375" bestFit="1" customWidth="1"/>
    <col min="7192" max="7192" width="18.83984375" customWidth="1"/>
    <col min="7193" max="7193" width="14" bestFit="1" customWidth="1"/>
    <col min="7194" max="7194" width="14.578125" bestFit="1" customWidth="1"/>
    <col min="7195" max="7195" width="17.68359375" bestFit="1" customWidth="1"/>
    <col min="7196" max="7196" width="16.83984375" bestFit="1" customWidth="1"/>
    <col min="7197" max="7197" width="21.578125" bestFit="1" customWidth="1"/>
    <col min="7198" max="7198" width="10.68359375" customWidth="1"/>
    <col min="7199" max="7199" width="15.68359375" customWidth="1"/>
    <col min="7200" max="7200" width="17" customWidth="1"/>
    <col min="7201" max="7201" width="11.68359375" customWidth="1"/>
    <col min="7202" max="7202" width="15.15625" customWidth="1"/>
    <col min="7203" max="7203" width="12.83984375" customWidth="1"/>
    <col min="7204" max="7204" width="15.15625" customWidth="1"/>
    <col min="7205" max="7205" width="11.83984375" customWidth="1"/>
    <col min="7206" max="7208" width="13" customWidth="1"/>
    <col min="7210" max="7216" width="0" hidden="1" customWidth="1"/>
    <col min="7430" max="7430" width="14.15625" customWidth="1"/>
    <col min="7431" max="7431" width="51.68359375" customWidth="1"/>
    <col min="7432" max="7432" width="9.41796875" customWidth="1"/>
    <col min="7433" max="7433" width="8" customWidth="1"/>
    <col min="7434" max="7434" width="12.15625" customWidth="1"/>
    <col min="7435" max="7435" width="8.41796875" customWidth="1"/>
    <col min="7436" max="7436" width="4" customWidth="1"/>
    <col min="7437" max="7437" width="10.578125" customWidth="1"/>
    <col min="7438" max="7438" width="0" hidden="1" customWidth="1"/>
    <col min="7439" max="7440" width="10.578125" customWidth="1"/>
    <col min="7441" max="7441" width="13.41796875" customWidth="1"/>
    <col min="7442" max="7442" width="3.26171875" customWidth="1"/>
    <col min="7443" max="7443" width="22.83984375" bestFit="1" customWidth="1"/>
    <col min="7444" max="7444" width="18.15625" bestFit="1" customWidth="1"/>
    <col min="7445" max="7445" width="21.83984375" customWidth="1"/>
    <col min="7446" max="7446" width="17.578125" customWidth="1"/>
    <col min="7447" max="7447" width="18.83984375" bestFit="1" customWidth="1"/>
    <col min="7448" max="7448" width="18.83984375" customWidth="1"/>
    <col min="7449" max="7449" width="14" bestFit="1" customWidth="1"/>
    <col min="7450" max="7450" width="14.578125" bestFit="1" customWidth="1"/>
    <col min="7451" max="7451" width="17.68359375" bestFit="1" customWidth="1"/>
    <col min="7452" max="7452" width="16.83984375" bestFit="1" customWidth="1"/>
    <col min="7453" max="7453" width="21.578125" bestFit="1" customWidth="1"/>
    <col min="7454" max="7454" width="10.68359375" customWidth="1"/>
    <col min="7455" max="7455" width="15.68359375" customWidth="1"/>
    <col min="7456" max="7456" width="17" customWidth="1"/>
    <col min="7457" max="7457" width="11.68359375" customWidth="1"/>
    <col min="7458" max="7458" width="15.15625" customWidth="1"/>
    <col min="7459" max="7459" width="12.83984375" customWidth="1"/>
    <col min="7460" max="7460" width="15.15625" customWidth="1"/>
    <col min="7461" max="7461" width="11.83984375" customWidth="1"/>
    <col min="7462" max="7464" width="13" customWidth="1"/>
    <col min="7466" max="7472" width="0" hidden="1" customWidth="1"/>
    <col min="7686" max="7686" width="14.15625" customWidth="1"/>
    <col min="7687" max="7687" width="51.68359375" customWidth="1"/>
    <col min="7688" max="7688" width="9.41796875" customWidth="1"/>
    <col min="7689" max="7689" width="8" customWidth="1"/>
    <col min="7690" max="7690" width="12.15625" customWidth="1"/>
    <col min="7691" max="7691" width="8.41796875" customWidth="1"/>
    <col min="7692" max="7692" width="4" customWidth="1"/>
    <col min="7693" max="7693" width="10.578125" customWidth="1"/>
    <col min="7694" max="7694" width="0" hidden="1" customWidth="1"/>
    <col min="7695" max="7696" width="10.578125" customWidth="1"/>
    <col min="7697" max="7697" width="13.41796875" customWidth="1"/>
    <col min="7698" max="7698" width="3.26171875" customWidth="1"/>
    <col min="7699" max="7699" width="22.83984375" bestFit="1" customWidth="1"/>
    <col min="7700" max="7700" width="18.15625" bestFit="1" customWidth="1"/>
    <col min="7701" max="7701" width="21.83984375" customWidth="1"/>
    <col min="7702" max="7702" width="17.578125" customWidth="1"/>
    <col min="7703" max="7703" width="18.83984375" bestFit="1" customWidth="1"/>
    <col min="7704" max="7704" width="18.83984375" customWidth="1"/>
    <col min="7705" max="7705" width="14" bestFit="1" customWidth="1"/>
    <col min="7706" max="7706" width="14.578125" bestFit="1" customWidth="1"/>
    <col min="7707" max="7707" width="17.68359375" bestFit="1" customWidth="1"/>
    <col min="7708" max="7708" width="16.83984375" bestFit="1" customWidth="1"/>
    <col min="7709" max="7709" width="21.578125" bestFit="1" customWidth="1"/>
    <col min="7710" max="7710" width="10.68359375" customWidth="1"/>
    <col min="7711" max="7711" width="15.68359375" customWidth="1"/>
    <col min="7712" max="7712" width="17" customWidth="1"/>
    <col min="7713" max="7713" width="11.68359375" customWidth="1"/>
    <col min="7714" max="7714" width="15.15625" customWidth="1"/>
    <col min="7715" max="7715" width="12.83984375" customWidth="1"/>
    <col min="7716" max="7716" width="15.15625" customWidth="1"/>
    <col min="7717" max="7717" width="11.83984375" customWidth="1"/>
    <col min="7718" max="7720" width="13" customWidth="1"/>
    <col min="7722" max="7728" width="0" hidden="1" customWidth="1"/>
    <col min="7942" max="7942" width="14.15625" customWidth="1"/>
    <col min="7943" max="7943" width="51.68359375" customWidth="1"/>
    <col min="7944" max="7944" width="9.41796875" customWidth="1"/>
    <col min="7945" max="7945" width="8" customWidth="1"/>
    <col min="7946" max="7946" width="12.15625" customWidth="1"/>
    <col min="7947" max="7947" width="8.41796875" customWidth="1"/>
    <col min="7948" max="7948" width="4" customWidth="1"/>
    <col min="7949" max="7949" width="10.578125" customWidth="1"/>
    <col min="7950" max="7950" width="0" hidden="1" customWidth="1"/>
    <col min="7951" max="7952" width="10.578125" customWidth="1"/>
    <col min="7953" max="7953" width="13.41796875" customWidth="1"/>
    <col min="7954" max="7954" width="3.26171875" customWidth="1"/>
    <col min="7955" max="7955" width="22.83984375" bestFit="1" customWidth="1"/>
    <col min="7956" max="7956" width="18.15625" bestFit="1" customWidth="1"/>
    <col min="7957" max="7957" width="21.83984375" customWidth="1"/>
    <col min="7958" max="7958" width="17.578125" customWidth="1"/>
    <col min="7959" max="7959" width="18.83984375" bestFit="1" customWidth="1"/>
    <col min="7960" max="7960" width="18.83984375" customWidth="1"/>
    <col min="7961" max="7961" width="14" bestFit="1" customWidth="1"/>
    <col min="7962" max="7962" width="14.578125" bestFit="1" customWidth="1"/>
    <col min="7963" max="7963" width="17.68359375" bestFit="1" customWidth="1"/>
    <col min="7964" max="7964" width="16.83984375" bestFit="1" customWidth="1"/>
    <col min="7965" max="7965" width="21.578125" bestFit="1" customWidth="1"/>
    <col min="7966" max="7966" width="10.68359375" customWidth="1"/>
    <col min="7967" max="7967" width="15.68359375" customWidth="1"/>
    <col min="7968" max="7968" width="17" customWidth="1"/>
    <col min="7969" max="7969" width="11.68359375" customWidth="1"/>
    <col min="7970" max="7970" width="15.15625" customWidth="1"/>
    <col min="7971" max="7971" width="12.83984375" customWidth="1"/>
    <col min="7972" max="7972" width="15.15625" customWidth="1"/>
    <col min="7973" max="7973" width="11.83984375" customWidth="1"/>
    <col min="7974" max="7976" width="13" customWidth="1"/>
    <col min="7978" max="7984" width="0" hidden="1" customWidth="1"/>
    <col min="8198" max="8198" width="14.15625" customWidth="1"/>
    <col min="8199" max="8199" width="51.68359375" customWidth="1"/>
    <col min="8200" max="8200" width="9.41796875" customWidth="1"/>
    <col min="8201" max="8201" width="8" customWidth="1"/>
    <col min="8202" max="8202" width="12.15625" customWidth="1"/>
    <col min="8203" max="8203" width="8.41796875" customWidth="1"/>
    <col min="8204" max="8204" width="4" customWidth="1"/>
    <col min="8205" max="8205" width="10.578125" customWidth="1"/>
    <col min="8206" max="8206" width="0" hidden="1" customWidth="1"/>
    <col min="8207" max="8208" width="10.578125" customWidth="1"/>
    <col min="8209" max="8209" width="13.41796875" customWidth="1"/>
    <col min="8210" max="8210" width="3.26171875" customWidth="1"/>
    <col min="8211" max="8211" width="22.83984375" bestFit="1" customWidth="1"/>
    <col min="8212" max="8212" width="18.15625" bestFit="1" customWidth="1"/>
    <col min="8213" max="8213" width="21.83984375" customWidth="1"/>
    <col min="8214" max="8214" width="17.578125" customWidth="1"/>
    <col min="8215" max="8215" width="18.83984375" bestFit="1" customWidth="1"/>
    <col min="8216" max="8216" width="18.83984375" customWidth="1"/>
    <col min="8217" max="8217" width="14" bestFit="1" customWidth="1"/>
    <col min="8218" max="8218" width="14.578125" bestFit="1" customWidth="1"/>
    <col min="8219" max="8219" width="17.68359375" bestFit="1" customWidth="1"/>
    <col min="8220" max="8220" width="16.83984375" bestFit="1" customWidth="1"/>
    <col min="8221" max="8221" width="21.578125" bestFit="1" customWidth="1"/>
    <col min="8222" max="8222" width="10.68359375" customWidth="1"/>
    <col min="8223" max="8223" width="15.68359375" customWidth="1"/>
    <col min="8224" max="8224" width="17" customWidth="1"/>
    <col min="8225" max="8225" width="11.68359375" customWidth="1"/>
    <col min="8226" max="8226" width="15.15625" customWidth="1"/>
    <col min="8227" max="8227" width="12.83984375" customWidth="1"/>
    <col min="8228" max="8228" width="15.15625" customWidth="1"/>
    <col min="8229" max="8229" width="11.83984375" customWidth="1"/>
    <col min="8230" max="8232" width="13" customWidth="1"/>
    <col min="8234" max="8240" width="0" hidden="1" customWidth="1"/>
    <col min="8454" max="8454" width="14.15625" customWidth="1"/>
    <col min="8455" max="8455" width="51.68359375" customWidth="1"/>
    <col min="8456" max="8456" width="9.41796875" customWidth="1"/>
    <col min="8457" max="8457" width="8" customWidth="1"/>
    <col min="8458" max="8458" width="12.15625" customWidth="1"/>
    <col min="8459" max="8459" width="8.41796875" customWidth="1"/>
    <col min="8460" max="8460" width="4" customWidth="1"/>
    <col min="8461" max="8461" width="10.578125" customWidth="1"/>
    <col min="8462" max="8462" width="0" hidden="1" customWidth="1"/>
    <col min="8463" max="8464" width="10.578125" customWidth="1"/>
    <col min="8465" max="8465" width="13.41796875" customWidth="1"/>
    <col min="8466" max="8466" width="3.26171875" customWidth="1"/>
    <col min="8467" max="8467" width="22.83984375" bestFit="1" customWidth="1"/>
    <col min="8468" max="8468" width="18.15625" bestFit="1" customWidth="1"/>
    <col min="8469" max="8469" width="21.83984375" customWidth="1"/>
    <col min="8470" max="8470" width="17.578125" customWidth="1"/>
    <col min="8471" max="8471" width="18.83984375" bestFit="1" customWidth="1"/>
    <col min="8472" max="8472" width="18.83984375" customWidth="1"/>
    <col min="8473" max="8473" width="14" bestFit="1" customWidth="1"/>
    <col min="8474" max="8474" width="14.578125" bestFit="1" customWidth="1"/>
    <col min="8475" max="8475" width="17.68359375" bestFit="1" customWidth="1"/>
    <col min="8476" max="8476" width="16.83984375" bestFit="1" customWidth="1"/>
    <col min="8477" max="8477" width="21.578125" bestFit="1" customWidth="1"/>
    <col min="8478" max="8478" width="10.68359375" customWidth="1"/>
    <col min="8479" max="8479" width="15.68359375" customWidth="1"/>
    <col min="8480" max="8480" width="17" customWidth="1"/>
    <col min="8481" max="8481" width="11.68359375" customWidth="1"/>
    <col min="8482" max="8482" width="15.15625" customWidth="1"/>
    <col min="8483" max="8483" width="12.83984375" customWidth="1"/>
    <col min="8484" max="8484" width="15.15625" customWidth="1"/>
    <col min="8485" max="8485" width="11.83984375" customWidth="1"/>
    <col min="8486" max="8488" width="13" customWidth="1"/>
    <col min="8490" max="8496" width="0" hidden="1" customWidth="1"/>
    <col min="8710" max="8710" width="14.15625" customWidth="1"/>
    <col min="8711" max="8711" width="51.68359375" customWidth="1"/>
    <col min="8712" max="8712" width="9.41796875" customWidth="1"/>
    <col min="8713" max="8713" width="8" customWidth="1"/>
    <col min="8714" max="8714" width="12.15625" customWidth="1"/>
    <col min="8715" max="8715" width="8.41796875" customWidth="1"/>
    <col min="8716" max="8716" width="4" customWidth="1"/>
    <col min="8717" max="8717" width="10.578125" customWidth="1"/>
    <col min="8718" max="8718" width="0" hidden="1" customWidth="1"/>
    <col min="8719" max="8720" width="10.578125" customWidth="1"/>
    <col min="8721" max="8721" width="13.41796875" customWidth="1"/>
    <col min="8722" max="8722" width="3.26171875" customWidth="1"/>
    <col min="8723" max="8723" width="22.83984375" bestFit="1" customWidth="1"/>
    <col min="8724" max="8724" width="18.15625" bestFit="1" customWidth="1"/>
    <col min="8725" max="8725" width="21.83984375" customWidth="1"/>
    <col min="8726" max="8726" width="17.578125" customWidth="1"/>
    <col min="8727" max="8727" width="18.83984375" bestFit="1" customWidth="1"/>
    <col min="8728" max="8728" width="18.83984375" customWidth="1"/>
    <col min="8729" max="8729" width="14" bestFit="1" customWidth="1"/>
    <col min="8730" max="8730" width="14.578125" bestFit="1" customWidth="1"/>
    <col min="8731" max="8731" width="17.68359375" bestFit="1" customWidth="1"/>
    <col min="8732" max="8732" width="16.83984375" bestFit="1" customWidth="1"/>
    <col min="8733" max="8733" width="21.578125" bestFit="1" customWidth="1"/>
    <col min="8734" max="8734" width="10.68359375" customWidth="1"/>
    <col min="8735" max="8735" width="15.68359375" customWidth="1"/>
    <col min="8736" max="8736" width="17" customWidth="1"/>
    <col min="8737" max="8737" width="11.68359375" customWidth="1"/>
    <col min="8738" max="8738" width="15.15625" customWidth="1"/>
    <col min="8739" max="8739" width="12.83984375" customWidth="1"/>
    <col min="8740" max="8740" width="15.15625" customWidth="1"/>
    <col min="8741" max="8741" width="11.83984375" customWidth="1"/>
    <col min="8742" max="8744" width="13" customWidth="1"/>
    <col min="8746" max="8752" width="0" hidden="1" customWidth="1"/>
    <col min="8966" max="8966" width="14.15625" customWidth="1"/>
    <col min="8967" max="8967" width="51.68359375" customWidth="1"/>
    <col min="8968" max="8968" width="9.41796875" customWidth="1"/>
    <col min="8969" max="8969" width="8" customWidth="1"/>
    <col min="8970" max="8970" width="12.15625" customWidth="1"/>
    <col min="8971" max="8971" width="8.41796875" customWidth="1"/>
    <col min="8972" max="8972" width="4" customWidth="1"/>
    <col min="8973" max="8973" width="10.578125" customWidth="1"/>
    <col min="8974" max="8974" width="0" hidden="1" customWidth="1"/>
    <col min="8975" max="8976" width="10.578125" customWidth="1"/>
    <col min="8977" max="8977" width="13.41796875" customWidth="1"/>
    <col min="8978" max="8978" width="3.26171875" customWidth="1"/>
    <col min="8979" max="8979" width="22.83984375" bestFit="1" customWidth="1"/>
    <col min="8980" max="8980" width="18.15625" bestFit="1" customWidth="1"/>
    <col min="8981" max="8981" width="21.83984375" customWidth="1"/>
    <col min="8982" max="8982" width="17.578125" customWidth="1"/>
    <col min="8983" max="8983" width="18.83984375" bestFit="1" customWidth="1"/>
    <col min="8984" max="8984" width="18.83984375" customWidth="1"/>
    <col min="8985" max="8985" width="14" bestFit="1" customWidth="1"/>
    <col min="8986" max="8986" width="14.578125" bestFit="1" customWidth="1"/>
    <col min="8987" max="8987" width="17.68359375" bestFit="1" customWidth="1"/>
    <col min="8988" max="8988" width="16.83984375" bestFit="1" customWidth="1"/>
    <col min="8989" max="8989" width="21.578125" bestFit="1" customWidth="1"/>
    <col min="8990" max="8990" width="10.68359375" customWidth="1"/>
    <col min="8991" max="8991" width="15.68359375" customWidth="1"/>
    <col min="8992" max="8992" width="17" customWidth="1"/>
    <col min="8993" max="8993" width="11.68359375" customWidth="1"/>
    <col min="8994" max="8994" width="15.15625" customWidth="1"/>
    <col min="8995" max="8995" width="12.83984375" customWidth="1"/>
    <col min="8996" max="8996" width="15.15625" customWidth="1"/>
    <col min="8997" max="8997" width="11.83984375" customWidth="1"/>
    <col min="8998" max="9000" width="13" customWidth="1"/>
    <col min="9002" max="9008" width="0" hidden="1" customWidth="1"/>
    <col min="9222" max="9222" width="14.15625" customWidth="1"/>
    <col min="9223" max="9223" width="51.68359375" customWidth="1"/>
    <col min="9224" max="9224" width="9.41796875" customWidth="1"/>
    <col min="9225" max="9225" width="8" customWidth="1"/>
    <col min="9226" max="9226" width="12.15625" customWidth="1"/>
    <col min="9227" max="9227" width="8.41796875" customWidth="1"/>
    <col min="9228" max="9228" width="4" customWidth="1"/>
    <col min="9229" max="9229" width="10.578125" customWidth="1"/>
    <col min="9230" max="9230" width="0" hidden="1" customWidth="1"/>
    <col min="9231" max="9232" width="10.578125" customWidth="1"/>
    <col min="9233" max="9233" width="13.41796875" customWidth="1"/>
    <col min="9234" max="9234" width="3.26171875" customWidth="1"/>
    <col min="9235" max="9235" width="22.83984375" bestFit="1" customWidth="1"/>
    <col min="9236" max="9236" width="18.15625" bestFit="1" customWidth="1"/>
    <col min="9237" max="9237" width="21.83984375" customWidth="1"/>
    <col min="9238" max="9238" width="17.578125" customWidth="1"/>
    <col min="9239" max="9239" width="18.83984375" bestFit="1" customWidth="1"/>
    <col min="9240" max="9240" width="18.83984375" customWidth="1"/>
    <col min="9241" max="9241" width="14" bestFit="1" customWidth="1"/>
    <col min="9242" max="9242" width="14.578125" bestFit="1" customWidth="1"/>
    <col min="9243" max="9243" width="17.68359375" bestFit="1" customWidth="1"/>
    <col min="9244" max="9244" width="16.83984375" bestFit="1" customWidth="1"/>
    <col min="9245" max="9245" width="21.578125" bestFit="1" customWidth="1"/>
    <col min="9246" max="9246" width="10.68359375" customWidth="1"/>
    <col min="9247" max="9247" width="15.68359375" customWidth="1"/>
    <col min="9248" max="9248" width="17" customWidth="1"/>
    <col min="9249" max="9249" width="11.68359375" customWidth="1"/>
    <col min="9250" max="9250" width="15.15625" customWidth="1"/>
    <col min="9251" max="9251" width="12.83984375" customWidth="1"/>
    <col min="9252" max="9252" width="15.15625" customWidth="1"/>
    <col min="9253" max="9253" width="11.83984375" customWidth="1"/>
    <col min="9254" max="9256" width="13" customWidth="1"/>
    <col min="9258" max="9264" width="0" hidden="1" customWidth="1"/>
    <col min="9478" max="9478" width="14.15625" customWidth="1"/>
    <col min="9479" max="9479" width="51.68359375" customWidth="1"/>
    <col min="9480" max="9480" width="9.41796875" customWidth="1"/>
    <col min="9481" max="9481" width="8" customWidth="1"/>
    <col min="9482" max="9482" width="12.15625" customWidth="1"/>
    <col min="9483" max="9483" width="8.41796875" customWidth="1"/>
    <col min="9484" max="9484" width="4" customWidth="1"/>
    <col min="9485" max="9485" width="10.578125" customWidth="1"/>
    <col min="9486" max="9486" width="0" hidden="1" customWidth="1"/>
    <col min="9487" max="9488" width="10.578125" customWidth="1"/>
    <col min="9489" max="9489" width="13.41796875" customWidth="1"/>
    <col min="9490" max="9490" width="3.26171875" customWidth="1"/>
    <col min="9491" max="9491" width="22.83984375" bestFit="1" customWidth="1"/>
    <col min="9492" max="9492" width="18.15625" bestFit="1" customWidth="1"/>
    <col min="9493" max="9493" width="21.83984375" customWidth="1"/>
    <col min="9494" max="9494" width="17.578125" customWidth="1"/>
    <col min="9495" max="9495" width="18.83984375" bestFit="1" customWidth="1"/>
    <col min="9496" max="9496" width="18.83984375" customWidth="1"/>
    <col min="9497" max="9497" width="14" bestFit="1" customWidth="1"/>
    <col min="9498" max="9498" width="14.578125" bestFit="1" customWidth="1"/>
    <col min="9499" max="9499" width="17.68359375" bestFit="1" customWidth="1"/>
    <col min="9500" max="9500" width="16.83984375" bestFit="1" customWidth="1"/>
    <col min="9501" max="9501" width="21.578125" bestFit="1" customWidth="1"/>
    <col min="9502" max="9502" width="10.68359375" customWidth="1"/>
    <col min="9503" max="9503" width="15.68359375" customWidth="1"/>
    <col min="9504" max="9504" width="17" customWidth="1"/>
    <col min="9505" max="9505" width="11.68359375" customWidth="1"/>
    <col min="9506" max="9506" width="15.15625" customWidth="1"/>
    <col min="9507" max="9507" width="12.83984375" customWidth="1"/>
    <col min="9508" max="9508" width="15.15625" customWidth="1"/>
    <col min="9509" max="9509" width="11.83984375" customWidth="1"/>
    <col min="9510" max="9512" width="13" customWidth="1"/>
    <col min="9514" max="9520" width="0" hidden="1" customWidth="1"/>
    <col min="9734" max="9734" width="14.15625" customWidth="1"/>
    <col min="9735" max="9735" width="51.68359375" customWidth="1"/>
    <col min="9736" max="9736" width="9.41796875" customWidth="1"/>
    <col min="9737" max="9737" width="8" customWidth="1"/>
    <col min="9738" max="9738" width="12.15625" customWidth="1"/>
    <col min="9739" max="9739" width="8.41796875" customWidth="1"/>
    <col min="9740" max="9740" width="4" customWidth="1"/>
    <col min="9741" max="9741" width="10.578125" customWidth="1"/>
    <col min="9742" max="9742" width="0" hidden="1" customWidth="1"/>
    <col min="9743" max="9744" width="10.578125" customWidth="1"/>
    <col min="9745" max="9745" width="13.41796875" customWidth="1"/>
    <col min="9746" max="9746" width="3.26171875" customWidth="1"/>
    <col min="9747" max="9747" width="22.83984375" bestFit="1" customWidth="1"/>
    <col min="9748" max="9748" width="18.15625" bestFit="1" customWidth="1"/>
    <col min="9749" max="9749" width="21.83984375" customWidth="1"/>
    <col min="9750" max="9750" width="17.578125" customWidth="1"/>
    <col min="9751" max="9751" width="18.83984375" bestFit="1" customWidth="1"/>
    <col min="9752" max="9752" width="18.83984375" customWidth="1"/>
    <col min="9753" max="9753" width="14" bestFit="1" customWidth="1"/>
    <col min="9754" max="9754" width="14.578125" bestFit="1" customWidth="1"/>
    <col min="9755" max="9755" width="17.68359375" bestFit="1" customWidth="1"/>
    <col min="9756" max="9756" width="16.83984375" bestFit="1" customWidth="1"/>
    <col min="9757" max="9757" width="21.578125" bestFit="1" customWidth="1"/>
    <col min="9758" max="9758" width="10.68359375" customWidth="1"/>
    <col min="9759" max="9759" width="15.68359375" customWidth="1"/>
    <col min="9760" max="9760" width="17" customWidth="1"/>
    <col min="9761" max="9761" width="11.68359375" customWidth="1"/>
    <col min="9762" max="9762" width="15.15625" customWidth="1"/>
    <col min="9763" max="9763" width="12.83984375" customWidth="1"/>
    <col min="9764" max="9764" width="15.15625" customWidth="1"/>
    <col min="9765" max="9765" width="11.83984375" customWidth="1"/>
    <col min="9766" max="9768" width="13" customWidth="1"/>
    <col min="9770" max="9776" width="0" hidden="1" customWidth="1"/>
    <col min="9990" max="9990" width="14.15625" customWidth="1"/>
    <col min="9991" max="9991" width="51.68359375" customWidth="1"/>
    <col min="9992" max="9992" width="9.41796875" customWidth="1"/>
    <col min="9993" max="9993" width="8" customWidth="1"/>
    <col min="9994" max="9994" width="12.15625" customWidth="1"/>
    <col min="9995" max="9995" width="8.41796875" customWidth="1"/>
    <col min="9996" max="9996" width="4" customWidth="1"/>
    <col min="9997" max="9997" width="10.578125" customWidth="1"/>
    <col min="9998" max="9998" width="0" hidden="1" customWidth="1"/>
    <col min="9999" max="10000" width="10.578125" customWidth="1"/>
    <col min="10001" max="10001" width="13.41796875" customWidth="1"/>
    <col min="10002" max="10002" width="3.26171875" customWidth="1"/>
    <col min="10003" max="10003" width="22.83984375" bestFit="1" customWidth="1"/>
    <col min="10004" max="10004" width="18.15625" bestFit="1" customWidth="1"/>
    <col min="10005" max="10005" width="21.83984375" customWidth="1"/>
    <col min="10006" max="10006" width="17.578125" customWidth="1"/>
    <col min="10007" max="10007" width="18.83984375" bestFit="1" customWidth="1"/>
    <col min="10008" max="10008" width="18.83984375" customWidth="1"/>
    <col min="10009" max="10009" width="14" bestFit="1" customWidth="1"/>
    <col min="10010" max="10010" width="14.578125" bestFit="1" customWidth="1"/>
    <col min="10011" max="10011" width="17.68359375" bestFit="1" customWidth="1"/>
    <col min="10012" max="10012" width="16.83984375" bestFit="1" customWidth="1"/>
    <col min="10013" max="10013" width="21.578125" bestFit="1" customWidth="1"/>
    <col min="10014" max="10014" width="10.68359375" customWidth="1"/>
    <col min="10015" max="10015" width="15.68359375" customWidth="1"/>
    <col min="10016" max="10016" width="17" customWidth="1"/>
    <col min="10017" max="10017" width="11.68359375" customWidth="1"/>
    <col min="10018" max="10018" width="15.15625" customWidth="1"/>
    <col min="10019" max="10019" width="12.83984375" customWidth="1"/>
    <col min="10020" max="10020" width="15.15625" customWidth="1"/>
    <col min="10021" max="10021" width="11.83984375" customWidth="1"/>
    <col min="10022" max="10024" width="13" customWidth="1"/>
    <col min="10026" max="10032" width="0" hidden="1" customWidth="1"/>
    <col min="10246" max="10246" width="14.15625" customWidth="1"/>
    <col min="10247" max="10247" width="51.68359375" customWidth="1"/>
    <col min="10248" max="10248" width="9.41796875" customWidth="1"/>
    <col min="10249" max="10249" width="8" customWidth="1"/>
    <col min="10250" max="10250" width="12.15625" customWidth="1"/>
    <col min="10251" max="10251" width="8.41796875" customWidth="1"/>
    <col min="10252" max="10252" width="4" customWidth="1"/>
    <col min="10253" max="10253" width="10.578125" customWidth="1"/>
    <col min="10254" max="10254" width="0" hidden="1" customWidth="1"/>
    <col min="10255" max="10256" width="10.578125" customWidth="1"/>
    <col min="10257" max="10257" width="13.41796875" customWidth="1"/>
    <col min="10258" max="10258" width="3.26171875" customWidth="1"/>
    <col min="10259" max="10259" width="22.83984375" bestFit="1" customWidth="1"/>
    <col min="10260" max="10260" width="18.15625" bestFit="1" customWidth="1"/>
    <col min="10261" max="10261" width="21.83984375" customWidth="1"/>
    <col min="10262" max="10262" width="17.578125" customWidth="1"/>
    <col min="10263" max="10263" width="18.83984375" bestFit="1" customWidth="1"/>
    <col min="10264" max="10264" width="18.83984375" customWidth="1"/>
    <col min="10265" max="10265" width="14" bestFit="1" customWidth="1"/>
    <col min="10266" max="10266" width="14.578125" bestFit="1" customWidth="1"/>
    <col min="10267" max="10267" width="17.68359375" bestFit="1" customWidth="1"/>
    <col min="10268" max="10268" width="16.83984375" bestFit="1" customWidth="1"/>
    <col min="10269" max="10269" width="21.578125" bestFit="1" customWidth="1"/>
    <col min="10270" max="10270" width="10.68359375" customWidth="1"/>
    <col min="10271" max="10271" width="15.68359375" customWidth="1"/>
    <col min="10272" max="10272" width="17" customWidth="1"/>
    <col min="10273" max="10273" width="11.68359375" customWidth="1"/>
    <col min="10274" max="10274" width="15.15625" customWidth="1"/>
    <col min="10275" max="10275" width="12.83984375" customWidth="1"/>
    <col min="10276" max="10276" width="15.15625" customWidth="1"/>
    <col min="10277" max="10277" width="11.83984375" customWidth="1"/>
    <col min="10278" max="10280" width="13" customWidth="1"/>
    <col min="10282" max="10288" width="0" hidden="1" customWidth="1"/>
    <col min="10502" max="10502" width="14.15625" customWidth="1"/>
    <col min="10503" max="10503" width="51.68359375" customWidth="1"/>
    <col min="10504" max="10504" width="9.41796875" customWidth="1"/>
    <col min="10505" max="10505" width="8" customWidth="1"/>
    <col min="10506" max="10506" width="12.15625" customWidth="1"/>
    <col min="10507" max="10507" width="8.41796875" customWidth="1"/>
    <col min="10508" max="10508" width="4" customWidth="1"/>
    <col min="10509" max="10509" width="10.578125" customWidth="1"/>
    <col min="10510" max="10510" width="0" hidden="1" customWidth="1"/>
    <col min="10511" max="10512" width="10.578125" customWidth="1"/>
    <col min="10513" max="10513" width="13.41796875" customWidth="1"/>
    <col min="10514" max="10514" width="3.26171875" customWidth="1"/>
    <col min="10515" max="10515" width="22.83984375" bestFit="1" customWidth="1"/>
    <col min="10516" max="10516" width="18.15625" bestFit="1" customWidth="1"/>
    <col min="10517" max="10517" width="21.83984375" customWidth="1"/>
    <col min="10518" max="10518" width="17.578125" customWidth="1"/>
    <col min="10519" max="10519" width="18.83984375" bestFit="1" customWidth="1"/>
    <col min="10520" max="10520" width="18.83984375" customWidth="1"/>
    <col min="10521" max="10521" width="14" bestFit="1" customWidth="1"/>
    <col min="10522" max="10522" width="14.578125" bestFit="1" customWidth="1"/>
    <col min="10523" max="10523" width="17.68359375" bestFit="1" customWidth="1"/>
    <col min="10524" max="10524" width="16.83984375" bestFit="1" customWidth="1"/>
    <col min="10525" max="10525" width="21.578125" bestFit="1" customWidth="1"/>
    <col min="10526" max="10526" width="10.68359375" customWidth="1"/>
    <col min="10527" max="10527" width="15.68359375" customWidth="1"/>
    <col min="10528" max="10528" width="17" customWidth="1"/>
    <col min="10529" max="10529" width="11.68359375" customWidth="1"/>
    <col min="10530" max="10530" width="15.15625" customWidth="1"/>
    <col min="10531" max="10531" width="12.83984375" customWidth="1"/>
    <col min="10532" max="10532" width="15.15625" customWidth="1"/>
    <col min="10533" max="10533" width="11.83984375" customWidth="1"/>
    <col min="10534" max="10536" width="13" customWidth="1"/>
    <col min="10538" max="10544" width="0" hidden="1" customWidth="1"/>
    <col min="10758" max="10758" width="14.15625" customWidth="1"/>
    <col min="10759" max="10759" width="51.68359375" customWidth="1"/>
    <col min="10760" max="10760" width="9.41796875" customWidth="1"/>
    <col min="10761" max="10761" width="8" customWidth="1"/>
    <col min="10762" max="10762" width="12.15625" customWidth="1"/>
    <col min="10763" max="10763" width="8.41796875" customWidth="1"/>
    <col min="10764" max="10764" width="4" customWidth="1"/>
    <col min="10765" max="10765" width="10.578125" customWidth="1"/>
    <col min="10766" max="10766" width="0" hidden="1" customWidth="1"/>
    <col min="10767" max="10768" width="10.578125" customWidth="1"/>
    <col min="10769" max="10769" width="13.41796875" customWidth="1"/>
    <col min="10770" max="10770" width="3.26171875" customWidth="1"/>
    <col min="10771" max="10771" width="22.83984375" bestFit="1" customWidth="1"/>
    <col min="10772" max="10772" width="18.15625" bestFit="1" customWidth="1"/>
    <col min="10773" max="10773" width="21.83984375" customWidth="1"/>
    <col min="10774" max="10774" width="17.578125" customWidth="1"/>
    <col min="10775" max="10775" width="18.83984375" bestFit="1" customWidth="1"/>
    <col min="10776" max="10776" width="18.83984375" customWidth="1"/>
    <col min="10777" max="10777" width="14" bestFit="1" customWidth="1"/>
    <col min="10778" max="10778" width="14.578125" bestFit="1" customWidth="1"/>
    <col min="10779" max="10779" width="17.68359375" bestFit="1" customWidth="1"/>
    <col min="10780" max="10780" width="16.83984375" bestFit="1" customWidth="1"/>
    <col min="10781" max="10781" width="21.578125" bestFit="1" customWidth="1"/>
    <col min="10782" max="10782" width="10.68359375" customWidth="1"/>
    <col min="10783" max="10783" width="15.68359375" customWidth="1"/>
    <col min="10784" max="10784" width="17" customWidth="1"/>
    <col min="10785" max="10785" width="11.68359375" customWidth="1"/>
    <col min="10786" max="10786" width="15.15625" customWidth="1"/>
    <col min="10787" max="10787" width="12.83984375" customWidth="1"/>
    <col min="10788" max="10788" width="15.15625" customWidth="1"/>
    <col min="10789" max="10789" width="11.83984375" customWidth="1"/>
    <col min="10790" max="10792" width="13" customWidth="1"/>
    <col min="10794" max="10800" width="0" hidden="1" customWidth="1"/>
    <col min="11014" max="11014" width="14.15625" customWidth="1"/>
    <col min="11015" max="11015" width="51.68359375" customWidth="1"/>
    <col min="11016" max="11016" width="9.41796875" customWidth="1"/>
    <col min="11017" max="11017" width="8" customWidth="1"/>
    <col min="11018" max="11018" width="12.15625" customWidth="1"/>
    <col min="11019" max="11019" width="8.41796875" customWidth="1"/>
    <col min="11020" max="11020" width="4" customWidth="1"/>
    <col min="11021" max="11021" width="10.578125" customWidth="1"/>
    <col min="11022" max="11022" width="0" hidden="1" customWidth="1"/>
    <col min="11023" max="11024" width="10.578125" customWidth="1"/>
    <col min="11025" max="11025" width="13.41796875" customWidth="1"/>
    <col min="11026" max="11026" width="3.26171875" customWidth="1"/>
    <col min="11027" max="11027" width="22.83984375" bestFit="1" customWidth="1"/>
    <col min="11028" max="11028" width="18.15625" bestFit="1" customWidth="1"/>
    <col min="11029" max="11029" width="21.83984375" customWidth="1"/>
    <col min="11030" max="11030" width="17.578125" customWidth="1"/>
    <col min="11031" max="11031" width="18.83984375" bestFit="1" customWidth="1"/>
    <col min="11032" max="11032" width="18.83984375" customWidth="1"/>
    <col min="11033" max="11033" width="14" bestFit="1" customWidth="1"/>
    <col min="11034" max="11034" width="14.578125" bestFit="1" customWidth="1"/>
    <col min="11035" max="11035" width="17.68359375" bestFit="1" customWidth="1"/>
    <col min="11036" max="11036" width="16.83984375" bestFit="1" customWidth="1"/>
    <col min="11037" max="11037" width="21.578125" bestFit="1" customWidth="1"/>
    <col min="11038" max="11038" width="10.68359375" customWidth="1"/>
    <col min="11039" max="11039" width="15.68359375" customWidth="1"/>
    <col min="11040" max="11040" width="17" customWidth="1"/>
    <col min="11041" max="11041" width="11.68359375" customWidth="1"/>
    <col min="11042" max="11042" width="15.15625" customWidth="1"/>
    <col min="11043" max="11043" width="12.83984375" customWidth="1"/>
    <col min="11044" max="11044" width="15.15625" customWidth="1"/>
    <col min="11045" max="11045" width="11.83984375" customWidth="1"/>
    <col min="11046" max="11048" width="13" customWidth="1"/>
    <col min="11050" max="11056" width="0" hidden="1" customWidth="1"/>
    <col min="11270" max="11270" width="14.15625" customWidth="1"/>
    <col min="11271" max="11271" width="51.68359375" customWidth="1"/>
    <col min="11272" max="11272" width="9.41796875" customWidth="1"/>
    <col min="11273" max="11273" width="8" customWidth="1"/>
    <col min="11274" max="11274" width="12.15625" customWidth="1"/>
    <col min="11275" max="11275" width="8.41796875" customWidth="1"/>
    <col min="11276" max="11276" width="4" customWidth="1"/>
    <col min="11277" max="11277" width="10.578125" customWidth="1"/>
    <col min="11278" max="11278" width="0" hidden="1" customWidth="1"/>
    <col min="11279" max="11280" width="10.578125" customWidth="1"/>
    <col min="11281" max="11281" width="13.41796875" customWidth="1"/>
    <col min="11282" max="11282" width="3.26171875" customWidth="1"/>
    <col min="11283" max="11283" width="22.83984375" bestFit="1" customWidth="1"/>
    <col min="11284" max="11284" width="18.15625" bestFit="1" customWidth="1"/>
    <col min="11285" max="11285" width="21.83984375" customWidth="1"/>
    <col min="11286" max="11286" width="17.578125" customWidth="1"/>
    <col min="11287" max="11287" width="18.83984375" bestFit="1" customWidth="1"/>
    <col min="11288" max="11288" width="18.83984375" customWidth="1"/>
    <col min="11289" max="11289" width="14" bestFit="1" customWidth="1"/>
    <col min="11290" max="11290" width="14.578125" bestFit="1" customWidth="1"/>
    <col min="11291" max="11291" width="17.68359375" bestFit="1" customWidth="1"/>
    <col min="11292" max="11292" width="16.83984375" bestFit="1" customWidth="1"/>
    <col min="11293" max="11293" width="21.578125" bestFit="1" customWidth="1"/>
    <col min="11294" max="11294" width="10.68359375" customWidth="1"/>
    <col min="11295" max="11295" width="15.68359375" customWidth="1"/>
    <col min="11296" max="11296" width="17" customWidth="1"/>
    <col min="11297" max="11297" width="11.68359375" customWidth="1"/>
    <col min="11298" max="11298" width="15.15625" customWidth="1"/>
    <col min="11299" max="11299" width="12.83984375" customWidth="1"/>
    <col min="11300" max="11300" width="15.15625" customWidth="1"/>
    <col min="11301" max="11301" width="11.83984375" customWidth="1"/>
    <col min="11302" max="11304" width="13" customWidth="1"/>
    <col min="11306" max="11312" width="0" hidden="1" customWidth="1"/>
    <col min="11526" max="11526" width="14.15625" customWidth="1"/>
    <col min="11527" max="11527" width="51.68359375" customWidth="1"/>
    <col min="11528" max="11528" width="9.41796875" customWidth="1"/>
    <col min="11529" max="11529" width="8" customWidth="1"/>
    <col min="11530" max="11530" width="12.15625" customWidth="1"/>
    <col min="11531" max="11531" width="8.41796875" customWidth="1"/>
    <col min="11532" max="11532" width="4" customWidth="1"/>
    <col min="11533" max="11533" width="10.578125" customWidth="1"/>
    <col min="11534" max="11534" width="0" hidden="1" customWidth="1"/>
    <col min="11535" max="11536" width="10.578125" customWidth="1"/>
    <col min="11537" max="11537" width="13.41796875" customWidth="1"/>
    <col min="11538" max="11538" width="3.26171875" customWidth="1"/>
    <col min="11539" max="11539" width="22.83984375" bestFit="1" customWidth="1"/>
    <col min="11540" max="11540" width="18.15625" bestFit="1" customWidth="1"/>
    <col min="11541" max="11541" width="21.83984375" customWidth="1"/>
    <col min="11542" max="11542" width="17.578125" customWidth="1"/>
    <col min="11543" max="11543" width="18.83984375" bestFit="1" customWidth="1"/>
    <col min="11544" max="11544" width="18.83984375" customWidth="1"/>
    <col min="11545" max="11545" width="14" bestFit="1" customWidth="1"/>
    <col min="11546" max="11546" width="14.578125" bestFit="1" customWidth="1"/>
    <col min="11547" max="11547" width="17.68359375" bestFit="1" customWidth="1"/>
    <col min="11548" max="11548" width="16.83984375" bestFit="1" customWidth="1"/>
    <col min="11549" max="11549" width="21.578125" bestFit="1" customWidth="1"/>
    <col min="11550" max="11550" width="10.68359375" customWidth="1"/>
    <col min="11551" max="11551" width="15.68359375" customWidth="1"/>
    <col min="11552" max="11552" width="17" customWidth="1"/>
    <col min="11553" max="11553" width="11.68359375" customWidth="1"/>
    <col min="11554" max="11554" width="15.15625" customWidth="1"/>
    <col min="11555" max="11555" width="12.83984375" customWidth="1"/>
    <col min="11556" max="11556" width="15.15625" customWidth="1"/>
    <col min="11557" max="11557" width="11.83984375" customWidth="1"/>
    <col min="11558" max="11560" width="13" customWidth="1"/>
    <col min="11562" max="11568" width="0" hidden="1" customWidth="1"/>
    <col min="11782" max="11782" width="14.15625" customWidth="1"/>
    <col min="11783" max="11783" width="51.68359375" customWidth="1"/>
    <col min="11784" max="11784" width="9.41796875" customWidth="1"/>
    <col min="11785" max="11785" width="8" customWidth="1"/>
    <col min="11786" max="11786" width="12.15625" customWidth="1"/>
    <col min="11787" max="11787" width="8.41796875" customWidth="1"/>
    <col min="11788" max="11788" width="4" customWidth="1"/>
    <col min="11789" max="11789" width="10.578125" customWidth="1"/>
    <col min="11790" max="11790" width="0" hidden="1" customWidth="1"/>
    <col min="11791" max="11792" width="10.578125" customWidth="1"/>
    <col min="11793" max="11793" width="13.41796875" customWidth="1"/>
    <col min="11794" max="11794" width="3.26171875" customWidth="1"/>
    <col min="11795" max="11795" width="22.83984375" bestFit="1" customWidth="1"/>
    <col min="11796" max="11796" width="18.15625" bestFit="1" customWidth="1"/>
    <col min="11797" max="11797" width="21.83984375" customWidth="1"/>
    <col min="11798" max="11798" width="17.578125" customWidth="1"/>
    <col min="11799" max="11799" width="18.83984375" bestFit="1" customWidth="1"/>
    <col min="11800" max="11800" width="18.83984375" customWidth="1"/>
    <col min="11801" max="11801" width="14" bestFit="1" customWidth="1"/>
    <col min="11802" max="11802" width="14.578125" bestFit="1" customWidth="1"/>
    <col min="11803" max="11803" width="17.68359375" bestFit="1" customWidth="1"/>
    <col min="11804" max="11804" width="16.83984375" bestFit="1" customWidth="1"/>
    <col min="11805" max="11805" width="21.578125" bestFit="1" customWidth="1"/>
    <col min="11806" max="11806" width="10.68359375" customWidth="1"/>
    <col min="11807" max="11807" width="15.68359375" customWidth="1"/>
    <col min="11808" max="11808" width="17" customWidth="1"/>
    <col min="11809" max="11809" width="11.68359375" customWidth="1"/>
    <col min="11810" max="11810" width="15.15625" customWidth="1"/>
    <col min="11811" max="11811" width="12.83984375" customWidth="1"/>
    <col min="11812" max="11812" width="15.15625" customWidth="1"/>
    <col min="11813" max="11813" width="11.83984375" customWidth="1"/>
    <col min="11814" max="11816" width="13" customWidth="1"/>
    <col min="11818" max="11824" width="0" hidden="1" customWidth="1"/>
    <col min="12038" max="12038" width="14.15625" customWidth="1"/>
    <col min="12039" max="12039" width="51.68359375" customWidth="1"/>
    <col min="12040" max="12040" width="9.41796875" customWidth="1"/>
    <col min="12041" max="12041" width="8" customWidth="1"/>
    <col min="12042" max="12042" width="12.15625" customWidth="1"/>
    <col min="12043" max="12043" width="8.41796875" customWidth="1"/>
    <col min="12044" max="12044" width="4" customWidth="1"/>
    <col min="12045" max="12045" width="10.578125" customWidth="1"/>
    <col min="12046" max="12046" width="0" hidden="1" customWidth="1"/>
    <col min="12047" max="12048" width="10.578125" customWidth="1"/>
    <col min="12049" max="12049" width="13.41796875" customWidth="1"/>
    <col min="12050" max="12050" width="3.26171875" customWidth="1"/>
    <col min="12051" max="12051" width="22.83984375" bestFit="1" customWidth="1"/>
    <col min="12052" max="12052" width="18.15625" bestFit="1" customWidth="1"/>
    <col min="12053" max="12053" width="21.83984375" customWidth="1"/>
    <col min="12054" max="12054" width="17.578125" customWidth="1"/>
    <col min="12055" max="12055" width="18.83984375" bestFit="1" customWidth="1"/>
    <col min="12056" max="12056" width="18.83984375" customWidth="1"/>
    <col min="12057" max="12057" width="14" bestFit="1" customWidth="1"/>
    <col min="12058" max="12058" width="14.578125" bestFit="1" customWidth="1"/>
    <col min="12059" max="12059" width="17.68359375" bestFit="1" customWidth="1"/>
    <col min="12060" max="12060" width="16.83984375" bestFit="1" customWidth="1"/>
    <col min="12061" max="12061" width="21.578125" bestFit="1" customWidth="1"/>
    <col min="12062" max="12062" width="10.68359375" customWidth="1"/>
    <col min="12063" max="12063" width="15.68359375" customWidth="1"/>
    <col min="12064" max="12064" width="17" customWidth="1"/>
    <col min="12065" max="12065" width="11.68359375" customWidth="1"/>
    <col min="12066" max="12066" width="15.15625" customWidth="1"/>
    <col min="12067" max="12067" width="12.83984375" customWidth="1"/>
    <col min="12068" max="12068" width="15.15625" customWidth="1"/>
    <col min="12069" max="12069" width="11.83984375" customWidth="1"/>
    <col min="12070" max="12072" width="13" customWidth="1"/>
    <col min="12074" max="12080" width="0" hidden="1" customWidth="1"/>
    <col min="12294" max="12294" width="14.15625" customWidth="1"/>
    <col min="12295" max="12295" width="51.68359375" customWidth="1"/>
    <col min="12296" max="12296" width="9.41796875" customWidth="1"/>
    <col min="12297" max="12297" width="8" customWidth="1"/>
    <col min="12298" max="12298" width="12.15625" customWidth="1"/>
    <col min="12299" max="12299" width="8.41796875" customWidth="1"/>
    <col min="12300" max="12300" width="4" customWidth="1"/>
    <col min="12301" max="12301" width="10.578125" customWidth="1"/>
    <col min="12302" max="12302" width="0" hidden="1" customWidth="1"/>
    <col min="12303" max="12304" width="10.578125" customWidth="1"/>
    <col min="12305" max="12305" width="13.41796875" customWidth="1"/>
    <col min="12306" max="12306" width="3.26171875" customWidth="1"/>
    <col min="12307" max="12307" width="22.83984375" bestFit="1" customWidth="1"/>
    <col min="12308" max="12308" width="18.15625" bestFit="1" customWidth="1"/>
    <col min="12309" max="12309" width="21.83984375" customWidth="1"/>
    <col min="12310" max="12310" width="17.578125" customWidth="1"/>
    <col min="12311" max="12311" width="18.83984375" bestFit="1" customWidth="1"/>
    <col min="12312" max="12312" width="18.83984375" customWidth="1"/>
    <col min="12313" max="12313" width="14" bestFit="1" customWidth="1"/>
    <col min="12314" max="12314" width="14.578125" bestFit="1" customWidth="1"/>
    <col min="12315" max="12315" width="17.68359375" bestFit="1" customWidth="1"/>
    <col min="12316" max="12316" width="16.83984375" bestFit="1" customWidth="1"/>
    <col min="12317" max="12317" width="21.578125" bestFit="1" customWidth="1"/>
    <col min="12318" max="12318" width="10.68359375" customWidth="1"/>
    <col min="12319" max="12319" width="15.68359375" customWidth="1"/>
    <col min="12320" max="12320" width="17" customWidth="1"/>
    <col min="12321" max="12321" width="11.68359375" customWidth="1"/>
    <col min="12322" max="12322" width="15.15625" customWidth="1"/>
    <col min="12323" max="12323" width="12.83984375" customWidth="1"/>
    <col min="12324" max="12324" width="15.15625" customWidth="1"/>
    <col min="12325" max="12325" width="11.83984375" customWidth="1"/>
    <col min="12326" max="12328" width="13" customWidth="1"/>
    <col min="12330" max="12336" width="0" hidden="1" customWidth="1"/>
    <col min="12550" max="12550" width="14.15625" customWidth="1"/>
    <col min="12551" max="12551" width="51.68359375" customWidth="1"/>
    <col min="12552" max="12552" width="9.41796875" customWidth="1"/>
    <col min="12553" max="12553" width="8" customWidth="1"/>
    <col min="12554" max="12554" width="12.15625" customWidth="1"/>
    <col min="12555" max="12555" width="8.41796875" customWidth="1"/>
    <col min="12556" max="12556" width="4" customWidth="1"/>
    <col min="12557" max="12557" width="10.578125" customWidth="1"/>
    <col min="12558" max="12558" width="0" hidden="1" customWidth="1"/>
    <col min="12559" max="12560" width="10.578125" customWidth="1"/>
    <col min="12561" max="12561" width="13.41796875" customWidth="1"/>
    <col min="12562" max="12562" width="3.26171875" customWidth="1"/>
    <col min="12563" max="12563" width="22.83984375" bestFit="1" customWidth="1"/>
    <col min="12564" max="12564" width="18.15625" bestFit="1" customWidth="1"/>
    <col min="12565" max="12565" width="21.83984375" customWidth="1"/>
    <col min="12566" max="12566" width="17.578125" customWidth="1"/>
    <col min="12567" max="12567" width="18.83984375" bestFit="1" customWidth="1"/>
    <col min="12568" max="12568" width="18.83984375" customWidth="1"/>
    <col min="12569" max="12569" width="14" bestFit="1" customWidth="1"/>
    <col min="12570" max="12570" width="14.578125" bestFit="1" customWidth="1"/>
    <col min="12571" max="12571" width="17.68359375" bestFit="1" customWidth="1"/>
    <col min="12572" max="12572" width="16.83984375" bestFit="1" customWidth="1"/>
    <col min="12573" max="12573" width="21.578125" bestFit="1" customWidth="1"/>
    <col min="12574" max="12574" width="10.68359375" customWidth="1"/>
    <col min="12575" max="12575" width="15.68359375" customWidth="1"/>
    <col min="12576" max="12576" width="17" customWidth="1"/>
    <col min="12577" max="12577" width="11.68359375" customWidth="1"/>
    <col min="12578" max="12578" width="15.15625" customWidth="1"/>
    <col min="12579" max="12579" width="12.83984375" customWidth="1"/>
    <col min="12580" max="12580" width="15.15625" customWidth="1"/>
    <col min="12581" max="12581" width="11.83984375" customWidth="1"/>
    <col min="12582" max="12584" width="13" customWidth="1"/>
    <col min="12586" max="12592" width="0" hidden="1" customWidth="1"/>
    <col min="12806" max="12806" width="14.15625" customWidth="1"/>
    <col min="12807" max="12807" width="51.68359375" customWidth="1"/>
    <col min="12808" max="12808" width="9.41796875" customWidth="1"/>
    <col min="12809" max="12809" width="8" customWidth="1"/>
    <col min="12810" max="12810" width="12.15625" customWidth="1"/>
    <col min="12811" max="12811" width="8.41796875" customWidth="1"/>
    <col min="12812" max="12812" width="4" customWidth="1"/>
    <col min="12813" max="12813" width="10.578125" customWidth="1"/>
    <col min="12814" max="12814" width="0" hidden="1" customWidth="1"/>
    <col min="12815" max="12816" width="10.578125" customWidth="1"/>
    <col min="12817" max="12817" width="13.41796875" customWidth="1"/>
    <col min="12818" max="12818" width="3.26171875" customWidth="1"/>
    <col min="12819" max="12819" width="22.83984375" bestFit="1" customWidth="1"/>
    <col min="12820" max="12820" width="18.15625" bestFit="1" customWidth="1"/>
    <col min="12821" max="12821" width="21.83984375" customWidth="1"/>
    <col min="12822" max="12822" width="17.578125" customWidth="1"/>
    <col min="12823" max="12823" width="18.83984375" bestFit="1" customWidth="1"/>
    <col min="12824" max="12824" width="18.83984375" customWidth="1"/>
    <col min="12825" max="12825" width="14" bestFit="1" customWidth="1"/>
    <col min="12826" max="12826" width="14.578125" bestFit="1" customWidth="1"/>
    <col min="12827" max="12827" width="17.68359375" bestFit="1" customWidth="1"/>
    <col min="12828" max="12828" width="16.83984375" bestFit="1" customWidth="1"/>
    <col min="12829" max="12829" width="21.578125" bestFit="1" customWidth="1"/>
    <col min="12830" max="12830" width="10.68359375" customWidth="1"/>
    <col min="12831" max="12831" width="15.68359375" customWidth="1"/>
    <col min="12832" max="12832" width="17" customWidth="1"/>
    <col min="12833" max="12833" width="11.68359375" customWidth="1"/>
    <col min="12834" max="12834" width="15.15625" customWidth="1"/>
    <col min="12835" max="12835" width="12.83984375" customWidth="1"/>
    <col min="12836" max="12836" width="15.15625" customWidth="1"/>
    <col min="12837" max="12837" width="11.83984375" customWidth="1"/>
    <col min="12838" max="12840" width="13" customWidth="1"/>
    <col min="12842" max="12848" width="0" hidden="1" customWidth="1"/>
    <col min="13062" max="13062" width="14.15625" customWidth="1"/>
    <col min="13063" max="13063" width="51.68359375" customWidth="1"/>
    <col min="13064" max="13064" width="9.41796875" customWidth="1"/>
    <col min="13065" max="13065" width="8" customWidth="1"/>
    <col min="13066" max="13066" width="12.15625" customWidth="1"/>
    <col min="13067" max="13067" width="8.41796875" customWidth="1"/>
    <col min="13068" max="13068" width="4" customWidth="1"/>
    <col min="13069" max="13069" width="10.578125" customWidth="1"/>
    <col min="13070" max="13070" width="0" hidden="1" customWidth="1"/>
    <col min="13071" max="13072" width="10.578125" customWidth="1"/>
    <col min="13073" max="13073" width="13.41796875" customWidth="1"/>
    <col min="13074" max="13074" width="3.26171875" customWidth="1"/>
    <col min="13075" max="13075" width="22.83984375" bestFit="1" customWidth="1"/>
    <col min="13076" max="13076" width="18.15625" bestFit="1" customWidth="1"/>
    <col min="13077" max="13077" width="21.83984375" customWidth="1"/>
    <col min="13078" max="13078" width="17.578125" customWidth="1"/>
    <col min="13079" max="13079" width="18.83984375" bestFit="1" customWidth="1"/>
    <col min="13080" max="13080" width="18.83984375" customWidth="1"/>
    <col min="13081" max="13081" width="14" bestFit="1" customWidth="1"/>
    <col min="13082" max="13082" width="14.578125" bestFit="1" customWidth="1"/>
    <col min="13083" max="13083" width="17.68359375" bestFit="1" customWidth="1"/>
    <col min="13084" max="13084" width="16.83984375" bestFit="1" customWidth="1"/>
    <col min="13085" max="13085" width="21.578125" bestFit="1" customWidth="1"/>
    <col min="13086" max="13086" width="10.68359375" customWidth="1"/>
    <col min="13087" max="13087" width="15.68359375" customWidth="1"/>
    <col min="13088" max="13088" width="17" customWidth="1"/>
    <col min="13089" max="13089" width="11.68359375" customWidth="1"/>
    <col min="13090" max="13090" width="15.15625" customWidth="1"/>
    <col min="13091" max="13091" width="12.83984375" customWidth="1"/>
    <col min="13092" max="13092" width="15.15625" customWidth="1"/>
    <col min="13093" max="13093" width="11.83984375" customWidth="1"/>
    <col min="13094" max="13096" width="13" customWidth="1"/>
    <col min="13098" max="13104" width="0" hidden="1" customWidth="1"/>
    <col min="13318" max="13318" width="14.15625" customWidth="1"/>
    <col min="13319" max="13319" width="51.68359375" customWidth="1"/>
    <col min="13320" max="13320" width="9.41796875" customWidth="1"/>
    <col min="13321" max="13321" width="8" customWidth="1"/>
    <col min="13322" max="13322" width="12.15625" customWidth="1"/>
    <col min="13323" max="13323" width="8.41796875" customWidth="1"/>
    <col min="13324" max="13324" width="4" customWidth="1"/>
    <col min="13325" max="13325" width="10.578125" customWidth="1"/>
    <col min="13326" max="13326" width="0" hidden="1" customWidth="1"/>
    <col min="13327" max="13328" width="10.578125" customWidth="1"/>
    <col min="13329" max="13329" width="13.41796875" customWidth="1"/>
    <col min="13330" max="13330" width="3.26171875" customWidth="1"/>
    <col min="13331" max="13331" width="22.83984375" bestFit="1" customWidth="1"/>
    <col min="13332" max="13332" width="18.15625" bestFit="1" customWidth="1"/>
    <col min="13333" max="13333" width="21.83984375" customWidth="1"/>
    <col min="13334" max="13334" width="17.578125" customWidth="1"/>
    <col min="13335" max="13335" width="18.83984375" bestFit="1" customWidth="1"/>
    <col min="13336" max="13336" width="18.83984375" customWidth="1"/>
    <col min="13337" max="13337" width="14" bestFit="1" customWidth="1"/>
    <col min="13338" max="13338" width="14.578125" bestFit="1" customWidth="1"/>
    <col min="13339" max="13339" width="17.68359375" bestFit="1" customWidth="1"/>
    <col min="13340" max="13340" width="16.83984375" bestFit="1" customWidth="1"/>
    <col min="13341" max="13341" width="21.578125" bestFit="1" customWidth="1"/>
    <col min="13342" max="13342" width="10.68359375" customWidth="1"/>
    <col min="13343" max="13343" width="15.68359375" customWidth="1"/>
    <col min="13344" max="13344" width="17" customWidth="1"/>
    <col min="13345" max="13345" width="11.68359375" customWidth="1"/>
    <col min="13346" max="13346" width="15.15625" customWidth="1"/>
    <col min="13347" max="13347" width="12.83984375" customWidth="1"/>
    <col min="13348" max="13348" width="15.15625" customWidth="1"/>
    <col min="13349" max="13349" width="11.83984375" customWidth="1"/>
    <col min="13350" max="13352" width="13" customWidth="1"/>
    <col min="13354" max="13360" width="0" hidden="1" customWidth="1"/>
    <col min="13574" max="13574" width="14.15625" customWidth="1"/>
    <col min="13575" max="13575" width="51.68359375" customWidth="1"/>
    <col min="13576" max="13576" width="9.41796875" customWidth="1"/>
    <col min="13577" max="13577" width="8" customWidth="1"/>
    <col min="13578" max="13578" width="12.15625" customWidth="1"/>
    <col min="13579" max="13579" width="8.41796875" customWidth="1"/>
    <col min="13580" max="13580" width="4" customWidth="1"/>
    <col min="13581" max="13581" width="10.578125" customWidth="1"/>
    <col min="13582" max="13582" width="0" hidden="1" customWidth="1"/>
    <col min="13583" max="13584" width="10.578125" customWidth="1"/>
    <col min="13585" max="13585" width="13.41796875" customWidth="1"/>
    <col min="13586" max="13586" width="3.26171875" customWidth="1"/>
    <col min="13587" max="13587" width="22.83984375" bestFit="1" customWidth="1"/>
    <col min="13588" max="13588" width="18.15625" bestFit="1" customWidth="1"/>
    <col min="13589" max="13589" width="21.83984375" customWidth="1"/>
    <col min="13590" max="13590" width="17.578125" customWidth="1"/>
    <col min="13591" max="13591" width="18.83984375" bestFit="1" customWidth="1"/>
    <col min="13592" max="13592" width="18.83984375" customWidth="1"/>
    <col min="13593" max="13593" width="14" bestFit="1" customWidth="1"/>
    <col min="13594" max="13594" width="14.578125" bestFit="1" customWidth="1"/>
    <col min="13595" max="13595" width="17.68359375" bestFit="1" customWidth="1"/>
    <col min="13596" max="13596" width="16.83984375" bestFit="1" customWidth="1"/>
    <col min="13597" max="13597" width="21.578125" bestFit="1" customWidth="1"/>
    <col min="13598" max="13598" width="10.68359375" customWidth="1"/>
    <col min="13599" max="13599" width="15.68359375" customWidth="1"/>
    <col min="13600" max="13600" width="17" customWidth="1"/>
    <col min="13601" max="13601" width="11.68359375" customWidth="1"/>
    <col min="13602" max="13602" width="15.15625" customWidth="1"/>
    <col min="13603" max="13603" width="12.83984375" customWidth="1"/>
    <col min="13604" max="13604" width="15.15625" customWidth="1"/>
    <col min="13605" max="13605" width="11.83984375" customWidth="1"/>
    <col min="13606" max="13608" width="13" customWidth="1"/>
    <col min="13610" max="13616" width="0" hidden="1" customWidth="1"/>
    <col min="13830" max="13830" width="14.15625" customWidth="1"/>
    <col min="13831" max="13831" width="51.68359375" customWidth="1"/>
    <col min="13832" max="13832" width="9.41796875" customWidth="1"/>
    <col min="13833" max="13833" width="8" customWidth="1"/>
    <col min="13834" max="13834" width="12.15625" customWidth="1"/>
    <col min="13835" max="13835" width="8.41796875" customWidth="1"/>
    <col min="13836" max="13836" width="4" customWidth="1"/>
    <col min="13837" max="13837" width="10.578125" customWidth="1"/>
    <col min="13838" max="13838" width="0" hidden="1" customWidth="1"/>
    <col min="13839" max="13840" width="10.578125" customWidth="1"/>
    <col min="13841" max="13841" width="13.41796875" customWidth="1"/>
    <col min="13842" max="13842" width="3.26171875" customWidth="1"/>
    <col min="13843" max="13843" width="22.83984375" bestFit="1" customWidth="1"/>
    <col min="13844" max="13844" width="18.15625" bestFit="1" customWidth="1"/>
    <col min="13845" max="13845" width="21.83984375" customWidth="1"/>
    <col min="13846" max="13846" width="17.578125" customWidth="1"/>
    <col min="13847" max="13847" width="18.83984375" bestFit="1" customWidth="1"/>
    <col min="13848" max="13848" width="18.83984375" customWidth="1"/>
    <col min="13849" max="13849" width="14" bestFit="1" customWidth="1"/>
    <col min="13850" max="13850" width="14.578125" bestFit="1" customWidth="1"/>
    <col min="13851" max="13851" width="17.68359375" bestFit="1" customWidth="1"/>
    <col min="13852" max="13852" width="16.83984375" bestFit="1" customWidth="1"/>
    <col min="13853" max="13853" width="21.578125" bestFit="1" customWidth="1"/>
    <col min="13854" max="13854" width="10.68359375" customWidth="1"/>
    <col min="13855" max="13855" width="15.68359375" customWidth="1"/>
    <col min="13856" max="13856" width="17" customWidth="1"/>
    <col min="13857" max="13857" width="11.68359375" customWidth="1"/>
    <col min="13858" max="13858" width="15.15625" customWidth="1"/>
    <col min="13859" max="13859" width="12.83984375" customWidth="1"/>
    <col min="13860" max="13860" width="15.15625" customWidth="1"/>
    <col min="13861" max="13861" width="11.83984375" customWidth="1"/>
    <col min="13862" max="13864" width="13" customWidth="1"/>
    <col min="13866" max="13872" width="0" hidden="1" customWidth="1"/>
    <col min="14086" max="14086" width="14.15625" customWidth="1"/>
    <col min="14087" max="14087" width="51.68359375" customWidth="1"/>
    <col min="14088" max="14088" width="9.41796875" customWidth="1"/>
    <col min="14089" max="14089" width="8" customWidth="1"/>
    <col min="14090" max="14090" width="12.15625" customWidth="1"/>
    <col min="14091" max="14091" width="8.41796875" customWidth="1"/>
    <col min="14092" max="14092" width="4" customWidth="1"/>
    <col min="14093" max="14093" width="10.578125" customWidth="1"/>
    <col min="14094" max="14094" width="0" hidden="1" customWidth="1"/>
    <col min="14095" max="14096" width="10.578125" customWidth="1"/>
    <col min="14097" max="14097" width="13.41796875" customWidth="1"/>
    <col min="14098" max="14098" width="3.26171875" customWidth="1"/>
    <col min="14099" max="14099" width="22.83984375" bestFit="1" customWidth="1"/>
    <col min="14100" max="14100" width="18.15625" bestFit="1" customWidth="1"/>
    <col min="14101" max="14101" width="21.83984375" customWidth="1"/>
    <col min="14102" max="14102" width="17.578125" customWidth="1"/>
    <col min="14103" max="14103" width="18.83984375" bestFit="1" customWidth="1"/>
    <col min="14104" max="14104" width="18.83984375" customWidth="1"/>
    <col min="14105" max="14105" width="14" bestFit="1" customWidth="1"/>
    <col min="14106" max="14106" width="14.578125" bestFit="1" customWidth="1"/>
    <col min="14107" max="14107" width="17.68359375" bestFit="1" customWidth="1"/>
    <col min="14108" max="14108" width="16.83984375" bestFit="1" customWidth="1"/>
    <col min="14109" max="14109" width="21.578125" bestFit="1" customWidth="1"/>
    <col min="14110" max="14110" width="10.68359375" customWidth="1"/>
    <col min="14111" max="14111" width="15.68359375" customWidth="1"/>
    <col min="14112" max="14112" width="17" customWidth="1"/>
    <col min="14113" max="14113" width="11.68359375" customWidth="1"/>
    <col min="14114" max="14114" width="15.15625" customWidth="1"/>
    <col min="14115" max="14115" width="12.83984375" customWidth="1"/>
    <col min="14116" max="14116" width="15.15625" customWidth="1"/>
    <col min="14117" max="14117" width="11.83984375" customWidth="1"/>
    <col min="14118" max="14120" width="13" customWidth="1"/>
    <col min="14122" max="14128" width="0" hidden="1" customWidth="1"/>
    <col min="14342" max="14342" width="14.15625" customWidth="1"/>
    <col min="14343" max="14343" width="51.68359375" customWidth="1"/>
    <col min="14344" max="14344" width="9.41796875" customWidth="1"/>
    <col min="14345" max="14345" width="8" customWidth="1"/>
    <col min="14346" max="14346" width="12.15625" customWidth="1"/>
    <col min="14347" max="14347" width="8.41796875" customWidth="1"/>
    <col min="14348" max="14348" width="4" customWidth="1"/>
    <col min="14349" max="14349" width="10.578125" customWidth="1"/>
    <col min="14350" max="14350" width="0" hidden="1" customWidth="1"/>
    <col min="14351" max="14352" width="10.578125" customWidth="1"/>
    <col min="14353" max="14353" width="13.41796875" customWidth="1"/>
    <col min="14354" max="14354" width="3.26171875" customWidth="1"/>
    <col min="14355" max="14355" width="22.83984375" bestFit="1" customWidth="1"/>
    <col min="14356" max="14356" width="18.15625" bestFit="1" customWidth="1"/>
    <col min="14357" max="14357" width="21.83984375" customWidth="1"/>
    <col min="14358" max="14358" width="17.578125" customWidth="1"/>
    <col min="14359" max="14359" width="18.83984375" bestFit="1" customWidth="1"/>
    <col min="14360" max="14360" width="18.83984375" customWidth="1"/>
    <col min="14361" max="14361" width="14" bestFit="1" customWidth="1"/>
    <col min="14362" max="14362" width="14.578125" bestFit="1" customWidth="1"/>
    <col min="14363" max="14363" width="17.68359375" bestFit="1" customWidth="1"/>
    <col min="14364" max="14364" width="16.83984375" bestFit="1" customWidth="1"/>
    <col min="14365" max="14365" width="21.578125" bestFit="1" customWidth="1"/>
    <col min="14366" max="14366" width="10.68359375" customWidth="1"/>
    <col min="14367" max="14367" width="15.68359375" customWidth="1"/>
    <col min="14368" max="14368" width="17" customWidth="1"/>
    <col min="14369" max="14369" width="11.68359375" customWidth="1"/>
    <col min="14370" max="14370" width="15.15625" customWidth="1"/>
    <col min="14371" max="14371" width="12.83984375" customWidth="1"/>
    <col min="14372" max="14372" width="15.15625" customWidth="1"/>
    <col min="14373" max="14373" width="11.83984375" customWidth="1"/>
    <col min="14374" max="14376" width="13" customWidth="1"/>
    <col min="14378" max="14384" width="0" hidden="1" customWidth="1"/>
    <col min="14598" max="14598" width="14.15625" customWidth="1"/>
    <col min="14599" max="14599" width="51.68359375" customWidth="1"/>
    <col min="14600" max="14600" width="9.41796875" customWidth="1"/>
    <col min="14601" max="14601" width="8" customWidth="1"/>
    <col min="14602" max="14602" width="12.15625" customWidth="1"/>
    <col min="14603" max="14603" width="8.41796875" customWidth="1"/>
    <col min="14604" max="14604" width="4" customWidth="1"/>
    <col min="14605" max="14605" width="10.578125" customWidth="1"/>
    <col min="14606" max="14606" width="0" hidden="1" customWidth="1"/>
    <col min="14607" max="14608" width="10.578125" customWidth="1"/>
    <col min="14609" max="14609" width="13.41796875" customWidth="1"/>
    <col min="14610" max="14610" width="3.26171875" customWidth="1"/>
    <col min="14611" max="14611" width="22.83984375" bestFit="1" customWidth="1"/>
    <col min="14612" max="14612" width="18.15625" bestFit="1" customWidth="1"/>
    <col min="14613" max="14613" width="21.83984375" customWidth="1"/>
    <col min="14614" max="14614" width="17.578125" customWidth="1"/>
    <col min="14615" max="14615" width="18.83984375" bestFit="1" customWidth="1"/>
    <col min="14616" max="14616" width="18.83984375" customWidth="1"/>
    <col min="14617" max="14617" width="14" bestFit="1" customWidth="1"/>
    <col min="14618" max="14618" width="14.578125" bestFit="1" customWidth="1"/>
    <col min="14619" max="14619" width="17.68359375" bestFit="1" customWidth="1"/>
    <col min="14620" max="14620" width="16.83984375" bestFit="1" customWidth="1"/>
    <col min="14621" max="14621" width="21.578125" bestFit="1" customWidth="1"/>
    <col min="14622" max="14622" width="10.68359375" customWidth="1"/>
    <col min="14623" max="14623" width="15.68359375" customWidth="1"/>
    <col min="14624" max="14624" width="17" customWidth="1"/>
    <col min="14625" max="14625" width="11.68359375" customWidth="1"/>
    <col min="14626" max="14626" width="15.15625" customWidth="1"/>
    <col min="14627" max="14627" width="12.83984375" customWidth="1"/>
    <col min="14628" max="14628" width="15.15625" customWidth="1"/>
    <col min="14629" max="14629" width="11.83984375" customWidth="1"/>
    <col min="14630" max="14632" width="13" customWidth="1"/>
    <col min="14634" max="14640" width="0" hidden="1" customWidth="1"/>
    <col min="14854" max="14854" width="14.15625" customWidth="1"/>
    <col min="14855" max="14855" width="51.68359375" customWidth="1"/>
    <col min="14856" max="14856" width="9.41796875" customWidth="1"/>
    <col min="14857" max="14857" width="8" customWidth="1"/>
    <col min="14858" max="14858" width="12.15625" customWidth="1"/>
    <col min="14859" max="14859" width="8.41796875" customWidth="1"/>
    <col min="14860" max="14860" width="4" customWidth="1"/>
    <col min="14861" max="14861" width="10.578125" customWidth="1"/>
    <col min="14862" max="14862" width="0" hidden="1" customWidth="1"/>
    <col min="14863" max="14864" width="10.578125" customWidth="1"/>
    <col min="14865" max="14865" width="13.41796875" customWidth="1"/>
    <col min="14866" max="14866" width="3.26171875" customWidth="1"/>
    <col min="14867" max="14867" width="22.83984375" bestFit="1" customWidth="1"/>
    <col min="14868" max="14868" width="18.15625" bestFit="1" customWidth="1"/>
    <col min="14869" max="14869" width="21.83984375" customWidth="1"/>
    <col min="14870" max="14870" width="17.578125" customWidth="1"/>
    <col min="14871" max="14871" width="18.83984375" bestFit="1" customWidth="1"/>
    <col min="14872" max="14872" width="18.83984375" customWidth="1"/>
    <col min="14873" max="14873" width="14" bestFit="1" customWidth="1"/>
    <col min="14874" max="14874" width="14.578125" bestFit="1" customWidth="1"/>
    <col min="14875" max="14875" width="17.68359375" bestFit="1" customWidth="1"/>
    <col min="14876" max="14876" width="16.83984375" bestFit="1" customWidth="1"/>
    <col min="14877" max="14877" width="21.578125" bestFit="1" customWidth="1"/>
    <col min="14878" max="14878" width="10.68359375" customWidth="1"/>
    <col min="14879" max="14879" width="15.68359375" customWidth="1"/>
    <col min="14880" max="14880" width="17" customWidth="1"/>
    <col min="14881" max="14881" width="11.68359375" customWidth="1"/>
    <col min="14882" max="14882" width="15.15625" customWidth="1"/>
    <col min="14883" max="14883" width="12.83984375" customWidth="1"/>
    <col min="14884" max="14884" width="15.15625" customWidth="1"/>
    <col min="14885" max="14885" width="11.83984375" customWidth="1"/>
    <col min="14886" max="14888" width="13" customWidth="1"/>
    <col min="14890" max="14896" width="0" hidden="1" customWidth="1"/>
    <col min="15110" max="15110" width="14.15625" customWidth="1"/>
    <col min="15111" max="15111" width="51.68359375" customWidth="1"/>
    <col min="15112" max="15112" width="9.41796875" customWidth="1"/>
    <col min="15113" max="15113" width="8" customWidth="1"/>
    <col min="15114" max="15114" width="12.15625" customWidth="1"/>
    <col min="15115" max="15115" width="8.41796875" customWidth="1"/>
    <col min="15116" max="15116" width="4" customWidth="1"/>
    <col min="15117" max="15117" width="10.578125" customWidth="1"/>
    <col min="15118" max="15118" width="0" hidden="1" customWidth="1"/>
    <col min="15119" max="15120" width="10.578125" customWidth="1"/>
    <col min="15121" max="15121" width="13.41796875" customWidth="1"/>
    <col min="15122" max="15122" width="3.26171875" customWidth="1"/>
    <col min="15123" max="15123" width="22.83984375" bestFit="1" customWidth="1"/>
    <col min="15124" max="15124" width="18.15625" bestFit="1" customWidth="1"/>
    <col min="15125" max="15125" width="21.83984375" customWidth="1"/>
    <col min="15126" max="15126" width="17.578125" customWidth="1"/>
    <col min="15127" max="15127" width="18.83984375" bestFit="1" customWidth="1"/>
    <col min="15128" max="15128" width="18.83984375" customWidth="1"/>
    <col min="15129" max="15129" width="14" bestFit="1" customWidth="1"/>
    <col min="15130" max="15130" width="14.578125" bestFit="1" customWidth="1"/>
    <col min="15131" max="15131" width="17.68359375" bestFit="1" customWidth="1"/>
    <col min="15132" max="15132" width="16.83984375" bestFit="1" customWidth="1"/>
    <col min="15133" max="15133" width="21.578125" bestFit="1" customWidth="1"/>
    <col min="15134" max="15134" width="10.68359375" customWidth="1"/>
    <col min="15135" max="15135" width="15.68359375" customWidth="1"/>
    <col min="15136" max="15136" width="17" customWidth="1"/>
    <col min="15137" max="15137" width="11.68359375" customWidth="1"/>
    <col min="15138" max="15138" width="15.15625" customWidth="1"/>
    <col min="15139" max="15139" width="12.83984375" customWidth="1"/>
    <col min="15140" max="15140" width="15.15625" customWidth="1"/>
    <col min="15141" max="15141" width="11.83984375" customWidth="1"/>
    <col min="15142" max="15144" width="13" customWidth="1"/>
    <col min="15146" max="15152" width="0" hidden="1" customWidth="1"/>
    <col min="15366" max="15366" width="14.15625" customWidth="1"/>
    <col min="15367" max="15367" width="51.68359375" customWidth="1"/>
    <col min="15368" max="15368" width="9.41796875" customWidth="1"/>
    <col min="15369" max="15369" width="8" customWidth="1"/>
    <col min="15370" max="15370" width="12.15625" customWidth="1"/>
    <col min="15371" max="15371" width="8.41796875" customWidth="1"/>
    <col min="15372" max="15372" width="4" customWidth="1"/>
    <col min="15373" max="15373" width="10.578125" customWidth="1"/>
    <col min="15374" max="15374" width="0" hidden="1" customWidth="1"/>
    <col min="15375" max="15376" width="10.578125" customWidth="1"/>
    <col min="15377" max="15377" width="13.41796875" customWidth="1"/>
    <col min="15378" max="15378" width="3.26171875" customWidth="1"/>
    <col min="15379" max="15379" width="22.83984375" bestFit="1" customWidth="1"/>
    <col min="15380" max="15380" width="18.15625" bestFit="1" customWidth="1"/>
    <col min="15381" max="15381" width="21.83984375" customWidth="1"/>
    <col min="15382" max="15382" width="17.578125" customWidth="1"/>
    <col min="15383" max="15383" width="18.83984375" bestFit="1" customWidth="1"/>
    <col min="15384" max="15384" width="18.83984375" customWidth="1"/>
    <col min="15385" max="15385" width="14" bestFit="1" customWidth="1"/>
    <col min="15386" max="15386" width="14.578125" bestFit="1" customWidth="1"/>
    <col min="15387" max="15387" width="17.68359375" bestFit="1" customWidth="1"/>
    <col min="15388" max="15388" width="16.83984375" bestFit="1" customWidth="1"/>
    <col min="15389" max="15389" width="21.578125" bestFit="1" customWidth="1"/>
    <col min="15390" max="15390" width="10.68359375" customWidth="1"/>
    <col min="15391" max="15391" width="15.68359375" customWidth="1"/>
    <col min="15392" max="15392" width="17" customWidth="1"/>
    <col min="15393" max="15393" width="11.68359375" customWidth="1"/>
    <col min="15394" max="15394" width="15.15625" customWidth="1"/>
    <col min="15395" max="15395" width="12.83984375" customWidth="1"/>
    <col min="15396" max="15396" width="15.15625" customWidth="1"/>
    <col min="15397" max="15397" width="11.83984375" customWidth="1"/>
    <col min="15398" max="15400" width="13" customWidth="1"/>
    <col min="15402" max="15408" width="0" hidden="1" customWidth="1"/>
    <col min="15622" max="15622" width="14.15625" customWidth="1"/>
    <col min="15623" max="15623" width="51.68359375" customWidth="1"/>
    <col min="15624" max="15624" width="9.41796875" customWidth="1"/>
    <col min="15625" max="15625" width="8" customWidth="1"/>
    <col min="15626" max="15626" width="12.15625" customWidth="1"/>
    <col min="15627" max="15627" width="8.41796875" customWidth="1"/>
    <col min="15628" max="15628" width="4" customWidth="1"/>
    <col min="15629" max="15629" width="10.578125" customWidth="1"/>
    <col min="15630" max="15630" width="0" hidden="1" customWidth="1"/>
    <col min="15631" max="15632" width="10.578125" customWidth="1"/>
    <col min="15633" max="15633" width="13.41796875" customWidth="1"/>
    <col min="15634" max="15634" width="3.26171875" customWidth="1"/>
    <col min="15635" max="15635" width="22.83984375" bestFit="1" customWidth="1"/>
    <col min="15636" max="15636" width="18.15625" bestFit="1" customWidth="1"/>
    <col min="15637" max="15637" width="21.83984375" customWidth="1"/>
    <col min="15638" max="15638" width="17.578125" customWidth="1"/>
    <col min="15639" max="15639" width="18.83984375" bestFit="1" customWidth="1"/>
    <col min="15640" max="15640" width="18.83984375" customWidth="1"/>
    <col min="15641" max="15641" width="14" bestFit="1" customWidth="1"/>
    <col min="15642" max="15642" width="14.578125" bestFit="1" customWidth="1"/>
    <col min="15643" max="15643" width="17.68359375" bestFit="1" customWidth="1"/>
    <col min="15644" max="15644" width="16.83984375" bestFit="1" customWidth="1"/>
    <col min="15645" max="15645" width="21.578125" bestFit="1" customWidth="1"/>
    <col min="15646" max="15646" width="10.68359375" customWidth="1"/>
    <col min="15647" max="15647" width="15.68359375" customWidth="1"/>
    <col min="15648" max="15648" width="17" customWidth="1"/>
    <col min="15649" max="15649" width="11.68359375" customWidth="1"/>
    <col min="15650" max="15650" width="15.15625" customWidth="1"/>
    <col min="15651" max="15651" width="12.83984375" customWidth="1"/>
    <col min="15652" max="15652" width="15.15625" customWidth="1"/>
    <col min="15653" max="15653" width="11.83984375" customWidth="1"/>
    <col min="15654" max="15656" width="13" customWidth="1"/>
    <col min="15658" max="15664" width="0" hidden="1" customWidth="1"/>
    <col min="15878" max="15878" width="14.15625" customWidth="1"/>
    <col min="15879" max="15879" width="51.68359375" customWidth="1"/>
    <col min="15880" max="15880" width="9.41796875" customWidth="1"/>
    <col min="15881" max="15881" width="8" customWidth="1"/>
    <col min="15882" max="15882" width="12.15625" customWidth="1"/>
    <col min="15883" max="15883" width="8.41796875" customWidth="1"/>
    <col min="15884" max="15884" width="4" customWidth="1"/>
    <col min="15885" max="15885" width="10.578125" customWidth="1"/>
    <col min="15886" max="15886" width="0" hidden="1" customWidth="1"/>
    <col min="15887" max="15888" width="10.578125" customWidth="1"/>
    <col min="15889" max="15889" width="13.41796875" customWidth="1"/>
    <col min="15890" max="15890" width="3.26171875" customWidth="1"/>
    <col min="15891" max="15891" width="22.83984375" bestFit="1" customWidth="1"/>
    <col min="15892" max="15892" width="18.15625" bestFit="1" customWidth="1"/>
    <col min="15893" max="15893" width="21.83984375" customWidth="1"/>
    <col min="15894" max="15894" width="17.578125" customWidth="1"/>
    <col min="15895" max="15895" width="18.83984375" bestFit="1" customWidth="1"/>
    <col min="15896" max="15896" width="18.83984375" customWidth="1"/>
    <col min="15897" max="15897" width="14" bestFit="1" customWidth="1"/>
    <col min="15898" max="15898" width="14.578125" bestFit="1" customWidth="1"/>
    <col min="15899" max="15899" width="17.68359375" bestFit="1" customWidth="1"/>
    <col min="15900" max="15900" width="16.83984375" bestFit="1" customWidth="1"/>
    <col min="15901" max="15901" width="21.578125" bestFit="1" customWidth="1"/>
    <col min="15902" max="15902" width="10.68359375" customWidth="1"/>
    <col min="15903" max="15903" width="15.68359375" customWidth="1"/>
    <col min="15904" max="15904" width="17" customWidth="1"/>
    <col min="15905" max="15905" width="11.68359375" customWidth="1"/>
    <col min="15906" max="15906" width="15.15625" customWidth="1"/>
    <col min="15907" max="15907" width="12.83984375" customWidth="1"/>
    <col min="15908" max="15908" width="15.15625" customWidth="1"/>
    <col min="15909" max="15909" width="11.83984375" customWidth="1"/>
    <col min="15910" max="15912" width="13" customWidth="1"/>
    <col min="15914" max="15920" width="0" hidden="1" customWidth="1"/>
    <col min="16134" max="16134" width="14.15625" customWidth="1"/>
    <col min="16135" max="16135" width="51.68359375" customWidth="1"/>
    <col min="16136" max="16136" width="9.41796875" customWidth="1"/>
    <col min="16137" max="16137" width="8" customWidth="1"/>
    <col min="16138" max="16138" width="12.15625" customWidth="1"/>
    <col min="16139" max="16139" width="8.41796875" customWidth="1"/>
    <col min="16140" max="16140" width="4" customWidth="1"/>
    <col min="16141" max="16141" width="10.578125" customWidth="1"/>
    <col min="16142" max="16142" width="0" hidden="1" customWidth="1"/>
    <col min="16143" max="16144" width="10.578125" customWidth="1"/>
    <col min="16145" max="16145" width="13.41796875" customWidth="1"/>
    <col min="16146" max="16146" width="3.26171875" customWidth="1"/>
    <col min="16147" max="16147" width="22.83984375" bestFit="1" customWidth="1"/>
    <col min="16148" max="16148" width="18.15625" bestFit="1" customWidth="1"/>
    <col min="16149" max="16149" width="21.83984375" customWidth="1"/>
    <col min="16150" max="16150" width="17.578125" customWidth="1"/>
    <col min="16151" max="16151" width="18.83984375" bestFit="1" customWidth="1"/>
    <col min="16152" max="16152" width="18.83984375" customWidth="1"/>
    <col min="16153" max="16153" width="14" bestFit="1" customWidth="1"/>
    <col min="16154" max="16154" width="14.578125" bestFit="1" customWidth="1"/>
    <col min="16155" max="16155" width="17.68359375" bestFit="1" customWidth="1"/>
    <col min="16156" max="16156" width="16.83984375" bestFit="1" customWidth="1"/>
    <col min="16157" max="16157" width="21.578125" bestFit="1" customWidth="1"/>
    <col min="16158" max="16158" width="10.68359375" customWidth="1"/>
    <col min="16159" max="16159" width="15.68359375" customWidth="1"/>
    <col min="16160" max="16160" width="17" customWidth="1"/>
    <col min="16161" max="16161" width="11.68359375" customWidth="1"/>
    <col min="16162" max="16162" width="15.15625" customWidth="1"/>
    <col min="16163" max="16163" width="12.83984375" customWidth="1"/>
    <col min="16164" max="16164" width="15.15625" customWidth="1"/>
    <col min="16165" max="16165" width="11.83984375" customWidth="1"/>
    <col min="16166" max="16168" width="13" customWidth="1"/>
    <col min="16170" max="16176" width="0" hidden="1" customWidth="1"/>
  </cols>
  <sheetData>
    <row r="1" spans="1:50" ht="27" x14ac:dyDescent="0.55000000000000004">
      <c r="A1" s="13"/>
      <c r="B1" s="156" t="s">
        <v>178</v>
      </c>
      <c r="C1" s="156"/>
      <c r="D1" s="147" t="s">
        <v>176</v>
      </c>
      <c r="E1" s="139">
        <v>0</v>
      </c>
      <c r="F1" s="139" t="s">
        <v>179</v>
      </c>
      <c r="G1" s="148">
        <v>3.8899999999999997E-2</v>
      </c>
      <c r="I1" s="20"/>
      <c r="J1" s="20"/>
      <c r="K1" s="20"/>
      <c r="L1" s="20"/>
      <c r="M1" s="20"/>
      <c r="Q1" s="14"/>
      <c r="R1" s="11"/>
      <c r="T1" s="11"/>
      <c r="U1" s="15"/>
      <c r="V1" s="16"/>
      <c r="W1" s="16"/>
      <c r="X1" s="16"/>
      <c r="AW1" s="16"/>
    </row>
    <row r="2" spans="1:50" x14ac:dyDescent="0.55000000000000004">
      <c r="D2" s="139" t="s">
        <v>177</v>
      </c>
      <c r="E2" s="139">
        <v>25</v>
      </c>
      <c r="F2" s="139" t="s">
        <v>180</v>
      </c>
      <c r="G2" s="139">
        <f>12*30</f>
        <v>360</v>
      </c>
      <c r="H2"/>
      <c r="M2" s="6"/>
      <c r="N2" s="11"/>
      <c r="O2" s="11"/>
      <c r="P2" s="19"/>
      <c r="Q2" s="14"/>
      <c r="R2" s="19"/>
      <c r="T2" s="19"/>
      <c r="AA2" t="s">
        <v>65</v>
      </c>
      <c r="AB2" s="10">
        <f>_xlfn.STDEV.P(AB8:AB53)</f>
        <v>6.546265333605196E-2</v>
      </c>
    </row>
    <row r="3" spans="1:50" x14ac:dyDescent="0.55000000000000004">
      <c r="H3" s="135"/>
      <c r="I3" s="109"/>
      <c r="J3" s="109"/>
      <c r="K3" s="109"/>
      <c r="L3" s="109"/>
      <c r="M3" s="110"/>
      <c r="N3" s="110"/>
      <c r="O3" s="110"/>
      <c r="P3" s="19"/>
      <c r="Q3" s="14"/>
      <c r="R3" s="11"/>
      <c r="T3" s="19"/>
      <c r="AA3" t="s">
        <v>66</v>
      </c>
      <c r="AB3" s="11">
        <f>AB55-AB2</f>
        <v>0.13812365266308768</v>
      </c>
    </row>
    <row r="4" spans="1:50" x14ac:dyDescent="0.55000000000000004">
      <c r="C4" s="19"/>
      <c r="I4" s="20"/>
      <c r="M4" s="108"/>
      <c r="N4" s="22"/>
      <c r="O4" s="22"/>
      <c r="P4" s="22"/>
      <c r="Q4" s="14"/>
      <c r="R4" s="21"/>
      <c r="T4" s="11"/>
      <c r="AA4" t="s">
        <v>66</v>
      </c>
      <c r="AB4" s="11">
        <f>AB55+AB2</f>
        <v>0.26904895933519163</v>
      </c>
    </row>
    <row r="5" spans="1:50" s="154" customFormat="1" ht="32.700000000000003" x14ac:dyDescent="1.05">
      <c r="A5" s="151"/>
      <c r="B5" s="152"/>
      <c r="C5" s="153"/>
      <c r="D5" s="157" t="s">
        <v>251</v>
      </c>
      <c r="E5" s="157"/>
      <c r="F5" s="157"/>
      <c r="G5" s="157"/>
      <c r="H5" s="158" t="s">
        <v>252</v>
      </c>
      <c r="I5" s="158"/>
      <c r="J5" s="158"/>
      <c r="K5" s="158"/>
      <c r="L5" s="158"/>
      <c r="M5" s="158"/>
      <c r="N5" s="158"/>
      <c r="O5" s="158"/>
      <c r="P5" s="158"/>
      <c r="Q5" s="158"/>
      <c r="R5" s="159" t="s">
        <v>253</v>
      </c>
      <c r="S5" s="159"/>
      <c r="T5" s="159"/>
      <c r="U5" s="159"/>
      <c r="V5" s="159"/>
      <c r="W5" s="159"/>
      <c r="X5" s="159"/>
      <c r="Y5" s="159"/>
      <c r="Z5" s="159"/>
      <c r="AA5" s="160" t="s">
        <v>254</v>
      </c>
      <c r="AB5" s="160"/>
      <c r="AC5" s="160"/>
      <c r="AD5" s="160"/>
      <c r="AE5" s="160"/>
      <c r="AF5" s="160"/>
      <c r="AG5" s="160"/>
      <c r="AH5" s="161" t="s">
        <v>255</v>
      </c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55" t="s">
        <v>256</v>
      </c>
      <c r="AU5" s="155"/>
      <c r="AV5" s="155"/>
      <c r="AW5" s="150"/>
    </row>
    <row r="6" spans="1:50" s="79" customFormat="1" ht="23.4" thickBot="1" x14ac:dyDescent="0.9">
      <c r="A6" s="77" t="s">
        <v>151</v>
      </c>
      <c r="B6" s="77" t="s">
        <v>152</v>
      </c>
      <c r="C6" s="79" t="s">
        <v>62</v>
      </c>
      <c r="D6" s="79" t="s">
        <v>153</v>
      </c>
      <c r="E6" s="79" t="s">
        <v>154</v>
      </c>
      <c r="F6" s="79" t="s">
        <v>155</v>
      </c>
      <c r="G6" s="79" t="s">
        <v>227</v>
      </c>
      <c r="H6" s="81" t="s">
        <v>156</v>
      </c>
      <c r="I6" s="79" t="s">
        <v>157</v>
      </c>
      <c r="J6" s="79" t="s">
        <v>231</v>
      </c>
      <c r="K6" s="79" t="s">
        <v>232</v>
      </c>
      <c r="L6" s="79" t="s">
        <v>233</v>
      </c>
      <c r="M6" s="82" t="s">
        <v>158</v>
      </c>
      <c r="N6" s="82" t="s">
        <v>186</v>
      </c>
      <c r="O6" s="82" t="s">
        <v>234</v>
      </c>
      <c r="P6" s="83" t="s">
        <v>235</v>
      </c>
      <c r="Q6" s="79" t="s">
        <v>236</v>
      </c>
      <c r="R6" s="78" t="s">
        <v>237</v>
      </c>
      <c r="S6" s="79" t="s">
        <v>238</v>
      </c>
      <c r="T6" s="80" t="s">
        <v>159</v>
      </c>
      <c r="U6" s="79" t="s">
        <v>160</v>
      </c>
      <c r="V6" s="81" t="s">
        <v>239</v>
      </c>
      <c r="W6" s="81" t="s">
        <v>240</v>
      </c>
      <c r="X6" s="81" t="s">
        <v>203</v>
      </c>
      <c r="Y6" s="137" t="s">
        <v>241</v>
      </c>
      <c r="Z6" s="79" t="s">
        <v>243</v>
      </c>
      <c r="AA6" s="79" t="s">
        <v>204</v>
      </c>
      <c r="AB6" s="80" t="s">
        <v>169</v>
      </c>
      <c r="AC6" s="79" t="s">
        <v>170</v>
      </c>
      <c r="AD6" s="79" t="s">
        <v>171</v>
      </c>
      <c r="AE6" s="79" t="s">
        <v>244</v>
      </c>
      <c r="AF6" s="79" t="s">
        <v>205</v>
      </c>
      <c r="AG6" s="79" t="s">
        <v>206</v>
      </c>
      <c r="AH6" s="79" t="s">
        <v>207</v>
      </c>
      <c r="AI6" s="79" t="s">
        <v>193</v>
      </c>
      <c r="AJ6" s="79" t="s">
        <v>208</v>
      </c>
      <c r="AK6" s="79" t="s">
        <v>209</v>
      </c>
      <c r="AL6" s="79" t="s">
        <v>187</v>
      </c>
      <c r="AM6" s="79" t="s">
        <v>194</v>
      </c>
      <c r="AN6" s="79" t="s">
        <v>210</v>
      </c>
      <c r="AO6" s="79" t="s">
        <v>211</v>
      </c>
      <c r="AP6" s="79" t="s">
        <v>212</v>
      </c>
      <c r="AQ6" s="79" t="s">
        <v>245</v>
      </c>
      <c r="AR6" s="79" t="s">
        <v>246</v>
      </c>
      <c r="AS6" s="82" t="s">
        <v>247</v>
      </c>
      <c r="AT6" s="79" t="s">
        <v>248</v>
      </c>
      <c r="AU6" s="79" t="s">
        <v>249</v>
      </c>
      <c r="AV6" s="79" t="s">
        <v>250</v>
      </c>
      <c r="AW6" s="81"/>
    </row>
    <row r="7" spans="1:50" s="92" customFormat="1" ht="135.6" thickTop="1" thickBot="1" x14ac:dyDescent="0.55000000000000004">
      <c r="A7" s="88" t="s">
        <v>67</v>
      </c>
      <c r="B7" s="88" t="s">
        <v>18</v>
      </c>
      <c r="C7" s="88" t="s">
        <v>122</v>
      </c>
      <c r="D7" s="88" t="s">
        <v>188</v>
      </c>
      <c r="E7" s="88" t="s">
        <v>228</v>
      </c>
      <c r="F7" s="88" t="s">
        <v>229</v>
      </c>
      <c r="G7" s="88" t="s">
        <v>230</v>
      </c>
      <c r="H7" s="88" t="s">
        <v>183</v>
      </c>
      <c r="I7" s="88" t="s">
        <v>181</v>
      </c>
      <c r="J7" s="88" t="s">
        <v>182</v>
      </c>
      <c r="K7" s="88" t="s">
        <v>184</v>
      </c>
      <c r="L7" s="88" t="s">
        <v>222</v>
      </c>
      <c r="M7" s="88" t="s">
        <v>49</v>
      </c>
      <c r="N7" s="88" t="s">
        <v>223</v>
      </c>
      <c r="O7" s="88" t="s">
        <v>185</v>
      </c>
      <c r="P7" s="90" t="s">
        <v>121</v>
      </c>
      <c r="Q7" s="88" t="s">
        <v>224</v>
      </c>
      <c r="R7" s="88" t="s">
        <v>68</v>
      </c>
      <c r="S7" s="88" t="s">
        <v>69</v>
      </c>
      <c r="T7" s="88" t="s">
        <v>70</v>
      </c>
      <c r="U7" s="88" t="s">
        <v>71</v>
      </c>
      <c r="V7" s="88" t="s">
        <v>72</v>
      </c>
      <c r="W7" s="88" t="s">
        <v>73</v>
      </c>
      <c r="X7" s="88" t="s">
        <v>74</v>
      </c>
      <c r="Y7" s="89" t="s">
        <v>242</v>
      </c>
      <c r="Z7" s="88" t="s">
        <v>225</v>
      </c>
      <c r="AA7" s="88" t="s">
        <v>75</v>
      </c>
      <c r="AB7" s="88" t="s">
        <v>197</v>
      </c>
      <c r="AC7" s="91" t="s">
        <v>76</v>
      </c>
      <c r="AD7" s="91" t="s">
        <v>189</v>
      </c>
      <c r="AE7" s="91" t="s">
        <v>190</v>
      </c>
      <c r="AF7" s="91" t="s">
        <v>192</v>
      </c>
      <c r="AG7" s="88" t="s">
        <v>174</v>
      </c>
      <c r="AH7" s="98" t="s">
        <v>161</v>
      </c>
      <c r="AI7" s="99" t="s">
        <v>162</v>
      </c>
      <c r="AJ7" s="99" t="s">
        <v>163</v>
      </c>
      <c r="AK7" s="98" t="s">
        <v>164</v>
      </c>
      <c r="AL7" s="100" t="s">
        <v>165</v>
      </c>
      <c r="AM7" s="98" t="s">
        <v>166</v>
      </c>
      <c r="AN7" s="99" t="s">
        <v>167</v>
      </c>
      <c r="AO7" s="101" t="s">
        <v>168</v>
      </c>
      <c r="AP7" s="102" t="s">
        <v>172</v>
      </c>
      <c r="AQ7" s="103" t="s">
        <v>173</v>
      </c>
      <c r="AR7" s="103" t="s">
        <v>201</v>
      </c>
      <c r="AS7" s="104" t="s">
        <v>175</v>
      </c>
      <c r="AT7" s="104" t="s">
        <v>191</v>
      </c>
      <c r="AU7" s="104" t="s">
        <v>199</v>
      </c>
      <c r="AV7" s="104" t="s">
        <v>200</v>
      </c>
      <c r="AW7" s="88" t="s">
        <v>226</v>
      </c>
    </row>
    <row r="8" spans="1:50" s="37" customFormat="1" x14ac:dyDescent="0.55000000000000004">
      <c r="A8" s="23">
        <v>210001</v>
      </c>
      <c r="B8" s="24" t="s">
        <v>88</v>
      </c>
      <c r="C8" s="32">
        <v>370256623.669608</v>
      </c>
      <c r="D8" s="149">
        <f t="shared" ref="D8:D23" si="0">C8*0.5</f>
        <v>185128311.834804</v>
      </c>
      <c r="E8" s="95">
        <f t="shared" ref="E8:E53" si="1">SLN($D8,$E$1,$E$2)</f>
        <v>7405132.4733921597</v>
      </c>
      <c r="F8" s="96">
        <f t="shared" ref="F8:F53" si="2">D8</f>
        <v>185128311.834804</v>
      </c>
      <c r="G8" s="95">
        <f t="shared" ref="G8:G53" si="3">CUMIPMT($G$1/12,$G$2,$F8,1,$G$2,0)/(-$G$2/12)</f>
        <v>4294629.6747298511</v>
      </c>
      <c r="H8" s="105">
        <f>((IFERROR(VLOOKUP($A8,'Regular Peer Group Pivot'!$1:$1048576,13,FALSE),VLOOKUP($A8,'AMC Peer Group Pivot'!$1:$1048576,13,FALSE))*1000))</f>
        <v>253102199.99999994</v>
      </c>
      <c r="I8" s="57">
        <f>IFERROR(VLOOKUP(A8,'Regular Peer Group Pivot'!$1:$1048576,16,FALSE),VLOOKUP(A8,'AMC Peer Group Pivot'!$1:$1048576,16,FALSE))</f>
        <v>0.1173790666379036</v>
      </c>
      <c r="J8" s="105">
        <f t="shared" ref="J8:J53" si="4">H8*I8</f>
        <v>29708899.999999996</v>
      </c>
      <c r="K8" s="105">
        <f t="shared" ref="K8:K53" si="5">J8+E8+G8</f>
        <v>41408662.148122013</v>
      </c>
      <c r="L8" s="112">
        <f t="shared" ref="L8:L53" si="6">K8/(H8+E8+G8)</f>
        <v>0.1563759641817129</v>
      </c>
      <c r="M8" s="58">
        <v>3</v>
      </c>
      <c r="N8" s="59">
        <f>IFERROR(VLOOKUP(M8,'Regular Peer Group Pivot'!$1:$1048576,16,FALSE),VLOOKUP(M8,'AMC Peer Group Pivot'!$1:$1048576,16,FALSE))</f>
        <v>9.0115883593839347E-2</v>
      </c>
      <c r="O8" s="59">
        <f t="shared" ref="O8:O53" si="7">(L8*0.5)+(N8*0.5)</f>
        <v>0.12324592388777612</v>
      </c>
      <c r="P8" s="59">
        <f t="shared" ref="P8:P53" si="8">O8-I8</f>
        <v>5.8668572498725285E-3</v>
      </c>
      <c r="Q8" s="61">
        <f t="shared" ref="Q8:Q53" si="9">H8*P8</f>
        <v>1484914.4770286863</v>
      </c>
      <c r="R8" s="25">
        <f>VLOOKUP(A8,'[1]ICC Calculation'!$A$1:$IV$65536,26,FALSE)</f>
        <v>-6.5942353686286093E-2</v>
      </c>
      <c r="S8" s="26">
        <f t="shared" ref="S8:S53" si="10">RANK(R8,R$8:R$53)</f>
        <v>13</v>
      </c>
      <c r="T8" s="25">
        <v>6.1841645802861667E-2</v>
      </c>
      <c r="U8" s="26">
        <f t="shared" ref="U8:U53" si="11">RANK(T8,T$8:T$53,1)</f>
        <v>15</v>
      </c>
      <c r="V8" s="27">
        <f t="shared" ref="V8:V53" si="12">S8+U8</f>
        <v>28</v>
      </c>
      <c r="W8" s="28">
        <f t="shared" ref="W8:W53" si="13">SUMPRODUCT((-(AW8=$AW$8:$AW$53)),(-(V8&gt;$V$8:$V$53)))+1</f>
        <v>5</v>
      </c>
      <c r="X8" s="27">
        <f>MAX(IF($AW$8:$AW$53=AW8,$W$8:$W$53))</f>
        <v>9</v>
      </c>
      <c r="Y8" s="29">
        <f t="shared" ref="Y8:Y53" si="14">IF(AW8=1,((X8-W8+1)/X8)*20%+80%,IF(AW8=2,((X8-W8+1)/X8)*20%+60%,IF(AW8=3,((X8-W8+1)/X8)*20%+40%,IF(AW8=4,((X8-W8+1)/X8)*20%+20%,IF(AW8=5,((X8-W8+1)/X8)*20%+0%)))))</f>
        <v>0.9111111111111112</v>
      </c>
      <c r="Z8" s="30">
        <f t="shared" ref="Z8:Z53" si="15">IF(Q8&gt;0,Q8*Y8,Q8*(1-Y8+1))</f>
        <v>1352922.0790705811</v>
      </c>
      <c r="AA8" s="34">
        <f>VLOOKUP($A8,PAU!$1:$1048576,9,FALSE)</f>
        <v>47159469.089999989</v>
      </c>
      <c r="AB8" s="35">
        <f>VLOOKUP($A8,PAU!$1:$1048576,30,FALSE)</f>
        <v>0.21532768415585735</v>
      </c>
      <c r="AC8" s="30">
        <f t="shared" ref="AC8:AC53" si="16">IF(AB8="","",IF(AB8&lt;=AB$57,AC$62,IF(AB8&lt;=AB$58,AC$63,IF(AB8&lt;=AB$59,AC$64,IF(AB8&lt;=AB$60,AC$65,AC$66)))))</f>
        <v>3</v>
      </c>
      <c r="AD8" s="30">
        <f t="shared" ref="AD8:AD28" si="17">(IF(AB8&gt;$AB$4,AA8/AB8*(AB8-$AB$2)-AA8,IF(AB8&lt;$AB$3,AA8/AB8*(AB8+$AB$2)-AA8,AA8/AB8*$AB$55-AA8)))</f>
        <v>-2571509.3831359819</v>
      </c>
      <c r="AE8" s="30">
        <f t="shared" ref="AE8:AE53" si="18">IF(AD8&gt;0,AD8*Y8,AD8*(1-Y8+1))</f>
        <v>-2800087.9949702909</v>
      </c>
      <c r="AF8" s="33">
        <f t="shared" ref="AF8:AF53" si="19">IF(AE8*0.5&gt;0,AE8*0.5,0)</f>
        <v>0</v>
      </c>
      <c r="AG8" s="32">
        <f t="shared" ref="AG8:AG53" si="20">Z8+AF8</f>
        <v>1352922.0790705811</v>
      </c>
      <c r="AH8" s="31">
        <f>VLOOKUP($A8,'[2]Excess Capacity'!$A$1:$IV$65536,3,FALSE)</f>
        <v>71128</v>
      </c>
      <c r="AI8" s="31">
        <f>VLOOKUP($A8,'[2]Excess Capacity'!$A$1:$IV$65536,4,FALSE)</f>
        <v>684</v>
      </c>
      <c r="AJ8" s="31">
        <f t="shared" ref="AJ8:AJ53" si="21">AH8+AI8</f>
        <v>71812</v>
      </c>
      <c r="AK8" s="31">
        <f>VLOOKUP($A8,'[2]Excess Capacity'!$A$1:$IV$65536,6,FALSE)</f>
        <v>65025</v>
      </c>
      <c r="AL8" s="31">
        <f>VLOOKUP($A8,'[2]Excess Capacity'!$A$1:$IV$65536,7,FALSE)</f>
        <v>2265</v>
      </c>
      <c r="AM8" s="31">
        <f>VLOOKUP($A8,'[2]Excess Capacity'!$A$1:$IV$65536,8,FALSE)</f>
        <v>465</v>
      </c>
      <c r="AN8" s="31">
        <f t="shared" ref="AN8:AN53" si="22">AK8+AL8+AM8</f>
        <v>67755</v>
      </c>
      <c r="AO8" s="36">
        <f t="shared" ref="AO8:AO53" si="23">AN8-AJ8</f>
        <v>-4057</v>
      </c>
      <c r="AP8" s="87">
        <v>1201.4025549134601</v>
      </c>
      <c r="AQ8" s="86">
        <f t="shared" ref="AQ8:AQ53" si="24">IF(AP8*AO8&lt;0,AP8*AO8,0)</f>
        <v>-4874090.1652839072</v>
      </c>
      <c r="AR8" s="86">
        <f>E8+(G8*0.7)</f>
        <v>10411373.245703055</v>
      </c>
      <c r="AS8" s="95">
        <f t="shared" ref="AS8:AS53" si="25">IF(AQ8+AG8&gt;AR8,AR8,AQ8+AG8)</f>
        <v>-3521168.0862133261</v>
      </c>
      <c r="AT8" s="115">
        <f t="shared" ref="AT8:AT53" si="26">AS8/(E8+G8)</f>
        <v>-0.30096065557867147</v>
      </c>
      <c r="AU8" s="136">
        <f>VLOOKUP(A8,[3]Sheet2!$B:$D,3,FALSE)</f>
        <v>1.0965672937194539</v>
      </c>
      <c r="AV8" s="38">
        <f t="shared" ref="AV8:AV53" si="27">AS8*AU8</f>
        <v>-3861197.759030256</v>
      </c>
      <c r="AW8" s="27">
        <f t="shared" ref="AW8:AW53" si="28">IF(V8="","",IF(V8&lt;=V$57,AW$62,IF(V8&lt;=V$58,AW$63,IF(V8&lt;=V$59,AW$64,IF(V8&lt;=V$60,AW$65,AW$66)))))</f>
        <v>1</v>
      </c>
      <c r="AX8" s="38"/>
    </row>
    <row r="9" spans="1:50" s="37" customFormat="1" x14ac:dyDescent="0.55000000000000004">
      <c r="A9" s="23">
        <v>210002</v>
      </c>
      <c r="B9" s="24" t="s">
        <v>83</v>
      </c>
      <c r="C9" s="32">
        <v>1479918655.8034837</v>
      </c>
      <c r="D9" s="149">
        <f t="shared" si="0"/>
        <v>739959327.90174186</v>
      </c>
      <c r="E9" s="95">
        <f t="shared" si="1"/>
        <v>29598373.116069674</v>
      </c>
      <c r="F9" s="96">
        <f t="shared" si="2"/>
        <v>739959327.90174186</v>
      </c>
      <c r="G9" s="95">
        <f t="shared" si="3"/>
        <v>17165668.806701355</v>
      </c>
      <c r="H9" s="105">
        <f>((IFERROR(VLOOKUP($A9,'Regular Peer Group Pivot'!$1:$1048576,13,FALSE),VLOOKUP($A9,'AMC Peer Group Pivot'!$1:$1048576,13,FALSE))*1000))</f>
        <v>1245985076.0814002</v>
      </c>
      <c r="I9" s="57">
        <f>IFERROR(VLOOKUP(A9,'Regular Peer Group Pivot'!$1:$1048576,16,FALSE),VLOOKUP(A9,'AMC Peer Group Pivot'!$1:$1048576,16,FALSE))</f>
        <v>6.8784067712642408E-2</v>
      </c>
      <c r="J9" s="105">
        <f t="shared" si="4"/>
        <v>85703921.842124924</v>
      </c>
      <c r="K9" s="105">
        <f t="shared" si="5"/>
        <v>132467963.76489595</v>
      </c>
      <c r="L9" s="112">
        <f t="shared" si="6"/>
        <v>0.10246997032912965</v>
      </c>
      <c r="M9" s="58">
        <v>5</v>
      </c>
      <c r="N9" s="59">
        <f>IFERROR(VLOOKUP(M9,'Regular Peer Group Pivot'!$1:$1048576,16,FALSE),VLOOKUP(M9,'AMC Peer Group Pivot'!$1:$1048576,16,FALSE))</f>
        <v>7.8034849159897182E-2</v>
      </c>
      <c r="O9" s="59">
        <f t="shared" si="7"/>
        <v>9.0252409744513415E-2</v>
      </c>
      <c r="P9" s="59">
        <f t="shared" si="8"/>
        <v>2.1468342031871007E-2</v>
      </c>
      <c r="Q9" s="61">
        <f t="shared" si="9"/>
        <v>26749233.779922318</v>
      </c>
      <c r="R9" s="25">
        <f>VLOOKUP(A9,'[1]ICC Calculation'!$A$1:$IV$65536,26,FALSE)</f>
        <v>-0.13518424853389854</v>
      </c>
      <c r="S9" s="26">
        <f t="shared" si="10"/>
        <v>25</v>
      </c>
      <c r="T9" s="25">
        <v>0.1102975352367479</v>
      </c>
      <c r="U9" s="26">
        <f t="shared" si="11"/>
        <v>36</v>
      </c>
      <c r="V9" s="27">
        <f t="shared" si="12"/>
        <v>61</v>
      </c>
      <c r="W9" s="28">
        <f t="shared" si="13"/>
        <v>2</v>
      </c>
      <c r="X9" s="27">
        <f t="array" ref="X9">MAX(IF($AW$8:$AW$53=AW9,$W$8:$W$53))</f>
        <v>9</v>
      </c>
      <c r="Y9" s="29">
        <f t="shared" si="14"/>
        <v>0.17777777777777778</v>
      </c>
      <c r="Z9" s="30">
        <f t="shared" si="15"/>
        <v>4755419.3386528566</v>
      </c>
      <c r="AA9" s="34">
        <f>VLOOKUP($A9,PAU!$1:$1048576,9,FALSE)</f>
        <v>140986940.55999997</v>
      </c>
      <c r="AB9" s="35">
        <f>VLOOKUP($A9,PAU!$1:$1048576,30,FALSE)</f>
        <v>0.11787694151738938</v>
      </c>
      <c r="AC9" s="30">
        <f t="shared" si="16"/>
        <v>1</v>
      </c>
      <c r="AD9" s="30">
        <f t="shared" si="17"/>
        <v>78296731.28589198</v>
      </c>
      <c r="AE9" s="30">
        <f t="shared" si="18"/>
        <v>13919418.895269686</v>
      </c>
      <c r="AF9" s="33">
        <f t="shared" si="19"/>
        <v>6959709.4476348432</v>
      </c>
      <c r="AG9" s="32">
        <f t="shared" si="20"/>
        <v>11715128.786287699</v>
      </c>
      <c r="AH9" s="31">
        <f>VLOOKUP($A9,'[2]Excess Capacity'!$A$1:$IV$65536,3,FALSE)</f>
        <v>164957</v>
      </c>
      <c r="AI9" s="31">
        <f>VLOOKUP($A9,'[2]Excess Capacity'!$A$1:$IV$65536,4,FALSE)</f>
        <v>1025</v>
      </c>
      <c r="AJ9" s="31">
        <f t="shared" si="21"/>
        <v>165982</v>
      </c>
      <c r="AK9" s="31">
        <f>VLOOKUP($A9,'[2]Excess Capacity'!$A$1:$IV$65536,6,FALSE)</f>
        <v>173285</v>
      </c>
      <c r="AL9" s="31">
        <f>VLOOKUP($A9,'[2]Excess Capacity'!$A$1:$IV$65536,7,FALSE)</f>
        <v>2178</v>
      </c>
      <c r="AM9" s="31">
        <f>VLOOKUP($A9,'[2]Excess Capacity'!$A$1:$IV$65536,8,FALSE)</f>
        <v>1544</v>
      </c>
      <c r="AN9" s="31">
        <f t="shared" si="22"/>
        <v>177007</v>
      </c>
      <c r="AO9" s="36">
        <f t="shared" si="23"/>
        <v>11025</v>
      </c>
      <c r="AP9" s="87">
        <v>1201.4025549134587</v>
      </c>
      <c r="AQ9" s="86">
        <f t="shared" si="24"/>
        <v>0</v>
      </c>
      <c r="AR9" s="86">
        <f>E9+(G9*0.7)</f>
        <v>41614341.280760624</v>
      </c>
      <c r="AS9" s="95">
        <f t="shared" si="25"/>
        <v>11715128.786287699</v>
      </c>
      <c r="AT9" s="115">
        <f t="shared" si="26"/>
        <v>0.25051574467482457</v>
      </c>
      <c r="AU9" s="136">
        <f>VLOOKUP(A9,[3]Sheet2!$B:$D,3,FALSE)</f>
        <v>1.0953337535721144</v>
      </c>
      <c r="AV9" s="38">
        <f t="shared" si="27"/>
        <v>12831975.987065233</v>
      </c>
      <c r="AW9" s="27">
        <f t="shared" si="28"/>
        <v>5</v>
      </c>
      <c r="AX9" s="38"/>
    </row>
    <row r="10" spans="1:50" s="37" customFormat="1" x14ac:dyDescent="0.55000000000000004">
      <c r="A10" s="23">
        <v>210003</v>
      </c>
      <c r="B10" s="24" t="s">
        <v>110</v>
      </c>
      <c r="C10" s="32">
        <v>300638377.64481968</v>
      </c>
      <c r="D10" s="149">
        <f t="shared" si="0"/>
        <v>150319188.82240984</v>
      </c>
      <c r="E10" s="95">
        <f t="shared" si="1"/>
        <v>6012767.5528963935</v>
      </c>
      <c r="F10" s="96">
        <f t="shared" si="2"/>
        <v>150319188.82240984</v>
      </c>
      <c r="G10" s="95">
        <f t="shared" si="3"/>
        <v>3487123.2962686964</v>
      </c>
      <c r="H10" s="105">
        <f>((IFERROR(VLOOKUP($A10,'Regular Peer Group Pivot'!$1:$1048576,13,FALSE),VLOOKUP($A10,'AMC Peer Group Pivot'!$1:$1048576,13,FALSE))*1000))</f>
        <v>240414549.07346722</v>
      </c>
      <c r="I10" s="57">
        <f>IFERROR(VLOOKUP(A10,'Regular Peer Group Pivot'!$1:$1048576,16,FALSE),VLOOKUP(A10,'AMC Peer Group Pivot'!$1:$1048576,16,FALSE))</f>
        <v>3.7257779621766358E-2</v>
      </c>
      <c r="J10" s="105">
        <f t="shared" si="4"/>
        <v>8957312.2872455753</v>
      </c>
      <c r="K10" s="105">
        <f t="shared" si="5"/>
        <v>18457203.136410665</v>
      </c>
      <c r="L10" s="112">
        <f t="shared" si="6"/>
        <v>7.3854088391709524E-2</v>
      </c>
      <c r="M10" s="58">
        <v>4</v>
      </c>
      <c r="N10" s="59">
        <f>IFERROR(VLOOKUP(M10,'Regular Peer Group Pivot'!$1:$1048576,16,FALSE),VLOOKUP(M10,'AMC Peer Group Pivot'!$1:$1048576,16,FALSE))</f>
        <v>7.6134151077943316E-2</v>
      </c>
      <c r="O10" s="59">
        <f t="shared" si="7"/>
        <v>7.499411973482642E-2</v>
      </c>
      <c r="P10" s="59">
        <f t="shared" si="8"/>
        <v>3.7736340113060061E-2</v>
      </c>
      <c r="Q10" s="61">
        <f t="shared" si="9"/>
        <v>9072365.1919643283</v>
      </c>
      <c r="R10" s="25">
        <f>VLOOKUP(A10,'[1]ICC Calculation'!$A$1:$IV$65536,26,FALSE)</f>
        <v>-5.8062045003014151E-2</v>
      </c>
      <c r="S10" s="26">
        <f t="shared" si="10"/>
        <v>11</v>
      </c>
      <c r="T10" s="25">
        <v>0.10400289690138087</v>
      </c>
      <c r="U10" s="26">
        <f t="shared" si="11"/>
        <v>32</v>
      </c>
      <c r="V10" s="27">
        <f t="shared" si="12"/>
        <v>43</v>
      </c>
      <c r="W10" s="28">
        <f t="shared" si="13"/>
        <v>9</v>
      </c>
      <c r="X10" s="27">
        <f t="array" ref="X10">MAX(IF($AW$8:$AW$53=AW10,$W$8:$W$53))</f>
        <v>9</v>
      </c>
      <c r="Y10" s="29">
        <f t="shared" si="14"/>
        <v>0.62222222222222223</v>
      </c>
      <c r="Z10" s="30">
        <f t="shared" si="15"/>
        <v>5645027.2305555819</v>
      </c>
      <c r="AA10" s="34">
        <f>VLOOKUP($A10,PAU!$1:$1048576,9,FALSE)</f>
        <v>46645860.020000011</v>
      </c>
      <c r="AB10" s="35">
        <f>VLOOKUP($A10,PAU!$1:$1048576,30,FALSE)</f>
        <v>0.19373943813357083</v>
      </c>
      <c r="AC10" s="30">
        <f t="shared" si="16"/>
        <v>2</v>
      </c>
      <c r="AD10" s="30">
        <f t="shared" si="17"/>
        <v>2370790.5035632998</v>
      </c>
      <c r="AE10" s="30">
        <f t="shared" si="18"/>
        <v>1475158.5355504977</v>
      </c>
      <c r="AF10" s="33">
        <f t="shared" si="19"/>
        <v>737579.26777524885</v>
      </c>
      <c r="AG10" s="32">
        <f t="shared" si="20"/>
        <v>6382606.4983308306</v>
      </c>
      <c r="AH10" s="31">
        <f>VLOOKUP($A10,'[2]Excess Capacity'!$A$1:$IV$65536,3,FALSE)</f>
        <v>72965</v>
      </c>
      <c r="AI10" s="31">
        <f>VLOOKUP($A10,'[2]Excess Capacity'!$A$1:$IV$65536,4,FALSE)</f>
        <v>584</v>
      </c>
      <c r="AJ10" s="31">
        <f t="shared" si="21"/>
        <v>73549</v>
      </c>
      <c r="AK10" s="31">
        <f>VLOOKUP($A10,'[2]Excess Capacity'!$A$1:$IV$65536,6,FALSE)</f>
        <v>63743</v>
      </c>
      <c r="AL10" s="31">
        <f>VLOOKUP($A10,'[2]Excess Capacity'!$A$1:$IV$65536,7,FALSE)</f>
        <v>1357</v>
      </c>
      <c r="AM10" s="31">
        <f>VLOOKUP($A10,'[2]Excess Capacity'!$A$1:$IV$65536,8,FALSE)</f>
        <v>136</v>
      </c>
      <c r="AN10" s="31">
        <f t="shared" si="22"/>
        <v>65236</v>
      </c>
      <c r="AO10" s="36">
        <f t="shared" si="23"/>
        <v>-8313</v>
      </c>
      <c r="AP10" s="87">
        <v>1201.4025549134587</v>
      </c>
      <c r="AQ10" s="86">
        <f t="shared" si="24"/>
        <v>-9987259.438995583</v>
      </c>
      <c r="AR10" s="86">
        <f t="shared" ref="AR10:AR53" si="29">(SLN($D10,$E$1,$E$2)+(CUMIPMT($G$1/12,$G$2,$F10,1,$G$2,0)/(-$G$2/12)*0.7))</f>
        <v>8453753.8602844812</v>
      </c>
      <c r="AS10" s="95">
        <f t="shared" si="25"/>
        <v>-3604652.9406647524</v>
      </c>
      <c r="AT10" s="115">
        <f t="shared" si="26"/>
        <v>-0.379441511265527</v>
      </c>
      <c r="AU10" s="136">
        <f>VLOOKUP(A10,[3]Sheet2!$B:$D,3,FALSE)</f>
        <v>1.0963306121172727</v>
      </c>
      <c r="AV10" s="38">
        <f t="shared" si="27"/>
        <v>-3951891.364909315</v>
      </c>
      <c r="AW10" s="27">
        <f t="shared" si="28"/>
        <v>2</v>
      </c>
      <c r="AX10" s="38"/>
    </row>
    <row r="11" spans="1:50" s="37" customFormat="1" x14ac:dyDescent="0.55000000000000004">
      <c r="A11" s="23">
        <v>210005</v>
      </c>
      <c r="B11" s="24" t="s">
        <v>100</v>
      </c>
      <c r="C11" s="32">
        <v>354281013.4094342</v>
      </c>
      <c r="D11" s="149">
        <f t="shared" si="0"/>
        <v>177140506.7047171</v>
      </c>
      <c r="E11" s="95">
        <f t="shared" si="1"/>
        <v>7085620.2681886842</v>
      </c>
      <c r="F11" s="96">
        <f t="shared" si="2"/>
        <v>177140506.7047171</v>
      </c>
      <c r="G11" s="95">
        <f t="shared" si="3"/>
        <v>4109327.5747558526</v>
      </c>
      <c r="H11" s="105">
        <f>((IFERROR(VLOOKUP($A11,'Regular Peer Group Pivot'!$1:$1048576,13,FALSE),VLOOKUP($A11,'AMC Peer Group Pivot'!$1:$1048576,13,FALSE))*1000))</f>
        <v>253917293.26275024</v>
      </c>
      <c r="I11" s="57">
        <f>IFERROR(VLOOKUP(A11,'Regular Peer Group Pivot'!$1:$1048576,16,FALSE),VLOOKUP(A11,'AMC Peer Group Pivot'!$1:$1048576,16,FALSE))</f>
        <v>9.0659125739321056E-2</v>
      </c>
      <c r="J11" s="105">
        <f t="shared" si="4"/>
        <v>23019919.817295734</v>
      </c>
      <c r="K11" s="105">
        <f t="shared" si="5"/>
        <v>34214867.66024027</v>
      </c>
      <c r="L11" s="112">
        <f t="shared" si="6"/>
        <v>0.12905804544347504</v>
      </c>
      <c r="M11" s="58">
        <v>3</v>
      </c>
      <c r="N11" s="59">
        <f>IFERROR(VLOOKUP(M11,'Regular Peer Group Pivot'!$1:$1048576,16,FALSE),VLOOKUP(M11,'AMC Peer Group Pivot'!$1:$1048576,16,FALSE))</f>
        <v>9.0115883593839347E-2</v>
      </c>
      <c r="O11" s="59">
        <f t="shared" si="7"/>
        <v>0.1095869645186572</v>
      </c>
      <c r="P11" s="59">
        <f t="shared" si="8"/>
        <v>1.892783877933614E-2</v>
      </c>
      <c r="Q11" s="61">
        <f t="shared" si="9"/>
        <v>4806105.5901627513</v>
      </c>
      <c r="R11" s="25">
        <f>VLOOKUP(A11,'[1]ICC Calculation'!$A$1:$IV$65536,26,FALSE)</f>
        <v>-9.1489484629702633E-2</v>
      </c>
      <c r="S11" s="26">
        <f t="shared" si="10"/>
        <v>18</v>
      </c>
      <c r="T11" s="25">
        <v>6.8752655148418995E-2</v>
      </c>
      <c r="U11" s="26">
        <f t="shared" si="11"/>
        <v>16</v>
      </c>
      <c r="V11" s="27">
        <f t="shared" si="12"/>
        <v>34</v>
      </c>
      <c r="W11" s="28">
        <f t="shared" si="13"/>
        <v>2</v>
      </c>
      <c r="X11" s="27">
        <f t="array" ref="X11">MAX(IF($AW$8:$AW$53=AW11,$W$8:$W$53))</f>
        <v>9</v>
      </c>
      <c r="Y11" s="29">
        <f t="shared" si="14"/>
        <v>0.77777777777777779</v>
      </c>
      <c r="Z11" s="30">
        <f t="shared" si="15"/>
        <v>3738082.1256821398</v>
      </c>
      <c r="AA11" s="34">
        <f>VLOOKUP($A11,PAU!$1:$1048576,9,FALSE)</f>
        <v>48407131.12000002</v>
      </c>
      <c r="AB11" s="35">
        <f>VLOOKUP($A11,PAU!$1:$1048576,30,FALSE)</f>
        <v>0.19641021926564589</v>
      </c>
      <c r="AC11" s="30">
        <f t="shared" si="16"/>
        <v>2</v>
      </c>
      <c r="AD11" s="30">
        <f t="shared" si="17"/>
        <v>1768613.53108567</v>
      </c>
      <c r="AE11" s="30">
        <f t="shared" si="18"/>
        <v>1375588.3019555211</v>
      </c>
      <c r="AF11" s="33">
        <f t="shared" si="19"/>
        <v>687794.15097776055</v>
      </c>
      <c r="AG11" s="32">
        <f t="shared" si="20"/>
        <v>4425876.2766599003</v>
      </c>
      <c r="AH11" s="31">
        <f>VLOOKUP($A11,'[2]Excess Capacity'!$A$1:$IV$65536,3,FALSE)</f>
        <v>72896</v>
      </c>
      <c r="AI11" s="31">
        <f>VLOOKUP($A11,'[2]Excess Capacity'!$A$1:$IV$65536,4,FALSE)</f>
        <v>880</v>
      </c>
      <c r="AJ11" s="31">
        <f t="shared" si="21"/>
        <v>73776</v>
      </c>
      <c r="AK11" s="31">
        <f>VLOOKUP($A11,'[2]Excess Capacity'!$A$1:$IV$65536,6,FALSE)</f>
        <v>70012</v>
      </c>
      <c r="AL11" s="31">
        <f>VLOOKUP($A11,'[2]Excess Capacity'!$A$1:$IV$65536,7,FALSE)</f>
        <v>1802</v>
      </c>
      <c r="AM11" s="31">
        <f>VLOOKUP($A11,'[2]Excess Capacity'!$A$1:$IV$65536,8,FALSE)</f>
        <v>541</v>
      </c>
      <c r="AN11" s="31">
        <f t="shared" si="22"/>
        <v>72355</v>
      </c>
      <c r="AO11" s="36">
        <f t="shared" si="23"/>
        <v>-1421</v>
      </c>
      <c r="AP11" s="87">
        <v>1201.4025549134587</v>
      </c>
      <c r="AQ11" s="86">
        <f t="shared" si="24"/>
        <v>-1707193.0305320248</v>
      </c>
      <c r="AR11" s="86">
        <f t="shared" si="29"/>
        <v>9962149.5705177803</v>
      </c>
      <c r="AS11" s="95">
        <f t="shared" si="25"/>
        <v>2718683.2461278755</v>
      </c>
      <c r="AT11" s="115">
        <f t="shared" si="26"/>
        <v>0.24284912125260938</v>
      </c>
      <c r="AU11" s="136">
        <f>VLOOKUP(A11,[3]Sheet2!$B:$D,3,FALSE)</f>
        <v>1.0916089502900421</v>
      </c>
      <c r="AV11" s="38">
        <f t="shared" si="27"/>
        <v>2967738.9644767744</v>
      </c>
      <c r="AW11" s="27">
        <f t="shared" si="28"/>
        <v>2</v>
      </c>
      <c r="AX11" s="38"/>
    </row>
    <row r="12" spans="1:50" s="37" customFormat="1" x14ac:dyDescent="0.55000000000000004">
      <c r="A12" s="23">
        <v>210006</v>
      </c>
      <c r="B12" s="24" t="s">
        <v>92</v>
      </c>
      <c r="C12" s="32">
        <v>108576350.35068998</v>
      </c>
      <c r="D12" s="149">
        <f t="shared" si="0"/>
        <v>54288175.175344989</v>
      </c>
      <c r="E12" s="95">
        <f t="shared" si="1"/>
        <v>2171527.0070137996</v>
      </c>
      <c r="F12" s="96">
        <f t="shared" si="2"/>
        <v>54288175.175344989</v>
      </c>
      <c r="G12" s="95">
        <f t="shared" si="3"/>
        <v>1259383.8607625514</v>
      </c>
      <c r="H12" s="105">
        <f>((IFERROR(VLOOKUP($A12,'Regular Peer Group Pivot'!$1:$1048576,13,FALSE),VLOOKUP($A12,'AMC Peer Group Pivot'!$1:$1048576,13,FALSE))*1000))</f>
        <v>83338100.00000003</v>
      </c>
      <c r="I12" s="57">
        <f>IFERROR(VLOOKUP(A12,'Regular Peer Group Pivot'!$1:$1048576,16,FALSE),VLOOKUP(A12,'AMC Peer Group Pivot'!$1:$1048576,16,FALSE))</f>
        <v>6.3817857618544208E-2</v>
      </c>
      <c r="J12" s="105">
        <f t="shared" si="4"/>
        <v>5318459.0000000009</v>
      </c>
      <c r="K12" s="105">
        <f t="shared" si="5"/>
        <v>8749369.8677763529</v>
      </c>
      <c r="L12" s="112">
        <f t="shared" si="6"/>
        <v>0.10083519196858366</v>
      </c>
      <c r="M12" s="58">
        <v>3</v>
      </c>
      <c r="N12" s="59">
        <f>IFERROR(VLOOKUP(M12,'Regular Peer Group Pivot'!$1:$1048576,16,FALSE),VLOOKUP(M12,'AMC Peer Group Pivot'!$1:$1048576,16,FALSE))</f>
        <v>9.0115883593839347E-2</v>
      </c>
      <c r="O12" s="59">
        <f t="shared" si="7"/>
        <v>9.5475537781211511E-2</v>
      </c>
      <c r="P12" s="59">
        <f t="shared" si="8"/>
        <v>3.1657680162667304E-2</v>
      </c>
      <c r="Q12" s="61">
        <f t="shared" si="9"/>
        <v>2638290.915164385</v>
      </c>
      <c r="R12" s="25">
        <f>VLOOKUP(A12,'[1]ICC Calculation'!$A$1:$IV$65536,26,FALSE)</f>
        <v>-0.14760395986082464</v>
      </c>
      <c r="S12" s="26">
        <f t="shared" si="10"/>
        <v>27</v>
      </c>
      <c r="T12" s="25">
        <v>3.4431015492998984E-2</v>
      </c>
      <c r="U12" s="26">
        <f t="shared" si="11"/>
        <v>2</v>
      </c>
      <c r="V12" s="27">
        <f t="shared" si="12"/>
        <v>29</v>
      </c>
      <c r="W12" s="28">
        <f t="shared" si="13"/>
        <v>6</v>
      </c>
      <c r="X12" s="27">
        <f t="array" ref="X12">MAX(IF($AW$8:$AW$53=AW12,$W$8:$W$53))</f>
        <v>9</v>
      </c>
      <c r="Y12" s="29">
        <f t="shared" si="14"/>
        <v>0.88888888888888895</v>
      </c>
      <c r="Z12" s="30">
        <f t="shared" si="15"/>
        <v>2345147.4801461203</v>
      </c>
      <c r="AA12" s="34">
        <f>VLOOKUP($A12,PAU!$1:$1048576,9,FALSE)</f>
        <v>19211374.769999996</v>
      </c>
      <c r="AB12" s="35">
        <f>VLOOKUP($A12,PAU!$1:$1048576,30,FALSE)</f>
        <v>0.28321835970881104</v>
      </c>
      <c r="AC12" s="30">
        <f t="shared" si="16"/>
        <v>5</v>
      </c>
      <c r="AD12" s="30">
        <f t="shared" si="17"/>
        <v>-4440487.431572251</v>
      </c>
      <c r="AE12" s="30">
        <f t="shared" si="18"/>
        <v>-4933874.9239691682</v>
      </c>
      <c r="AF12" s="33">
        <f t="shared" si="19"/>
        <v>0</v>
      </c>
      <c r="AG12" s="32">
        <f t="shared" si="20"/>
        <v>2345147.4801461203</v>
      </c>
      <c r="AH12" s="31">
        <f>VLOOKUP($A12,'[2]Excess Capacity'!$A$1:$IV$65536,3,FALSE)</f>
        <v>26413</v>
      </c>
      <c r="AI12" s="31">
        <f>VLOOKUP($A12,'[2]Excess Capacity'!$A$1:$IV$65536,4,FALSE)</f>
        <v>105</v>
      </c>
      <c r="AJ12" s="31">
        <f t="shared" si="21"/>
        <v>26518</v>
      </c>
      <c r="AK12" s="31">
        <f>VLOOKUP($A12,'[2]Excess Capacity'!$A$1:$IV$65536,6,FALSE)</f>
        <v>21520</v>
      </c>
      <c r="AL12" s="31">
        <f>VLOOKUP($A12,'[2]Excess Capacity'!$A$1:$IV$65536,7,FALSE)</f>
        <v>2593</v>
      </c>
      <c r="AM12" s="31">
        <f>VLOOKUP($A12,'[2]Excess Capacity'!$A$1:$IV$65536,8,FALSE)</f>
        <v>106</v>
      </c>
      <c r="AN12" s="31">
        <f t="shared" si="22"/>
        <v>24219</v>
      </c>
      <c r="AO12" s="36">
        <f t="shared" si="23"/>
        <v>-2299</v>
      </c>
      <c r="AP12" s="87">
        <v>1201.4025549134587</v>
      </c>
      <c r="AQ12" s="86">
        <f t="shared" si="24"/>
        <v>-2762024.4737460418</v>
      </c>
      <c r="AR12" s="86">
        <f t="shared" si="29"/>
        <v>3053095.7095475858</v>
      </c>
      <c r="AS12" s="95">
        <f t="shared" si="25"/>
        <v>-416876.99359992146</v>
      </c>
      <c r="AT12" s="115">
        <f t="shared" si="26"/>
        <v>-0.1215062150157543</v>
      </c>
      <c r="AU12" s="136">
        <f>VLOOKUP(A12,[3]Sheet2!$B:$D,3,FALSE)</f>
        <v>1.0939146714145691</v>
      </c>
      <c r="AV12" s="38">
        <f t="shared" si="27"/>
        <v>-456027.85947415151</v>
      </c>
      <c r="AW12" s="27">
        <f t="shared" si="28"/>
        <v>1</v>
      </c>
      <c r="AX12" s="38"/>
    </row>
    <row r="13" spans="1:50" s="37" customFormat="1" x14ac:dyDescent="0.55000000000000004">
      <c r="A13" s="23">
        <v>210008</v>
      </c>
      <c r="B13" s="24" t="s">
        <v>97</v>
      </c>
      <c r="C13" s="32">
        <v>554225728.7251488</v>
      </c>
      <c r="D13" s="149">
        <f t="shared" si="0"/>
        <v>277112864.3625744</v>
      </c>
      <c r="E13" s="95">
        <f t="shared" si="1"/>
        <v>11084514.574502977</v>
      </c>
      <c r="F13" s="96">
        <f t="shared" si="2"/>
        <v>277112864.3625744</v>
      </c>
      <c r="G13" s="95">
        <f t="shared" si="3"/>
        <v>6428498.8003502246</v>
      </c>
      <c r="H13" s="105">
        <f>((IFERROR(VLOOKUP($A13,'Regular Peer Group Pivot'!$1:$1048576,13,FALSE),VLOOKUP($A13,'AMC Peer Group Pivot'!$1:$1048576,13,FALSE))*1000))</f>
        <v>450635705.85682201</v>
      </c>
      <c r="I13" s="57">
        <f>IFERROR(VLOOKUP(A13,'Regular Peer Group Pivot'!$1:$1048576,16,FALSE),VLOOKUP(A13,'AMC Peer Group Pivot'!$1:$1048576,16,FALSE))</f>
        <v>0.10947689976363009</v>
      </c>
      <c r="J13" s="105">
        <f t="shared" si="4"/>
        <v>49334200</v>
      </c>
      <c r="K13" s="105">
        <f t="shared" si="5"/>
        <v>66847213.374853201</v>
      </c>
      <c r="L13" s="112">
        <f t="shared" si="6"/>
        <v>0.14279055058521298</v>
      </c>
      <c r="M13" s="58">
        <v>4</v>
      </c>
      <c r="N13" s="59">
        <f>IFERROR(VLOOKUP(M13,'Regular Peer Group Pivot'!$1:$1048576,16,FALSE),VLOOKUP(M13,'AMC Peer Group Pivot'!$1:$1048576,16,FALSE))</f>
        <v>7.6134151077943316E-2</v>
      </c>
      <c r="O13" s="59">
        <f t="shared" si="7"/>
        <v>0.10946235083157815</v>
      </c>
      <c r="P13" s="59">
        <f t="shared" si="8"/>
        <v>-1.4548932051938746E-5</v>
      </c>
      <c r="Q13" s="61">
        <f t="shared" si="9"/>
        <v>-6556.2682646883586</v>
      </c>
      <c r="R13" s="25">
        <f>VLOOKUP(A13,'[1]ICC Calculation'!$A$1:$IV$65536,26,FALSE)</f>
        <v>1.4603732368277944E-2</v>
      </c>
      <c r="S13" s="26">
        <f t="shared" si="10"/>
        <v>1</v>
      </c>
      <c r="T13" s="25">
        <v>9.2262393786011865E-2</v>
      </c>
      <c r="U13" s="26">
        <f t="shared" si="11"/>
        <v>29</v>
      </c>
      <c r="V13" s="27">
        <f t="shared" si="12"/>
        <v>30</v>
      </c>
      <c r="W13" s="28">
        <f t="shared" si="13"/>
        <v>8</v>
      </c>
      <c r="X13" s="27">
        <f t="array" ref="X13">MAX(IF($AW$8:$AW$53=AW13,$W$8:$W$53))</f>
        <v>9</v>
      </c>
      <c r="Y13" s="29">
        <f t="shared" si="14"/>
        <v>0.84444444444444444</v>
      </c>
      <c r="Z13" s="30">
        <f t="shared" si="15"/>
        <v>-7576.1322169732139</v>
      </c>
      <c r="AA13" s="34">
        <f>VLOOKUP($A13,PAU!$1:$1048576,9,FALSE)</f>
        <v>32392983.130000006</v>
      </c>
      <c r="AB13" s="35">
        <f>VLOOKUP($A13,PAU!$1:$1048576,30,FALSE)</f>
        <v>0.13161302811797612</v>
      </c>
      <c r="AC13" s="30">
        <f t="shared" si="16"/>
        <v>1</v>
      </c>
      <c r="AD13" s="30">
        <f t="shared" si="17"/>
        <v>16111859.5589105</v>
      </c>
      <c r="AE13" s="30">
        <f t="shared" si="18"/>
        <v>13605570.294191089</v>
      </c>
      <c r="AF13" s="33">
        <f t="shared" si="19"/>
        <v>6802785.1470955443</v>
      </c>
      <c r="AG13" s="32">
        <f t="shared" si="20"/>
        <v>6795209.014878571</v>
      </c>
      <c r="AH13" s="31">
        <f>VLOOKUP($A13,'[2]Excess Capacity'!$A$1:$IV$65536,3,FALSE)</f>
        <v>62042</v>
      </c>
      <c r="AI13" s="31">
        <f>VLOOKUP($A13,'[2]Excess Capacity'!$A$1:$IV$65536,4,FALSE)</f>
        <v>1193</v>
      </c>
      <c r="AJ13" s="31">
        <f t="shared" si="21"/>
        <v>63235</v>
      </c>
      <c r="AK13" s="31">
        <f>VLOOKUP($A13,'[2]Excess Capacity'!$A$1:$IV$65536,6,FALSE)</f>
        <v>46305</v>
      </c>
      <c r="AL13" s="31">
        <f>VLOOKUP($A13,'[2]Excess Capacity'!$A$1:$IV$65536,7,FALSE)</f>
        <v>2655</v>
      </c>
      <c r="AM13" s="31">
        <f>VLOOKUP($A13,'[2]Excess Capacity'!$A$1:$IV$65536,8,FALSE)</f>
        <v>1758</v>
      </c>
      <c r="AN13" s="31">
        <f t="shared" si="22"/>
        <v>50718</v>
      </c>
      <c r="AO13" s="36">
        <f t="shared" si="23"/>
        <v>-12517</v>
      </c>
      <c r="AP13" s="87">
        <v>1201.4025549134587</v>
      </c>
      <c r="AQ13" s="86">
        <f t="shared" si="24"/>
        <v>-15037955.779851763</v>
      </c>
      <c r="AR13" s="86">
        <f t="shared" si="29"/>
        <v>15584463.734748133</v>
      </c>
      <c r="AS13" s="95">
        <f t="shared" si="25"/>
        <v>-8242746.7649731915</v>
      </c>
      <c r="AT13" s="115">
        <f t="shared" si="26"/>
        <v>-0.47066410494546229</v>
      </c>
      <c r="AU13" s="136">
        <f>VLOOKUP(A13,[3]Sheet2!$B:$D,3,FALSE)</f>
        <v>1.0915692701204411</v>
      </c>
      <c r="AV13" s="38">
        <f t="shared" si="27"/>
        <v>-8997529.0700294133</v>
      </c>
      <c r="AW13" s="27">
        <f t="shared" si="28"/>
        <v>1</v>
      </c>
      <c r="AX13" s="38"/>
    </row>
    <row r="14" spans="1:50" s="37" customFormat="1" x14ac:dyDescent="0.55000000000000004">
      <c r="A14" s="23">
        <v>210009</v>
      </c>
      <c r="B14" s="24" t="s">
        <v>79</v>
      </c>
      <c r="C14" s="32">
        <v>2473041086.781435</v>
      </c>
      <c r="D14" s="149">
        <f t="shared" si="0"/>
        <v>1236520543.3907175</v>
      </c>
      <c r="E14" s="95">
        <f t="shared" si="1"/>
        <v>49460821.735628702</v>
      </c>
      <c r="F14" s="96">
        <f t="shared" si="2"/>
        <v>1236520543.3907175</v>
      </c>
      <c r="G14" s="95">
        <f t="shared" si="3"/>
        <v>28684957.83506899</v>
      </c>
      <c r="H14" s="105">
        <f>((IFERROR(VLOOKUP($A14,'Regular Peer Group Pivot'!$1:$1048576,13,FALSE),VLOOKUP($A14,'AMC Peer Group Pivot'!$1:$1048576,13,FALSE))*1000))</f>
        <v>2045292980.158</v>
      </c>
      <c r="I14" s="57">
        <f>IFERROR(VLOOKUP(A14,'Regular Peer Group Pivot'!$1:$1048576,16,FALSE),VLOOKUP(A14,'AMC Peer Group Pivot'!$1:$1048576,16,FALSE))</f>
        <v>9.2003933825394235E-2</v>
      </c>
      <c r="J14" s="105">
        <f t="shared" si="4"/>
        <v>188175000</v>
      </c>
      <c r="K14" s="105">
        <f t="shared" si="5"/>
        <v>266320779.5706977</v>
      </c>
      <c r="L14" s="112">
        <f t="shared" si="6"/>
        <v>0.12541957160315012</v>
      </c>
      <c r="M14" s="58">
        <v>5</v>
      </c>
      <c r="N14" s="59">
        <f>IFERROR(VLOOKUP(M14,'Regular Peer Group Pivot'!$1:$1048576,16,FALSE),VLOOKUP(M14,'AMC Peer Group Pivot'!$1:$1048576,16,FALSE))</f>
        <v>7.8034849159897182E-2</v>
      </c>
      <c r="O14" s="59">
        <f t="shared" si="7"/>
        <v>0.10172721038152366</v>
      </c>
      <c r="P14" s="59">
        <f t="shared" si="8"/>
        <v>9.7232765561294232E-3</v>
      </c>
      <c r="Q14" s="61">
        <f t="shared" si="9"/>
        <v>19886949.284386363</v>
      </c>
      <c r="R14" s="25">
        <f>VLOOKUP(A14,'[1]ICC Calculation'!$A$1:$IV$65536,26,FALSE)</f>
        <v>-7.0782851553173876E-2</v>
      </c>
      <c r="S14" s="26">
        <f t="shared" si="10"/>
        <v>14</v>
      </c>
      <c r="T14" s="25">
        <v>3.8054732415290671E-2</v>
      </c>
      <c r="U14" s="26">
        <f t="shared" si="11"/>
        <v>5</v>
      </c>
      <c r="V14" s="27">
        <f t="shared" si="12"/>
        <v>19</v>
      </c>
      <c r="W14" s="28">
        <f t="shared" si="13"/>
        <v>3</v>
      </c>
      <c r="X14" s="27">
        <f t="array" ref="X14">MAX(IF($AW$8:$AW$53=AW14,$W$8:$W$53))</f>
        <v>9</v>
      </c>
      <c r="Y14" s="29">
        <f t="shared" si="14"/>
        <v>0.9555555555555556</v>
      </c>
      <c r="Z14" s="30">
        <f t="shared" si="15"/>
        <v>19003084.871746968</v>
      </c>
      <c r="AA14" s="34">
        <f>VLOOKUP($A14,PAU!$1:$1048576,9,FALSE)</f>
        <v>223797346.57999995</v>
      </c>
      <c r="AB14" s="35">
        <f>VLOOKUP($A14,PAU!$1:$1048576,30,FALSE)</f>
        <v>0.14872681793183193</v>
      </c>
      <c r="AC14" s="30">
        <f t="shared" si="16"/>
        <v>1</v>
      </c>
      <c r="AD14" s="30">
        <f t="shared" si="17"/>
        <v>82550060.808992237</v>
      </c>
      <c r="AE14" s="30">
        <f t="shared" si="18"/>
        <v>78881169.217481479</v>
      </c>
      <c r="AF14" s="33">
        <f t="shared" si="19"/>
        <v>39440584.60874074</v>
      </c>
      <c r="AG14" s="32">
        <f t="shared" si="20"/>
        <v>58443669.480487704</v>
      </c>
      <c r="AH14" s="31">
        <f>VLOOKUP($A14,'[2]Excess Capacity'!$A$1:$IV$65536,3,FALSE)</f>
        <v>260816</v>
      </c>
      <c r="AI14" s="31">
        <f>VLOOKUP($A14,'[2]Excess Capacity'!$A$1:$IV$65536,4,FALSE)</f>
        <v>1657</v>
      </c>
      <c r="AJ14" s="31">
        <f t="shared" si="21"/>
        <v>262473</v>
      </c>
      <c r="AK14" s="31">
        <f>VLOOKUP($A14,'[2]Excess Capacity'!$A$1:$IV$65536,6,FALSE)</f>
        <v>293944</v>
      </c>
      <c r="AL14" s="31">
        <f>VLOOKUP($A14,'[2]Excess Capacity'!$A$1:$IV$65536,7,FALSE)</f>
        <v>2249</v>
      </c>
      <c r="AM14" s="31">
        <f>VLOOKUP($A14,'[2]Excess Capacity'!$A$1:$IV$65536,8,FALSE)</f>
        <v>3454</v>
      </c>
      <c r="AN14" s="31">
        <f t="shared" si="22"/>
        <v>299647</v>
      </c>
      <c r="AO14" s="36">
        <f t="shared" si="23"/>
        <v>37174</v>
      </c>
      <c r="AP14" s="87">
        <v>1201.4025549134587</v>
      </c>
      <c r="AQ14" s="86">
        <f t="shared" si="24"/>
        <v>0</v>
      </c>
      <c r="AR14" s="86">
        <f t="shared" si="29"/>
        <v>69540292.220176995</v>
      </c>
      <c r="AS14" s="95">
        <f t="shared" si="25"/>
        <v>58443669.480487704</v>
      </c>
      <c r="AT14" s="115">
        <f t="shared" si="26"/>
        <v>0.74788004933285368</v>
      </c>
      <c r="AU14" s="136">
        <f>VLOOKUP(A14,[3]Sheet2!$B:$D,3,FALSE)</f>
        <v>1.0878263145968667</v>
      </c>
      <c r="AV14" s="38">
        <f t="shared" si="27"/>
        <v>63576561.582476318</v>
      </c>
      <c r="AW14" s="27">
        <f t="shared" si="28"/>
        <v>1</v>
      </c>
      <c r="AX14" s="38"/>
    </row>
    <row r="15" spans="1:50" s="37" customFormat="1" x14ac:dyDescent="0.55000000000000004">
      <c r="A15" s="23">
        <v>210010</v>
      </c>
      <c r="B15" s="24" t="s">
        <v>106</v>
      </c>
      <c r="C15" s="32">
        <v>48167552.390313245</v>
      </c>
      <c r="D15" s="149">
        <f t="shared" si="0"/>
        <v>24083776.195156623</v>
      </c>
      <c r="E15" s="95">
        <f t="shared" si="1"/>
        <v>963351.04780626495</v>
      </c>
      <c r="F15" s="96">
        <f t="shared" si="2"/>
        <v>24083776.195156623</v>
      </c>
      <c r="G15" s="95">
        <f t="shared" si="3"/>
        <v>558698.44489030272</v>
      </c>
      <c r="H15" s="105">
        <f>((IFERROR(VLOOKUP($A15,'Regular Peer Group Pivot'!$1:$1048576,13,FALSE),VLOOKUP($A15,'AMC Peer Group Pivot'!$1:$1048576,13,FALSE))*1000))</f>
        <v>38031016.407558806</v>
      </c>
      <c r="I15" s="57">
        <f>IFERROR(VLOOKUP(A15,'Regular Peer Group Pivot'!$1:$1048576,16,FALSE),VLOOKUP(A15,'AMC Peer Group Pivot'!$1:$1048576,16,FALSE))</f>
        <v>7.9596915934992504E-2</v>
      </c>
      <c r="J15" s="105">
        <f t="shared" si="4"/>
        <v>3027151.6159147788</v>
      </c>
      <c r="K15" s="105">
        <f t="shared" si="5"/>
        <v>4549201.1086113462</v>
      </c>
      <c r="L15" s="112">
        <f t="shared" si="6"/>
        <v>0.11501513233091684</v>
      </c>
      <c r="M15" s="58">
        <v>3</v>
      </c>
      <c r="N15" s="59">
        <f>IFERROR(VLOOKUP(M15,'Regular Peer Group Pivot'!$1:$1048576,16,FALSE),VLOOKUP(M15,'AMC Peer Group Pivot'!$1:$1048576,16,FALSE))</f>
        <v>9.0115883593839347E-2</v>
      </c>
      <c r="O15" s="59">
        <f t="shared" si="7"/>
        <v>0.10256550796237809</v>
      </c>
      <c r="P15" s="59">
        <f t="shared" si="8"/>
        <v>2.296859202738559E-2</v>
      </c>
      <c r="Q15" s="61">
        <f t="shared" si="9"/>
        <v>873518.90025202581</v>
      </c>
      <c r="R15" s="25">
        <f>VLOOKUP(A15,'[1]ICC Calculation'!$A$1:$IV$65536,26,FALSE)</f>
        <v>-0.18578890302961504</v>
      </c>
      <c r="S15" s="26">
        <f t="shared" si="10"/>
        <v>34</v>
      </c>
      <c r="T15" s="25">
        <f>SUMIF(A:A,210037,T:T)</f>
        <v>5.6656591438769111E-2</v>
      </c>
      <c r="U15" s="26">
        <f t="shared" si="11"/>
        <v>10</v>
      </c>
      <c r="V15" s="27">
        <f t="shared" si="12"/>
        <v>44</v>
      </c>
      <c r="W15" s="28">
        <f t="shared" si="13"/>
        <v>1</v>
      </c>
      <c r="X15" s="27">
        <f t="array" ref="X15">MAX(IF($AW$8:$AW$53=AW15,$W$8:$W$53))</f>
        <v>9</v>
      </c>
      <c r="Y15" s="29">
        <f t="shared" si="14"/>
        <v>0.60000000000000009</v>
      </c>
      <c r="Z15" s="30">
        <f t="shared" si="15"/>
        <v>524111.34015121555</v>
      </c>
      <c r="AA15" s="34">
        <f>VLOOKUP($A15,PAU!$1:$1048576,9,FALSE)</f>
        <v>6961114.8700000001</v>
      </c>
      <c r="AB15" s="35">
        <f>VLOOKUP($A15,PAU!$1:$1048576,30,FALSE)</f>
        <v>0.25964135247526043</v>
      </c>
      <c r="AC15" s="30">
        <f t="shared" si="16"/>
        <v>4</v>
      </c>
      <c r="AD15" s="30">
        <f t="shared" si="17"/>
        <v>-1502863.9076306056</v>
      </c>
      <c r="AE15" s="30">
        <f t="shared" si="18"/>
        <v>-2104009.4706828478</v>
      </c>
      <c r="AF15" s="33">
        <f t="shared" si="19"/>
        <v>0</v>
      </c>
      <c r="AG15" s="32">
        <f t="shared" si="20"/>
        <v>524111.34015121555</v>
      </c>
      <c r="AH15" s="31">
        <f>VLOOKUP($A15,'[2]Excess Capacity'!$A$1:$IV$65536,3,FALSE)</f>
        <v>13527</v>
      </c>
      <c r="AI15" s="31">
        <f>VLOOKUP($A15,'[2]Excess Capacity'!$A$1:$IV$65536,4,FALSE)</f>
        <v>66</v>
      </c>
      <c r="AJ15" s="31">
        <f t="shared" si="21"/>
        <v>13593</v>
      </c>
      <c r="AK15" s="31">
        <f>VLOOKUP($A15,'[2]Excess Capacity'!$A$1:$IV$65536,6,FALSE)</f>
        <v>10147</v>
      </c>
      <c r="AL15" s="31">
        <f>VLOOKUP($A15,'[2]Excess Capacity'!$A$1:$IV$65536,7,FALSE)</f>
        <v>325</v>
      </c>
      <c r="AM15" s="31">
        <f>VLOOKUP($A15,'[2]Excess Capacity'!$A$1:$IV$65536,8,FALSE)</f>
        <v>16</v>
      </c>
      <c r="AN15" s="31">
        <f t="shared" si="22"/>
        <v>10488</v>
      </c>
      <c r="AO15" s="36">
        <f t="shared" si="23"/>
        <v>-3105</v>
      </c>
      <c r="AP15" s="87">
        <v>1201.4025549134587</v>
      </c>
      <c r="AQ15" s="86">
        <f t="shared" si="24"/>
        <v>-3730354.9330062894</v>
      </c>
      <c r="AR15" s="86">
        <f t="shared" si="29"/>
        <v>1354439.9592294767</v>
      </c>
      <c r="AS15" s="95">
        <f t="shared" si="25"/>
        <v>-3206243.592855074</v>
      </c>
      <c r="AT15" s="115">
        <f t="shared" si="26"/>
        <v>-2.1065304434842469</v>
      </c>
      <c r="AU15" s="136">
        <f>VLOOKUP(A15,[3]Sheet2!$B:$D,3,FALSE)</f>
        <v>1.1016552782985627</v>
      </c>
      <c r="AV15" s="38">
        <f t="shared" si="27"/>
        <v>-3532175.1775797401</v>
      </c>
      <c r="AW15" s="27">
        <f t="shared" si="28"/>
        <v>3</v>
      </c>
      <c r="AX15" s="38"/>
    </row>
    <row r="16" spans="1:50" s="37" customFormat="1" x14ac:dyDescent="0.55000000000000004">
      <c r="A16" s="23">
        <v>210011</v>
      </c>
      <c r="B16" s="24" t="s">
        <v>3</v>
      </c>
      <c r="C16" s="32">
        <v>430902898.65440989</v>
      </c>
      <c r="D16" s="149">
        <f t="shared" si="0"/>
        <v>215451449.32720494</v>
      </c>
      <c r="E16" s="95">
        <f t="shared" si="1"/>
        <v>8618057.9730881974</v>
      </c>
      <c r="F16" s="96">
        <f t="shared" si="2"/>
        <v>215451449.32720494</v>
      </c>
      <c r="G16" s="95">
        <f t="shared" si="3"/>
        <v>4998069.6014223387</v>
      </c>
      <c r="H16" s="105">
        <f>((IFERROR(VLOOKUP($A16,'Regular Peer Group Pivot'!$1:$1048576,13,FALSE),VLOOKUP($A16,'AMC Peer Group Pivot'!$1:$1048576,13,FALSE))*1000))</f>
        <v>318614834.69159734</v>
      </c>
      <c r="I16" s="57">
        <f>IFERROR(VLOOKUP(A16,'Regular Peer Group Pivot'!$1:$1048576,16,FALSE),VLOOKUP(A16,'AMC Peer Group Pivot'!$1:$1048576,16,FALSE))</f>
        <v>6.5135796360794168E-2</v>
      </c>
      <c r="J16" s="105">
        <f t="shared" si="4"/>
        <v>20753230.989999983</v>
      </c>
      <c r="K16" s="105">
        <f t="shared" si="5"/>
        <v>34369358.564510517</v>
      </c>
      <c r="L16" s="112">
        <f t="shared" si="6"/>
        <v>0.10345019720642896</v>
      </c>
      <c r="M16" s="58">
        <v>1</v>
      </c>
      <c r="N16" s="59">
        <f>IFERROR(VLOOKUP(M16,'Regular Peer Group Pivot'!$1:$1048576,16,FALSE),VLOOKUP(M16,'AMC Peer Group Pivot'!$1:$1048576,16,FALSE))</f>
        <v>8.6831191177142525E-2</v>
      </c>
      <c r="O16" s="59">
        <f t="shared" si="7"/>
        <v>9.5140694191785752E-2</v>
      </c>
      <c r="P16" s="59">
        <f t="shared" si="8"/>
        <v>3.0004897830991584E-2</v>
      </c>
      <c r="Q16" s="61">
        <f t="shared" si="9"/>
        <v>9560005.5623596516</v>
      </c>
      <c r="R16" s="25">
        <f>VLOOKUP(A16,'[1]ICC Calculation'!$A$1:$IV$65536,26,FALSE)</f>
        <v>-0.15240861741318013</v>
      </c>
      <c r="S16" s="26">
        <f t="shared" si="10"/>
        <v>28</v>
      </c>
      <c r="T16" s="25">
        <v>4.0990049237218384E-2</v>
      </c>
      <c r="U16" s="26">
        <f t="shared" si="11"/>
        <v>6</v>
      </c>
      <c r="V16" s="27">
        <f t="shared" si="12"/>
        <v>34</v>
      </c>
      <c r="W16" s="28">
        <f t="shared" si="13"/>
        <v>2</v>
      </c>
      <c r="X16" s="27">
        <f t="array" ref="X16">MAX(IF($AW$8:$AW$53=AW16,$W$8:$W$53))</f>
        <v>9</v>
      </c>
      <c r="Y16" s="29">
        <f t="shared" si="14"/>
        <v>0.77777777777777779</v>
      </c>
      <c r="Z16" s="30">
        <f t="shared" si="15"/>
        <v>7435559.8818352846</v>
      </c>
      <c r="AA16" s="34">
        <f>VLOOKUP($A16,PAU!$1:$1048576,9,FALSE)</f>
        <v>67175707.75999999</v>
      </c>
      <c r="AB16" s="35">
        <f>VLOOKUP($A16,PAU!$1:$1048576,30,FALSE)</f>
        <v>0.25557974891109386</v>
      </c>
      <c r="AC16" s="30">
        <f t="shared" si="16"/>
        <v>4</v>
      </c>
      <c r="AD16" s="30">
        <f t="shared" si="17"/>
        <v>-13665778.847386889</v>
      </c>
      <c r="AE16" s="30">
        <f t="shared" si="18"/>
        <v>-16702618.591250643</v>
      </c>
      <c r="AF16" s="33">
        <f t="shared" si="19"/>
        <v>0</v>
      </c>
      <c r="AG16" s="32">
        <f t="shared" si="20"/>
        <v>7435559.8818352846</v>
      </c>
      <c r="AH16" s="31">
        <f>VLOOKUP($A16,'[2]Excess Capacity'!$A$1:$IV$65536,3,FALSE)</f>
        <v>80737</v>
      </c>
      <c r="AI16" s="31">
        <f>VLOOKUP($A16,'[2]Excess Capacity'!$A$1:$IV$65536,4,FALSE)</f>
        <v>608</v>
      </c>
      <c r="AJ16" s="31">
        <f t="shared" si="21"/>
        <v>81345</v>
      </c>
      <c r="AK16" s="31">
        <f>VLOOKUP($A16,'[2]Excess Capacity'!$A$1:$IV$65536,6,FALSE)</f>
        <v>64124</v>
      </c>
      <c r="AL16" s="31">
        <f>VLOOKUP($A16,'[2]Excess Capacity'!$A$1:$IV$65536,7,FALSE)</f>
        <v>2279</v>
      </c>
      <c r="AM16" s="31">
        <f>VLOOKUP($A16,'[2]Excess Capacity'!$A$1:$IV$65536,8,FALSE)</f>
        <v>625</v>
      </c>
      <c r="AN16" s="31">
        <f t="shared" si="22"/>
        <v>67028</v>
      </c>
      <c r="AO16" s="36">
        <f t="shared" si="23"/>
        <v>-14317</v>
      </c>
      <c r="AP16" s="87">
        <v>1201.4025549134587</v>
      </c>
      <c r="AQ16" s="86">
        <f t="shared" si="24"/>
        <v>-17200480.378695987</v>
      </c>
      <c r="AR16" s="86">
        <f t="shared" si="29"/>
        <v>12116706.694083834</v>
      </c>
      <c r="AS16" s="95">
        <f t="shared" si="25"/>
        <v>-9764920.4968607016</v>
      </c>
      <c r="AT16" s="115">
        <f t="shared" si="26"/>
        <v>-0.71715841698932703</v>
      </c>
      <c r="AU16" s="136">
        <f>VLOOKUP(A16,[3]Sheet2!$B:$D,3,FALSE)</f>
        <v>1.0962741841922081</v>
      </c>
      <c r="AV16" s="38">
        <f t="shared" si="27"/>
        <v>-10705030.251397736</v>
      </c>
      <c r="AW16" s="27">
        <f t="shared" si="28"/>
        <v>2</v>
      </c>
      <c r="AX16" s="38"/>
    </row>
    <row r="17" spans="1:50" s="37" customFormat="1" x14ac:dyDescent="0.55000000000000004">
      <c r="A17" s="23">
        <v>210012</v>
      </c>
      <c r="B17" s="24" t="s">
        <v>4</v>
      </c>
      <c r="C17" s="32">
        <v>789968926.99263585</v>
      </c>
      <c r="D17" s="149">
        <f t="shared" si="0"/>
        <v>394984463.49631792</v>
      </c>
      <c r="E17" s="95">
        <f t="shared" si="1"/>
        <v>15799378.539852716</v>
      </c>
      <c r="F17" s="96">
        <f t="shared" si="2"/>
        <v>394984463.49631792</v>
      </c>
      <c r="G17" s="95">
        <f t="shared" si="3"/>
        <v>9162898.8628287707</v>
      </c>
      <c r="H17" s="105">
        <f>((IFERROR(VLOOKUP($A17,'Regular Peer Group Pivot'!$1:$1048576,13,FALSE),VLOOKUP($A17,'AMC Peer Group Pivot'!$1:$1048576,13,FALSE))*1000))</f>
        <v>596332209.83883822</v>
      </c>
      <c r="I17" s="57">
        <f>IFERROR(VLOOKUP(A17,'Regular Peer Group Pivot'!$1:$1048576,16,FALSE),VLOOKUP(A17,'AMC Peer Group Pivot'!$1:$1048576,16,FALSE))</f>
        <v>8.4074648363450993E-2</v>
      </c>
      <c r="J17" s="105">
        <f t="shared" si="4"/>
        <v>50136420.849999994</v>
      </c>
      <c r="K17" s="105">
        <f t="shared" si="5"/>
        <v>75098698.252681479</v>
      </c>
      <c r="L17" s="112">
        <f t="shared" si="6"/>
        <v>0.12087456076765074</v>
      </c>
      <c r="M17" s="58">
        <v>4</v>
      </c>
      <c r="N17" s="59">
        <f>IFERROR(VLOOKUP(M17,'Regular Peer Group Pivot'!$1:$1048576,16,FALSE),VLOOKUP(M17,'AMC Peer Group Pivot'!$1:$1048576,16,FALSE))</f>
        <v>7.6134151077943316E-2</v>
      </c>
      <c r="O17" s="59">
        <f t="shared" si="7"/>
        <v>9.8504355922797021E-2</v>
      </c>
      <c r="P17" s="59">
        <f t="shared" si="8"/>
        <v>1.4429707559346028E-2</v>
      </c>
      <c r="Q17" s="61">
        <f t="shared" si="9"/>
        <v>8604899.3961930051</v>
      </c>
      <c r="R17" s="25">
        <f>VLOOKUP(A17,'[1]ICC Calculation'!$A$1:$IV$65536,26,FALSE)</f>
        <v>-0.18011587889758962</v>
      </c>
      <c r="S17" s="26">
        <f t="shared" si="10"/>
        <v>33</v>
      </c>
      <c r="T17" s="25">
        <v>7.1470669787058183E-2</v>
      </c>
      <c r="U17" s="26">
        <f t="shared" si="11"/>
        <v>19</v>
      </c>
      <c r="V17" s="27">
        <f t="shared" si="12"/>
        <v>52</v>
      </c>
      <c r="W17" s="28">
        <f t="shared" si="13"/>
        <v>1</v>
      </c>
      <c r="X17" s="27">
        <f t="array" ref="X17">MAX(IF($AW$8:$AW$53=AW17,$W$8:$W$53))</f>
        <v>5</v>
      </c>
      <c r="Y17" s="29">
        <f t="shared" si="14"/>
        <v>0.4</v>
      </c>
      <c r="Z17" s="30">
        <f t="shared" si="15"/>
        <v>3441959.7584772022</v>
      </c>
      <c r="AA17" s="34">
        <f>VLOOKUP($A17,PAU!$1:$1048576,9,FALSE)</f>
        <v>69224887.13000001</v>
      </c>
      <c r="AB17" s="35">
        <f>VLOOKUP($A17,PAU!$1:$1048576,30,FALSE)</f>
        <v>0.16569012928683904</v>
      </c>
      <c r="AC17" s="30">
        <f t="shared" si="16"/>
        <v>1</v>
      </c>
      <c r="AD17" s="30">
        <f t="shared" si="17"/>
        <v>15832919.962456211</v>
      </c>
      <c r="AE17" s="30">
        <f t="shared" si="18"/>
        <v>6333167.984982485</v>
      </c>
      <c r="AF17" s="33">
        <f t="shared" si="19"/>
        <v>3166583.9924912425</v>
      </c>
      <c r="AG17" s="32">
        <f t="shared" si="20"/>
        <v>6608543.7509684451</v>
      </c>
      <c r="AH17" s="31">
        <f>VLOOKUP($A17,'[2]Excess Capacity'!$A$1:$IV$65536,3,FALSE)</f>
        <v>121906</v>
      </c>
      <c r="AI17" s="31">
        <f>VLOOKUP($A17,'[2]Excess Capacity'!$A$1:$IV$65536,4,FALSE)</f>
        <v>1033</v>
      </c>
      <c r="AJ17" s="31">
        <f t="shared" si="21"/>
        <v>122939</v>
      </c>
      <c r="AK17" s="31">
        <f>VLOOKUP($A17,'[2]Excess Capacity'!$A$1:$IV$65536,6,FALSE)</f>
        <v>100900</v>
      </c>
      <c r="AL17" s="31">
        <f>VLOOKUP($A17,'[2]Excess Capacity'!$A$1:$IV$65536,7,FALSE)</f>
        <v>2836</v>
      </c>
      <c r="AM17" s="31">
        <f>VLOOKUP($A17,'[2]Excess Capacity'!$A$1:$IV$65536,8,FALSE)</f>
        <v>1250</v>
      </c>
      <c r="AN17" s="31">
        <f t="shared" si="22"/>
        <v>104986</v>
      </c>
      <c r="AO17" s="36">
        <f t="shared" si="23"/>
        <v>-17953</v>
      </c>
      <c r="AP17" s="87">
        <v>1201.4025549134587</v>
      </c>
      <c r="AQ17" s="86">
        <f t="shared" si="24"/>
        <v>-21568780.068361323</v>
      </c>
      <c r="AR17" s="86">
        <f t="shared" si="29"/>
        <v>22213407.743832856</v>
      </c>
      <c r="AS17" s="95">
        <f t="shared" si="25"/>
        <v>-14960236.317392878</v>
      </c>
      <c r="AT17" s="115">
        <f t="shared" si="26"/>
        <v>-0.59931375956048893</v>
      </c>
      <c r="AU17" s="136">
        <f>VLOOKUP(A17,[3]Sheet2!$B:$D,3,FALSE)</f>
        <v>1.0952231825796594</v>
      </c>
      <c r="AV17" s="38">
        <f t="shared" si="27"/>
        <v>-16384797.631678833</v>
      </c>
      <c r="AW17" s="27">
        <f t="shared" si="28"/>
        <v>4</v>
      </c>
      <c r="AX17" s="38"/>
    </row>
    <row r="18" spans="1:50" s="37" customFormat="1" x14ac:dyDescent="0.55000000000000004">
      <c r="A18" s="23">
        <v>210013</v>
      </c>
      <c r="B18" s="24" t="s">
        <v>112</v>
      </c>
      <c r="C18" s="32">
        <v>115481386.55906786</v>
      </c>
      <c r="D18" s="149">
        <f t="shared" si="0"/>
        <v>57740693.27953393</v>
      </c>
      <c r="E18" s="95">
        <f t="shared" si="1"/>
        <v>2309627.7311813571</v>
      </c>
      <c r="F18" s="96">
        <f t="shared" si="2"/>
        <v>57740693.27953393</v>
      </c>
      <c r="G18" s="95">
        <f t="shared" si="3"/>
        <v>1339475.8064830019</v>
      </c>
      <c r="H18" s="105">
        <f>((IFERROR(VLOOKUP($A18,'Regular Peer Group Pivot'!$1:$1048576,13,FALSE),VLOOKUP($A18,'AMC Peer Group Pivot'!$1:$1048576,13,FALSE))*1000))</f>
        <v>73360106.304340661</v>
      </c>
      <c r="I18" s="57">
        <f>IFERROR(VLOOKUP(A18,'Regular Peer Group Pivot'!$1:$1048576,16,FALSE),VLOOKUP(A18,'AMC Peer Group Pivot'!$1:$1048576,16,FALSE))</f>
        <v>9.493463384961183E-2</v>
      </c>
      <c r="J18" s="105">
        <f t="shared" si="4"/>
        <v>6964414.8311711811</v>
      </c>
      <c r="K18" s="105">
        <f t="shared" si="5"/>
        <v>10613518.36883554</v>
      </c>
      <c r="L18" s="112">
        <f t="shared" si="6"/>
        <v>0.13782141630346076</v>
      </c>
      <c r="M18" s="58">
        <v>4</v>
      </c>
      <c r="N18" s="59">
        <f>IFERROR(VLOOKUP(M18,'Regular Peer Group Pivot'!$1:$1048576,16,FALSE),VLOOKUP(M18,'AMC Peer Group Pivot'!$1:$1048576,16,FALSE))</f>
        <v>7.6134151077943316E-2</v>
      </c>
      <c r="O18" s="59">
        <f t="shared" si="7"/>
        <v>0.10697778369070204</v>
      </c>
      <c r="P18" s="59">
        <f t="shared" si="8"/>
        <v>1.2043149841090214E-2</v>
      </c>
      <c r="Q18" s="61">
        <f t="shared" si="9"/>
        <v>883486.75258148147</v>
      </c>
      <c r="R18" s="25">
        <f>VLOOKUP(A18,'[1]ICC Calculation'!$A$1:$IV$65536,26,FALSE)</f>
        <v>-0.35800306640006441</v>
      </c>
      <c r="S18" s="26">
        <f t="shared" si="10"/>
        <v>46</v>
      </c>
      <c r="T18" s="25">
        <v>0.10313866642970604</v>
      </c>
      <c r="U18" s="26">
        <f t="shared" si="11"/>
        <v>31</v>
      </c>
      <c r="V18" s="27">
        <f t="shared" si="12"/>
        <v>77</v>
      </c>
      <c r="W18" s="28">
        <f t="shared" si="13"/>
        <v>5</v>
      </c>
      <c r="X18" s="27">
        <f t="array" ref="X18">MAX(IF($AW$8:$AW$53=AW18,$W$8:$W$53))</f>
        <v>9</v>
      </c>
      <c r="Y18" s="29">
        <f t="shared" si="14"/>
        <v>0.11111111111111112</v>
      </c>
      <c r="Z18" s="30">
        <f t="shared" si="15"/>
        <v>98165.194731275726</v>
      </c>
      <c r="AA18" s="34">
        <f>VLOOKUP($A18,PAU!$1:$1048576,9,FALSE)</f>
        <v>21034440.170000006</v>
      </c>
      <c r="AB18" s="35">
        <f>VLOOKUP($A18,PAU!$1:$1048576,30,FALSE)</f>
        <v>0.30323471306026711</v>
      </c>
      <c r="AC18" s="30">
        <f t="shared" si="16"/>
        <v>5</v>
      </c>
      <c r="AD18" s="30">
        <f t="shared" si="17"/>
        <v>-4540938.7700707167</v>
      </c>
      <c r="AE18" s="30">
        <f t="shared" si="18"/>
        <v>-8577328.7879113536</v>
      </c>
      <c r="AF18" s="33">
        <f t="shared" si="19"/>
        <v>0</v>
      </c>
      <c r="AG18" s="32">
        <f t="shared" si="20"/>
        <v>98165.194731275726</v>
      </c>
      <c r="AH18" s="31">
        <f>VLOOKUP($A18,'[2]Excess Capacity'!$A$1:$IV$65536,3,FALSE)</f>
        <v>35530</v>
      </c>
      <c r="AI18" s="31">
        <f>VLOOKUP($A18,'[2]Excess Capacity'!$A$1:$IV$65536,4,FALSE)</f>
        <v>286</v>
      </c>
      <c r="AJ18" s="31">
        <f t="shared" si="21"/>
        <v>35816</v>
      </c>
      <c r="AK18" s="31">
        <f>VLOOKUP($A18,'[2]Excess Capacity'!$A$1:$IV$65536,6,FALSE)</f>
        <v>17833</v>
      </c>
      <c r="AL18" s="31">
        <f>VLOOKUP($A18,'[2]Excess Capacity'!$A$1:$IV$65536,7,FALSE)</f>
        <v>534</v>
      </c>
      <c r="AM18" s="31">
        <f>VLOOKUP($A18,'[2]Excess Capacity'!$A$1:$IV$65536,8,FALSE)</f>
        <v>29</v>
      </c>
      <c r="AN18" s="31">
        <f t="shared" si="22"/>
        <v>18396</v>
      </c>
      <c r="AO18" s="36">
        <f t="shared" si="23"/>
        <v>-17420</v>
      </c>
      <c r="AP18" s="87">
        <v>1201.4025549134587</v>
      </c>
      <c r="AQ18" s="86">
        <f t="shared" si="24"/>
        <v>-20928432.506592453</v>
      </c>
      <c r="AR18" s="86">
        <f t="shared" si="29"/>
        <v>3247260.7957194583</v>
      </c>
      <c r="AS18" s="95">
        <f t="shared" si="25"/>
        <v>-20830267.311861176</v>
      </c>
      <c r="AT18" s="115">
        <f t="shared" si="26"/>
        <v>-5.7083245506357363</v>
      </c>
      <c r="AU18" s="136">
        <f>VLOOKUP(A18,[3]Sheet2!$B:$D,3,FALSE)</f>
        <v>1.1026804682882889</v>
      </c>
      <c r="AV18" s="38">
        <f t="shared" si="27"/>
        <v>-22969128.914013319</v>
      </c>
      <c r="AW18" s="27">
        <f t="shared" si="28"/>
        <v>5</v>
      </c>
      <c r="AX18" s="38"/>
    </row>
    <row r="19" spans="1:50" s="37" customFormat="1" x14ac:dyDescent="0.55000000000000004">
      <c r="A19" s="23">
        <v>210015</v>
      </c>
      <c r="B19" s="24" t="s">
        <v>80</v>
      </c>
      <c r="C19" s="32">
        <v>554988327.29019117</v>
      </c>
      <c r="D19" s="149">
        <f t="shared" si="0"/>
        <v>277494163.64509559</v>
      </c>
      <c r="E19" s="95">
        <f t="shared" si="1"/>
        <v>11099766.545803823</v>
      </c>
      <c r="F19" s="96">
        <f t="shared" si="2"/>
        <v>277494163.64509559</v>
      </c>
      <c r="G19" s="95">
        <f t="shared" si="3"/>
        <v>6437344.2286774181</v>
      </c>
      <c r="H19" s="105">
        <f>((IFERROR(VLOOKUP($A19,'Regular Peer Group Pivot'!$1:$1048576,13,FALSE),VLOOKUP($A19,'AMC Peer Group Pivot'!$1:$1048576,13,FALSE))*1000))</f>
        <v>396609410.271797</v>
      </c>
      <c r="I19" s="57">
        <f>IFERROR(VLOOKUP(A19,'Regular Peer Group Pivot'!$1:$1048576,16,FALSE),VLOOKUP(A19,'AMC Peer Group Pivot'!$1:$1048576,16,FALSE))</f>
        <v>7.5787221871294025E-2</v>
      </c>
      <c r="J19" s="105">
        <f t="shared" si="4"/>
        <v>30057925.372511759</v>
      </c>
      <c r="K19" s="105">
        <f t="shared" si="5"/>
        <v>47595036.146992996</v>
      </c>
      <c r="L19" s="112">
        <f t="shared" si="6"/>
        <v>0.11492318232385816</v>
      </c>
      <c r="M19" s="58">
        <v>1</v>
      </c>
      <c r="N19" s="59">
        <f>IFERROR(VLOOKUP(M19,'Regular Peer Group Pivot'!$1:$1048576,16,FALSE),VLOOKUP(M19,'AMC Peer Group Pivot'!$1:$1048576,16,FALSE))</f>
        <v>8.6831191177142525E-2</v>
      </c>
      <c r="O19" s="59">
        <f t="shared" si="7"/>
        <v>0.10087718675050034</v>
      </c>
      <c r="P19" s="59">
        <f t="shared" si="8"/>
        <v>2.5089964879206311E-2</v>
      </c>
      <c r="Q19" s="61">
        <f t="shared" si="9"/>
        <v>9950916.1744821128</v>
      </c>
      <c r="R19" s="25">
        <f>VLOOKUP(A19,'[1]ICC Calculation'!$A$1:$IV$65536,26,FALSE)</f>
        <v>-0.1457297981868817</v>
      </c>
      <c r="S19" s="26">
        <f t="shared" si="10"/>
        <v>26</v>
      </c>
      <c r="T19" s="25">
        <v>7.8826134198197284E-2</v>
      </c>
      <c r="U19" s="26">
        <f t="shared" si="11"/>
        <v>24</v>
      </c>
      <c r="V19" s="27">
        <f t="shared" si="12"/>
        <v>50</v>
      </c>
      <c r="W19" s="28">
        <f t="shared" si="13"/>
        <v>8</v>
      </c>
      <c r="X19" s="27">
        <f t="array" ref="X19">MAX(IF($AW$8:$AW$53=AW19,$W$8:$W$53))</f>
        <v>9</v>
      </c>
      <c r="Y19" s="29">
        <f t="shared" si="14"/>
        <v>0.44444444444444448</v>
      </c>
      <c r="Z19" s="30">
        <f t="shared" si="15"/>
        <v>4422629.4108809391</v>
      </c>
      <c r="AA19" s="34">
        <f>VLOOKUP($A19,PAU!$1:$1048576,9,FALSE)</f>
        <v>80466146.579999998</v>
      </c>
      <c r="AB19" s="35">
        <f>VLOOKUP($A19,PAU!$1:$1048576,30,FALSE)</f>
        <v>0.24435882600234635</v>
      </c>
      <c r="AC19" s="30">
        <f t="shared" si="16"/>
        <v>4</v>
      </c>
      <c r="AD19" s="30">
        <f t="shared" si="17"/>
        <v>-13426188.137695953</v>
      </c>
      <c r="AE19" s="30">
        <f t="shared" si="18"/>
        <v>-20885181.547527038</v>
      </c>
      <c r="AF19" s="33">
        <f t="shared" si="19"/>
        <v>0</v>
      </c>
      <c r="AG19" s="32">
        <f t="shared" si="20"/>
        <v>4422629.4108809391</v>
      </c>
      <c r="AH19" s="31">
        <f>VLOOKUP($A19,'[2]Excess Capacity'!$A$1:$IV$65536,3,FALSE)</f>
        <v>96937</v>
      </c>
      <c r="AI19" s="31">
        <f>VLOOKUP($A19,'[2]Excess Capacity'!$A$1:$IV$65536,4,FALSE)</f>
        <v>767</v>
      </c>
      <c r="AJ19" s="31">
        <f t="shared" si="21"/>
        <v>97704</v>
      </c>
      <c r="AK19" s="31">
        <f>VLOOKUP($A19,'[2]Excess Capacity'!$A$1:$IV$65536,6,FALSE)</f>
        <v>89669</v>
      </c>
      <c r="AL19" s="31">
        <f>VLOOKUP($A19,'[2]Excess Capacity'!$A$1:$IV$65536,7,FALSE)</f>
        <v>4993</v>
      </c>
      <c r="AM19" s="31">
        <f>VLOOKUP($A19,'[2]Excess Capacity'!$A$1:$IV$65536,8,FALSE)</f>
        <v>1015</v>
      </c>
      <c r="AN19" s="31">
        <f t="shared" si="22"/>
        <v>95677</v>
      </c>
      <c r="AO19" s="36">
        <f t="shared" si="23"/>
        <v>-2027</v>
      </c>
      <c r="AP19" s="87">
        <v>1201.4025549134587</v>
      </c>
      <c r="AQ19" s="86">
        <f t="shared" si="24"/>
        <v>-2435242.9788095807</v>
      </c>
      <c r="AR19" s="86">
        <f t="shared" si="29"/>
        <v>15605907.505878014</v>
      </c>
      <c r="AS19" s="95">
        <f t="shared" si="25"/>
        <v>1987386.4320713584</v>
      </c>
      <c r="AT19" s="115">
        <f t="shared" si="26"/>
        <v>0.11332462100674315</v>
      </c>
      <c r="AU19" s="136">
        <f>VLOOKUP(A19,[3]Sheet2!$B:$D,3,FALSE)</f>
        <v>1.0973336341529938</v>
      </c>
      <c r="AV19" s="38">
        <f t="shared" si="27"/>
        <v>2180825.9759712159</v>
      </c>
      <c r="AW19" s="27">
        <f t="shared" si="28"/>
        <v>3</v>
      </c>
      <c r="AX19" s="38"/>
    </row>
    <row r="20" spans="1:50" s="37" customFormat="1" x14ac:dyDescent="0.55000000000000004">
      <c r="A20" s="23">
        <v>210016</v>
      </c>
      <c r="B20" s="24" t="s">
        <v>95</v>
      </c>
      <c r="C20" s="32">
        <v>282212699.61331457</v>
      </c>
      <c r="D20" s="149">
        <f t="shared" si="0"/>
        <v>141106349.80665728</v>
      </c>
      <c r="E20" s="95">
        <f t="shared" si="1"/>
        <v>5644253.9922662918</v>
      </c>
      <c r="F20" s="96">
        <f t="shared" si="2"/>
        <v>141106349.80665728</v>
      </c>
      <c r="G20" s="95">
        <f t="shared" si="3"/>
        <v>3273402.7073786217</v>
      </c>
      <c r="H20" s="105">
        <f>((IFERROR(VLOOKUP($A20,'Regular Peer Group Pivot'!$1:$1048576,13,FALSE),VLOOKUP($A20,'AMC Peer Group Pivot'!$1:$1048576,13,FALSE))*1000))</f>
        <v>212891465.31</v>
      </c>
      <c r="I20" s="57">
        <f>IFERROR(VLOOKUP(A20,'Regular Peer Group Pivot'!$1:$1048576,16,FALSE),VLOOKUP(A20,'AMC Peer Group Pivot'!$1:$1048576,16,FALSE))</f>
        <v>5.5269106175142232E-2</v>
      </c>
      <c r="J20" s="105">
        <f t="shared" si="4"/>
        <v>11766321</v>
      </c>
      <c r="K20" s="105">
        <f t="shared" si="5"/>
        <v>20683977.699644912</v>
      </c>
      <c r="L20" s="112">
        <f t="shared" si="6"/>
        <v>9.3251249147208254E-2</v>
      </c>
      <c r="M20" s="58">
        <v>3</v>
      </c>
      <c r="N20" s="59">
        <f>IFERROR(VLOOKUP(M20,'Regular Peer Group Pivot'!$1:$1048576,16,FALSE),VLOOKUP(M20,'AMC Peer Group Pivot'!$1:$1048576,16,FALSE))</f>
        <v>9.0115883593839347E-2</v>
      </c>
      <c r="O20" s="59">
        <f t="shared" si="7"/>
        <v>9.16835663705238E-2</v>
      </c>
      <c r="P20" s="59">
        <f t="shared" si="8"/>
        <v>3.6414460195381568E-2</v>
      </c>
      <c r="Q20" s="61">
        <f t="shared" si="9"/>
        <v>7752327.7894674512</v>
      </c>
      <c r="R20" s="25">
        <f>VLOOKUP(A20,'[1]ICC Calculation'!$A$1:$IV$65536,26,FALSE)</f>
        <v>-0.13443877883933075</v>
      </c>
      <c r="S20" s="26">
        <f t="shared" si="10"/>
        <v>24</v>
      </c>
      <c r="T20" s="25">
        <v>4.3470610924540409E-2</v>
      </c>
      <c r="U20" s="26">
        <f t="shared" si="11"/>
        <v>7</v>
      </c>
      <c r="V20" s="27">
        <f t="shared" si="12"/>
        <v>31</v>
      </c>
      <c r="W20" s="28">
        <f t="shared" si="13"/>
        <v>9</v>
      </c>
      <c r="X20" s="27">
        <f t="array" ref="X20">MAX(IF($AW$8:$AW$53=AW20,$W$8:$W$53))</f>
        <v>9</v>
      </c>
      <c r="Y20" s="29">
        <f t="shared" si="14"/>
        <v>0.8222222222222223</v>
      </c>
      <c r="Z20" s="30">
        <f t="shared" si="15"/>
        <v>6374136.1824510163</v>
      </c>
      <c r="AA20" s="34">
        <f>VLOOKUP($A20,PAU!$1:$1048576,9,FALSE)</f>
        <v>35036776.670000002</v>
      </c>
      <c r="AB20" s="35">
        <f>VLOOKUP($A20,PAU!$1:$1048576,30,FALSE)</f>
        <v>0.19282621283510545</v>
      </c>
      <c r="AC20" s="30">
        <f t="shared" si="16"/>
        <v>2</v>
      </c>
      <c r="AD20" s="30">
        <f t="shared" si="17"/>
        <v>1955123.0903396383</v>
      </c>
      <c r="AE20" s="30">
        <f t="shared" si="18"/>
        <v>1607545.6520570361</v>
      </c>
      <c r="AF20" s="33">
        <f t="shared" si="19"/>
        <v>803772.82602851803</v>
      </c>
      <c r="AG20" s="32">
        <f t="shared" si="20"/>
        <v>7177909.0084795346</v>
      </c>
      <c r="AH20" s="31">
        <f>VLOOKUP($A20,'[2]Excess Capacity'!$A$1:$IV$65536,3,FALSE)</f>
        <v>73495</v>
      </c>
      <c r="AI20" s="31">
        <f>VLOOKUP($A20,'[2]Excess Capacity'!$A$1:$IV$65536,4,FALSE)</f>
        <v>953</v>
      </c>
      <c r="AJ20" s="31">
        <f t="shared" si="21"/>
        <v>74448</v>
      </c>
      <c r="AK20" s="31">
        <f>VLOOKUP($A20,'[2]Excess Capacity'!$A$1:$IV$65536,6,FALSE)</f>
        <v>47982</v>
      </c>
      <c r="AL20" s="31">
        <f>VLOOKUP($A20,'[2]Excess Capacity'!$A$1:$IV$65536,7,FALSE)</f>
        <v>2287</v>
      </c>
      <c r="AM20" s="31">
        <f>VLOOKUP($A20,'[2]Excess Capacity'!$A$1:$IV$65536,8,FALSE)</f>
        <v>96</v>
      </c>
      <c r="AN20" s="31">
        <f t="shared" si="22"/>
        <v>50365</v>
      </c>
      <c r="AO20" s="36">
        <f t="shared" si="23"/>
        <v>-24083</v>
      </c>
      <c r="AP20" s="87">
        <v>1201.4025549134587</v>
      </c>
      <c r="AQ20" s="86">
        <f t="shared" si="24"/>
        <v>-28933377.729980826</v>
      </c>
      <c r="AR20" s="86">
        <f t="shared" si="29"/>
        <v>7935635.8874313273</v>
      </c>
      <c r="AS20" s="95">
        <f t="shared" si="25"/>
        <v>-21755468.721501291</v>
      </c>
      <c r="AT20" s="115">
        <f t="shared" si="26"/>
        <v>-2.439594778566387</v>
      </c>
      <c r="AU20" s="136">
        <f>VLOOKUP(A20,[3]Sheet2!$B:$D,3,FALSE)</f>
        <v>1.0977784116737554</v>
      </c>
      <c r="AV20" s="38">
        <f t="shared" si="27"/>
        <v>-23882683.898307756</v>
      </c>
      <c r="AW20" s="27">
        <f t="shared" si="28"/>
        <v>1</v>
      </c>
      <c r="AX20" s="38"/>
    </row>
    <row r="21" spans="1:50" s="37" customFormat="1" x14ac:dyDescent="0.55000000000000004">
      <c r="A21" s="23">
        <v>210017</v>
      </c>
      <c r="B21" s="24" t="s">
        <v>93</v>
      </c>
      <c r="C21" s="32">
        <v>63631807.065075956</v>
      </c>
      <c r="D21" s="149">
        <f t="shared" si="0"/>
        <v>31815903.532537978</v>
      </c>
      <c r="E21" s="95">
        <f t="shared" si="1"/>
        <v>1272636.1413015192</v>
      </c>
      <c r="F21" s="96">
        <f t="shared" si="2"/>
        <v>31815903.532537978</v>
      </c>
      <c r="G21" s="95">
        <f t="shared" si="3"/>
        <v>738069.29953051149</v>
      </c>
      <c r="H21" s="105">
        <f>((IFERROR(VLOOKUP($A21,'Regular Peer Group Pivot'!$1:$1048576,13,FALSE),VLOOKUP($A21,'AMC Peer Group Pivot'!$1:$1048576,13,FALSE))*1000))</f>
        <v>47330010.325858817</v>
      </c>
      <c r="I21" s="57">
        <f>IFERROR(VLOOKUP(A21,'Regular Peer Group Pivot'!$1:$1048576,16,FALSE),VLOOKUP(A21,'AMC Peer Group Pivot'!$1:$1048576,16,FALSE))</f>
        <v>8.2874248446479976E-2</v>
      </c>
      <c r="J21" s="105">
        <f t="shared" si="4"/>
        <v>3922439.034719686</v>
      </c>
      <c r="K21" s="105">
        <f t="shared" si="5"/>
        <v>5933144.475551717</v>
      </c>
      <c r="L21" s="112">
        <f t="shared" si="6"/>
        <v>0.1202484476229891</v>
      </c>
      <c r="M21" s="58">
        <v>3</v>
      </c>
      <c r="N21" s="59">
        <f>IFERROR(VLOOKUP(M21,'Regular Peer Group Pivot'!$1:$1048576,16,FALSE),VLOOKUP(M21,'AMC Peer Group Pivot'!$1:$1048576,16,FALSE))</f>
        <v>9.0115883593839347E-2</v>
      </c>
      <c r="O21" s="59">
        <f t="shared" si="7"/>
        <v>0.10518216560841423</v>
      </c>
      <c r="P21" s="59">
        <f t="shared" si="8"/>
        <v>2.2307917161934254E-2</v>
      </c>
      <c r="Q21" s="61">
        <f t="shared" si="9"/>
        <v>1055833.9496227514</v>
      </c>
      <c r="R21" s="25">
        <f>VLOOKUP(A21,'[1]ICC Calculation'!$A$1:$IV$65536,26,FALSE)</f>
        <v>7.4847955486199158E-3</v>
      </c>
      <c r="S21" s="26">
        <f t="shared" si="10"/>
        <v>2</v>
      </c>
      <c r="T21" s="25">
        <v>0.19959003094925465</v>
      </c>
      <c r="U21" s="26">
        <f t="shared" si="11"/>
        <v>46</v>
      </c>
      <c r="V21" s="27">
        <f t="shared" si="12"/>
        <v>48</v>
      </c>
      <c r="W21" s="28">
        <f t="shared" si="13"/>
        <v>6</v>
      </c>
      <c r="X21" s="27">
        <f t="array" ref="X21">MAX(IF($AW$8:$AW$53=AW21,$W$8:$W$53))</f>
        <v>9</v>
      </c>
      <c r="Y21" s="29">
        <f t="shared" si="14"/>
        <v>0.48888888888888893</v>
      </c>
      <c r="Z21" s="30">
        <f t="shared" si="15"/>
        <v>516185.48648223409</v>
      </c>
      <c r="AA21" s="34">
        <f>VLOOKUP($A21,PAU!$1:$1048576,9,FALSE)</f>
        <v>5291509.0999999996</v>
      </c>
      <c r="AB21" s="35">
        <f>VLOOKUP($A21,PAU!$1:$1048576,30,FALSE)</f>
        <v>0.20639765299073631</v>
      </c>
      <c r="AC21" s="30">
        <f t="shared" si="16"/>
        <v>3</v>
      </c>
      <c r="AD21" s="30">
        <f t="shared" si="17"/>
        <v>-72075.762363242917</v>
      </c>
      <c r="AE21" s="30">
        <f t="shared" si="18"/>
        <v>-108914.4853489004</v>
      </c>
      <c r="AF21" s="33">
        <f t="shared" si="19"/>
        <v>0</v>
      </c>
      <c r="AG21" s="32">
        <f t="shared" si="20"/>
        <v>516185.48648223409</v>
      </c>
      <c r="AH21" s="31">
        <f>VLOOKUP($A21,'[2]Excess Capacity'!$A$1:$IV$65536,3,FALSE)</f>
        <v>7920</v>
      </c>
      <c r="AI21" s="31">
        <f>VLOOKUP($A21,'[2]Excess Capacity'!$A$1:$IV$65536,4,FALSE)</f>
        <v>56</v>
      </c>
      <c r="AJ21" s="31">
        <f t="shared" si="21"/>
        <v>7976</v>
      </c>
      <c r="AK21" s="31">
        <f>VLOOKUP($A21,'[2]Excess Capacity'!$A$1:$IV$65536,6,FALSE)</f>
        <v>7210</v>
      </c>
      <c r="AL21" s="31">
        <f>VLOOKUP($A21,'[2]Excess Capacity'!$A$1:$IV$65536,7,FALSE)</f>
        <v>396</v>
      </c>
      <c r="AM21" s="31">
        <f>VLOOKUP($A21,'[2]Excess Capacity'!$A$1:$IV$65536,8,FALSE)</f>
        <v>63</v>
      </c>
      <c r="AN21" s="31">
        <f t="shared" si="22"/>
        <v>7669</v>
      </c>
      <c r="AO21" s="36">
        <f t="shared" si="23"/>
        <v>-307</v>
      </c>
      <c r="AP21" s="87">
        <v>1201.4025549134587</v>
      </c>
      <c r="AQ21" s="86">
        <f t="shared" si="24"/>
        <v>-368830.58435843181</v>
      </c>
      <c r="AR21" s="86">
        <f t="shared" si="29"/>
        <v>1789284.6509728772</v>
      </c>
      <c r="AS21" s="95">
        <f t="shared" si="25"/>
        <v>147354.90212380228</v>
      </c>
      <c r="AT21" s="115">
        <f t="shared" si="26"/>
        <v>7.3285176004112648E-2</v>
      </c>
      <c r="AU21" s="136">
        <f>VLOOKUP(A21,[3]Sheet2!$B:$D,3,FALSE)</f>
        <v>1.0961785275385361</v>
      </c>
      <c r="AV21" s="38">
        <f t="shared" si="27"/>
        <v>161527.27963565468</v>
      </c>
      <c r="AW21" s="27">
        <f t="shared" si="28"/>
        <v>3</v>
      </c>
      <c r="AX21" s="38"/>
    </row>
    <row r="22" spans="1:50" s="37" customFormat="1" x14ac:dyDescent="0.55000000000000004">
      <c r="A22" s="23">
        <v>210018</v>
      </c>
      <c r="B22" s="24" t="s">
        <v>118</v>
      </c>
      <c r="C22" s="32">
        <v>179494853.22280875</v>
      </c>
      <c r="D22" s="149">
        <f t="shared" si="0"/>
        <v>89747426.611404374</v>
      </c>
      <c r="E22" s="95">
        <f t="shared" si="1"/>
        <v>3589897.0644561751</v>
      </c>
      <c r="F22" s="96">
        <f t="shared" si="2"/>
        <v>89747426.611404374</v>
      </c>
      <c r="G22" s="95">
        <f t="shared" si="3"/>
        <v>2081971.999506538</v>
      </c>
      <c r="H22" s="105">
        <f>((IFERROR(VLOOKUP($A22,'Regular Peer Group Pivot'!$1:$1048576,13,FALSE),VLOOKUP($A22,'AMC Peer Group Pivot'!$1:$1048576,13,FALSE))*1000))</f>
        <v>135512711.71169317</v>
      </c>
      <c r="I22" s="57">
        <f>IFERROR(VLOOKUP(A22,'Regular Peer Group Pivot'!$1:$1048576,16,FALSE),VLOOKUP(A22,'AMC Peer Group Pivot'!$1:$1048576,16,FALSE))</f>
        <v>8.6548289511192311E-2</v>
      </c>
      <c r="J22" s="105">
        <f t="shared" si="4"/>
        <v>11728393.405670362</v>
      </c>
      <c r="K22" s="105">
        <f t="shared" si="5"/>
        <v>17400262.469633073</v>
      </c>
      <c r="L22" s="112">
        <f t="shared" si="6"/>
        <v>0.12324477909724657</v>
      </c>
      <c r="M22" s="58">
        <v>3</v>
      </c>
      <c r="N22" s="59">
        <f>IFERROR(VLOOKUP(M22,'Regular Peer Group Pivot'!$1:$1048576,16,FALSE),VLOOKUP(M22,'AMC Peer Group Pivot'!$1:$1048576,16,FALSE))</f>
        <v>9.0115883593839347E-2</v>
      </c>
      <c r="O22" s="59">
        <f t="shared" si="7"/>
        <v>0.10668033134554296</v>
      </c>
      <c r="P22" s="59">
        <f t="shared" si="8"/>
        <v>2.0132041834350647E-2</v>
      </c>
      <c r="Q22" s="61">
        <f t="shared" si="9"/>
        <v>2728147.5812661056</v>
      </c>
      <c r="R22" s="25">
        <f>VLOOKUP(A22,'[1]ICC Calculation'!$A$1:$IV$65536,26,FALSE)</f>
        <v>-0.20614305822372481</v>
      </c>
      <c r="S22" s="26">
        <f t="shared" si="10"/>
        <v>37</v>
      </c>
      <c r="T22" s="25">
        <v>0.12571477857297575</v>
      </c>
      <c r="U22" s="26">
        <f t="shared" si="11"/>
        <v>42</v>
      </c>
      <c r="V22" s="27">
        <f t="shared" si="12"/>
        <v>79</v>
      </c>
      <c r="W22" s="28">
        <f t="shared" si="13"/>
        <v>7</v>
      </c>
      <c r="X22" s="27">
        <f t="array" ref="X22">MAX(IF($AW$8:$AW$53=AW22,$W$8:$W$53))</f>
        <v>9</v>
      </c>
      <c r="Y22" s="29">
        <f t="shared" si="14"/>
        <v>6.6666666666666666E-2</v>
      </c>
      <c r="Z22" s="30">
        <f t="shared" si="15"/>
        <v>181876.50541774038</v>
      </c>
      <c r="AA22" s="34">
        <f>VLOOKUP($A22,PAU!$1:$1048576,9,FALSE)</f>
        <v>22004296.830000006</v>
      </c>
      <c r="AB22" s="35">
        <f>VLOOKUP($A22,PAU!$1:$1048576,30,FALSE)</f>
        <v>0.22330403339008842</v>
      </c>
      <c r="AC22" s="30">
        <f t="shared" si="16"/>
        <v>3</v>
      </c>
      <c r="AD22" s="30">
        <f t="shared" si="17"/>
        <v>-1942977.5617421344</v>
      </c>
      <c r="AE22" s="30">
        <f t="shared" si="18"/>
        <v>-3756423.2860347931</v>
      </c>
      <c r="AF22" s="33">
        <f t="shared" si="19"/>
        <v>0</v>
      </c>
      <c r="AG22" s="32">
        <f t="shared" si="20"/>
        <v>181876.50541774038</v>
      </c>
      <c r="AH22" s="31">
        <f>VLOOKUP($A22,'[2]Excess Capacity'!$A$1:$IV$65536,3,FALSE)</f>
        <v>41413</v>
      </c>
      <c r="AI22" s="31">
        <f>VLOOKUP($A22,'[2]Excess Capacity'!$A$1:$IV$65536,4,FALSE)</f>
        <v>484</v>
      </c>
      <c r="AJ22" s="31">
        <f t="shared" si="21"/>
        <v>41897</v>
      </c>
      <c r="AK22" s="31">
        <f>VLOOKUP($A22,'[2]Excess Capacity'!$A$1:$IV$65536,6,FALSE)</f>
        <v>29329</v>
      </c>
      <c r="AL22" s="31">
        <f>VLOOKUP($A22,'[2]Excess Capacity'!$A$1:$IV$65536,7,FALSE)</f>
        <v>1998</v>
      </c>
      <c r="AM22" s="31">
        <f>VLOOKUP($A22,'[2]Excess Capacity'!$A$1:$IV$65536,8,FALSE)</f>
        <v>387</v>
      </c>
      <c r="AN22" s="31">
        <f t="shared" si="22"/>
        <v>31714</v>
      </c>
      <c r="AO22" s="36">
        <f t="shared" si="23"/>
        <v>-10183</v>
      </c>
      <c r="AP22" s="87">
        <v>1201.4025549134587</v>
      </c>
      <c r="AQ22" s="86">
        <f t="shared" si="24"/>
        <v>-12233882.216683751</v>
      </c>
      <c r="AR22" s="86">
        <f t="shared" si="29"/>
        <v>5047277.4641107516</v>
      </c>
      <c r="AS22" s="95">
        <f t="shared" si="25"/>
        <v>-12052005.711266011</v>
      </c>
      <c r="AT22" s="115">
        <f t="shared" si="26"/>
        <v>-2.1248737541987168</v>
      </c>
      <c r="AU22" s="136">
        <f>VLOOKUP(A22,[3]Sheet2!$B:$D,3,FALSE)</f>
        <v>1.0933405894355734</v>
      </c>
      <c r="AV22" s="38">
        <f t="shared" si="27"/>
        <v>-13176947.028236479</v>
      </c>
      <c r="AW22" s="27">
        <f t="shared" si="28"/>
        <v>5</v>
      </c>
      <c r="AX22" s="38"/>
    </row>
    <row r="23" spans="1:50" s="37" customFormat="1" x14ac:dyDescent="0.55000000000000004">
      <c r="A23" s="23">
        <v>210019</v>
      </c>
      <c r="B23" s="24" t="s">
        <v>86</v>
      </c>
      <c r="C23" s="32">
        <v>451045405.42635596</v>
      </c>
      <c r="D23" s="149">
        <f t="shared" si="0"/>
        <v>225522702.71317798</v>
      </c>
      <c r="E23" s="95">
        <f t="shared" si="1"/>
        <v>9020908.1085271183</v>
      </c>
      <c r="F23" s="96">
        <f t="shared" si="2"/>
        <v>225522702.71317798</v>
      </c>
      <c r="G23" s="95">
        <f t="shared" si="3"/>
        <v>5231703.7939693909</v>
      </c>
      <c r="H23" s="105">
        <f>((IFERROR(VLOOKUP($A23,'Regular Peer Group Pivot'!$1:$1048576,13,FALSE),VLOOKUP($A23,'AMC Peer Group Pivot'!$1:$1048576,13,FALSE))*1000))</f>
        <v>336127300</v>
      </c>
      <c r="I23" s="57">
        <f>IFERROR(VLOOKUP(A23,'Regular Peer Group Pivot'!$1:$1048576,16,FALSE),VLOOKUP(A23,'AMC Peer Group Pivot'!$1:$1048576,16,FALSE))</f>
        <v>0.10079901275498897</v>
      </c>
      <c r="J23" s="105">
        <f t="shared" si="4"/>
        <v>33881300</v>
      </c>
      <c r="K23" s="105">
        <f t="shared" si="5"/>
        <v>48133911.902496509</v>
      </c>
      <c r="L23" s="112">
        <f t="shared" si="6"/>
        <v>0.13737634569612878</v>
      </c>
      <c r="M23" s="58">
        <v>3</v>
      </c>
      <c r="N23" s="59">
        <f>IFERROR(VLOOKUP(M23,'Regular Peer Group Pivot'!$1:$1048576,16,FALSE),VLOOKUP(M23,'AMC Peer Group Pivot'!$1:$1048576,16,FALSE))</f>
        <v>9.0115883593839347E-2</v>
      </c>
      <c r="O23" s="59">
        <f t="shared" si="7"/>
        <v>0.11374611464498406</v>
      </c>
      <c r="P23" s="59">
        <f t="shared" si="8"/>
        <v>1.2947101889995094E-2</v>
      </c>
      <c r="Q23" s="61">
        <f t="shared" si="9"/>
        <v>4351874.4011089476</v>
      </c>
      <c r="R23" s="25">
        <f>VLOOKUP(A23,'[1]ICC Calculation'!$A$1:$IV$65536,26,FALSE)</f>
        <v>-7.7427767492576516E-2</v>
      </c>
      <c r="S23" s="26">
        <f t="shared" si="10"/>
        <v>15</v>
      </c>
      <c r="T23" s="25">
        <v>8.4765983857081562E-2</v>
      </c>
      <c r="U23" s="26">
        <f t="shared" si="11"/>
        <v>26</v>
      </c>
      <c r="V23" s="27">
        <f t="shared" si="12"/>
        <v>41</v>
      </c>
      <c r="W23" s="28">
        <f t="shared" si="13"/>
        <v>8</v>
      </c>
      <c r="X23" s="27">
        <f t="array" ref="X23">MAX(IF($AW$8:$AW$53=AW23,$W$8:$W$53))</f>
        <v>9</v>
      </c>
      <c r="Y23" s="29">
        <f t="shared" si="14"/>
        <v>0.64444444444444438</v>
      </c>
      <c r="Z23" s="30">
        <f t="shared" si="15"/>
        <v>2804541.2807146548</v>
      </c>
      <c r="AA23" s="34">
        <f>VLOOKUP($A23,PAU!$1:$1048576,9,FALSE)</f>
        <v>50607442.019999996</v>
      </c>
      <c r="AB23" s="35">
        <f>VLOOKUP($A23,PAU!$1:$1048576,30,FALSE)</f>
        <v>0.19059551457165896</v>
      </c>
      <c r="AC23" s="30">
        <f t="shared" si="16"/>
        <v>2</v>
      </c>
      <c r="AD23" s="30">
        <f t="shared" si="17"/>
        <v>3449350.4500231296</v>
      </c>
      <c r="AE23" s="30">
        <f t="shared" si="18"/>
        <v>2222914.7344593499</v>
      </c>
      <c r="AF23" s="33">
        <f t="shared" si="19"/>
        <v>1111457.3672296749</v>
      </c>
      <c r="AG23" s="32">
        <f t="shared" si="20"/>
        <v>3915998.6479443298</v>
      </c>
      <c r="AH23" s="31">
        <f>VLOOKUP($A23,'[2]Excess Capacity'!$A$1:$IV$65536,3,FALSE)</f>
        <v>94216</v>
      </c>
      <c r="AI23" s="31">
        <f>VLOOKUP($A23,'[2]Excess Capacity'!$A$1:$IV$65536,4,FALSE)</f>
        <v>1170</v>
      </c>
      <c r="AJ23" s="31">
        <f t="shared" si="21"/>
        <v>95386</v>
      </c>
      <c r="AK23" s="31">
        <f>VLOOKUP($A23,'[2]Excess Capacity'!$A$1:$IV$65536,6,FALSE)</f>
        <v>74684</v>
      </c>
      <c r="AL23" s="31">
        <f>VLOOKUP($A23,'[2]Excess Capacity'!$A$1:$IV$65536,7,FALSE)</f>
        <v>2115</v>
      </c>
      <c r="AM23" s="31">
        <f>VLOOKUP($A23,'[2]Excess Capacity'!$A$1:$IV$65536,8,FALSE)</f>
        <v>1071</v>
      </c>
      <c r="AN23" s="31">
        <f t="shared" si="22"/>
        <v>77870</v>
      </c>
      <c r="AO23" s="36">
        <f t="shared" si="23"/>
        <v>-17516</v>
      </c>
      <c r="AP23" s="87">
        <v>1201.4025549134587</v>
      </c>
      <c r="AQ23" s="86">
        <f t="shared" si="24"/>
        <v>-21043767.151864145</v>
      </c>
      <c r="AR23" s="86">
        <f t="shared" si="29"/>
        <v>12683100.764305692</v>
      </c>
      <c r="AS23" s="95">
        <f t="shared" si="25"/>
        <v>-17127768.503919814</v>
      </c>
      <c r="AT23" s="115">
        <f t="shared" si="26"/>
        <v>-1.2017284004568796</v>
      </c>
      <c r="AU23" s="136">
        <f>VLOOKUP(A23,[3]Sheet2!$B:$D,3,FALSE)</f>
        <v>1.0978696918984006</v>
      </c>
      <c r="AV23" s="38">
        <f t="shared" si="27"/>
        <v>-18804057.930305574</v>
      </c>
      <c r="AW23" s="27">
        <f t="shared" si="28"/>
        <v>2</v>
      </c>
      <c r="AX23" s="38"/>
    </row>
    <row r="24" spans="1:50" s="37" customFormat="1" x14ac:dyDescent="0.55000000000000004">
      <c r="A24" s="23">
        <v>210022</v>
      </c>
      <c r="B24" s="24" t="s">
        <v>89</v>
      </c>
      <c r="C24" s="32">
        <v>329790134.06506217</v>
      </c>
      <c r="D24" s="149">
        <v>200550831</v>
      </c>
      <c r="E24" s="95">
        <f t="shared" si="1"/>
        <v>8022033.2400000002</v>
      </c>
      <c r="F24" s="96">
        <f t="shared" si="2"/>
        <v>200550831</v>
      </c>
      <c r="G24" s="95">
        <f t="shared" si="3"/>
        <v>4652403.1984523777</v>
      </c>
      <c r="H24" s="105">
        <f>((IFERROR(VLOOKUP($A24,'Regular Peer Group Pivot'!$1:$1048576,13,FALSE),VLOOKUP($A24,'AMC Peer Group Pivot'!$1:$1048576,13,FALSE))*1000))</f>
        <v>261990877.37999997</v>
      </c>
      <c r="I24" s="57">
        <f>IFERROR(VLOOKUP(A24,'Regular Peer Group Pivot'!$1:$1048576,16,FALSE),VLOOKUP(A24,'AMC Peer Group Pivot'!$1:$1048576,16,FALSE))</f>
        <v>7.0546731187102529E-2</v>
      </c>
      <c r="J24" s="105">
        <f t="shared" si="4"/>
        <v>18482600</v>
      </c>
      <c r="K24" s="105">
        <f t="shared" si="5"/>
        <v>31157036.438452378</v>
      </c>
      <c r="L24" s="112">
        <f t="shared" si="6"/>
        <v>0.11343637099749147</v>
      </c>
      <c r="M24" s="58">
        <v>1</v>
      </c>
      <c r="N24" s="59">
        <f>IFERROR(VLOOKUP(M24,'Regular Peer Group Pivot'!$1:$1048576,16,FALSE),VLOOKUP(M24,'AMC Peer Group Pivot'!$1:$1048576,16,FALSE))</f>
        <v>8.6831191177142525E-2</v>
      </c>
      <c r="O24" s="59">
        <f t="shared" si="7"/>
        <v>0.10013378108731699</v>
      </c>
      <c r="P24" s="59">
        <f t="shared" si="8"/>
        <v>2.9587049900214463E-2</v>
      </c>
      <c r="Q24" s="61">
        <f t="shared" si="9"/>
        <v>7751537.1624430278</v>
      </c>
      <c r="R24" s="25">
        <f>VLOOKUP(A24,'[1]ICC Calculation'!$A$1:$IV$65536,26,FALSE)</f>
        <v>4.4529175439311786E-4</v>
      </c>
      <c r="S24" s="26">
        <f t="shared" si="10"/>
        <v>3</v>
      </c>
      <c r="T24" s="25">
        <v>0.12367138027415581</v>
      </c>
      <c r="U24" s="26">
        <f t="shared" si="11"/>
        <v>41</v>
      </c>
      <c r="V24" s="27">
        <f t="shared" si="12"/>
        <v>44</v>
      </c>
      <c r="W24" s="28">
        <f t="shared" si="13"/>
        <v>1</v>
      </c>
      <c r="X24" s="27">
        <f t="array" ref="X24">MAX(IF($AW$8:$AW$53=AW24,$W$8:$W$53))</f>
        <v>9</v>
      </c>
      <c r="Y24" s="29">
        <f t="shared" si="14"/>
        <v>0.60000000000000009</v>
      </c>
      <c r="Z24" s="30">
        <f t="shared" si="15"/>
        <v>4650922.2974658171</v>
      </c>
      <c r="AA24" s="34">
        <f>VLOOKUP($A24,PAU!$1:$1048576,9,FALSE)</f>
        <v>33884105.220000006</v>
      </c>
      <c r="AB24" s="35">
        <f>VLOOKUP($A24,PAU!$1:$1048576,30,FALSE)</f>
        <v>0.14985878972028557</v>
      </c>
      <c r="AC24" s="30">
        <f t="shared" si="16"/>
        <v>1</v>
      </c>
      <c r="AD24" s="30">
        <f t="shared" si="17"/>
        <v>12148161.734122977</v>
      </c>
      <c r="AE24" s="30">
        <f t="shared" si="18"/>
        <v>7288897.0404737871</v>
      </c>
      <c r="AF24" s="33">
        <f t="shared" si="19"/>
        <v>3644448.5202368936</v>
      </c>
      <c r="AG24" s="32">
        <f t="shared" si="20"/>
        <v>8295370.8177027106</v>
      </c>
      <c r="AH24" s="31">
        <f>VLOOKUP($A24,'[2]Excess Capacity'!$A$1:$IV$65536,3,FALSE)</f>
        <v>57772</v>
      </c>
      <c r="AI24" s="31">
        <f>VLOOKUP($A24,'[2]Excess Capacity'!$A$1:$IV$65536,4,FALSE)</f>
        <v>395</v>
      </c>
      <c r="AJ24" s="31">
        <f t="shared" si="21"/>
        <v>58167</v>
      </c>
      <c r="AK24" s="31">
        <f>VLOOKUP($A24,'[2]Excess Capacity'!$A$1:$IV$65536,6,FALSE)</f>
        <v>61128</v>
      </c>
      <c r="AL24" s="31">
        <f>VLOOKUP($A24,'[2]Excess Capacity'!$A$1:$IV$65536,7,FALSE)</f>
        <v>2534</v>
      </c>
      <c r="AM24" s="31">
        <f>VLOOKUP($A24,'[2]Excess Capacity'!$A$1:$IV$65536,8,FALSE)</f>
        <v>491</v>
      </c>
      <c r="AN24" s="31">
        <f t="shared" si="22"/>
        <v>64153</v>
      </c>
      <c r="AO24" s="36">
        <f t="shared" si="23"/>
        <v>5986</v>
      </c>
      <c r="AP24" s="87">
        <v>1201.4025549134587</v>
      </c>
      <c r="AQ24" s="86">
        <f t="shared" si="24"/>
        <v>0</v>
      </c>
      <c r="AR24" s="86">
        <f t="shared" si="29"/>
        <v>11278715.478916664</v>
      </c>
      <c r="AS24" s="95">
        <f t="shared" si="25"/>
        <v>8295370.8177027106</v>
      </c>
      <c r="AT24" s="115">
        <f t="shared" si="26"/>
        <v>0.65449622616243308</v>
      </c>
      <c r="AU24" s="136">
        <f>VLOOKUP(A24,[3]Sheet2!$B:$D,3,FALSE)</f>
        <v>1.0909290081011322</v>
      </c>
      <c r="AV24" s="38">
        <f t="shared" si="27"/>
        <v>9049660.6579874959</v>
      </c>
      <c r="AW24" s="27">
        <f t="shared" si="28"/>
        <v>3</v>
      </c>
      <c r="AX24" s="38"/>
    </row>
    <row r="25" spans="1:50" s="37" customFormat="1" x14ac:dyDescent="0.55000000000000004">
      <c r="A25" s="23">
        <v>210023</v>
      </c>
      <c r="B25" s="24" t="s">
        <v>77</v>
      </c>
      <c r="C25" s="32">
        <v>639391539.80394161</v>
      </c>
      <c r="D25" s="149">
        <f>C25*0.5</f>
        <v>319695769.9019708</v>
      </c>
      <c r="E25" s="95">
        <f t="shared" si="1"/>
        <v>12787830.796078833</v>
      </c>
      <c r="F25" s="96">
        <f t="shared" si="2"/>
        <v>319695769.9019708</v>
      </c>
      <c r="G25" s="95">
        <f t="shared" si="3"/>
        <v>7416342.3557373546</v>
      </c>
      <c r="H25" s="105">
        <f>((IFERROR(VLOOKUP($A25,'Regular Peer Group Pivot'!$1:$1048576,13,FALSE),VLOOKUP($A25,'AMC Peer Group Pivot'!$1:$1048576,13,FALSE))*1000))</f>
        <v>490791240.29583234</v>
      </c>
      <c r="I25" s="57">
        <f>IFERROR(VLOOKUP($A25,'Regular Peer Group Pivot'!$1:$1048576,16,FALSE),VLOOKUP($A25,'AMC Peer Group Pivot'!$1:$1048576,16,FALSE))</f>
        <v>8.0301759208750642E-2</v>
      </c>
      <c r="J25" s="105">
        <f t="shared" si="4"/>
        <v>39411400</v>
      </c>
      <c r="K25" s="105">
        <f t="shared" si="5"/>
        <v>59615573.151816189</v>
      </c>
      <c r="L25" s="112">
        <f t="shared" si="6"/>
        <v>0.11666557386414546</v>
      </c>
      <c r="M25" s="58">
        <v>3</v>
      </c>
      <c r="N25" s="59">
        <f>IFERROR(VLOOKUP(M25,'Regular Peer Group Pivot'!$1:$1048576,16,FALSE),VLOOKUP(M25,'AMC Peer Group Pivot'!$1:$1048576,16,FALSE))</f>
        <v>9.0115883593839347E-2</v>
      </c>
      <c r="O25" s="59">
        <f t="shared" si="7"/>
        <v>0.10339072872899241</v>
      </c>
      <c r="P25" s="59">
        <f t="shared" si="8"/>
        <v>2.3088969520241767E-2</v>
      </c>
      <c r="Q25" s="61">
        <f t="shared" si="9"/>
        <v>11331863.987992126</v>
      </c>
      <c r="R25" s="25">
        <f>VLOOKUP(A25,'[1]ICC Calculation'!$A$1:$IV$65536,26,FALSE)</f>
        <v>-8.2440701865663657E-3</v>
      </c>
      <c r="S25" s="26">
        <f t="shared" si="10"/>
        <v>5</v>
      </c>
      <c r="T25" s="25">
        <v>3.5325807910071338E-2</v>
      </c>
      <c r="U25" s="26">
        <f t="shared" si="11"/>
        <v>3</v>
      </c>
      <c r="V25" s="27">
        <f t="shared" si="12"/>
        <v>8</v>
      </c>
      <c r="W25" s="28">
        <f t="shared" si="13"/>
        <v>1</v>
      </c>
      <c r="X25" s="27">
        <f t="array" ref="X25">MAX(IF($AW$8:$AW$53=AW25,$W$8:$W$53))</f>
        <v>9</v>
      </c>
      <c r="Y25" s="29">
        <f t="shared" si="14"/>
        <v>1</v>
      </c>
      <c r="Z25" s="30">
        <f t="shared" si="15"/>
        <v>11331863.987992126</v>
      </c>
      <c r="AA25" s="34">
        <f>VLOOKUP($A25,PAU!$1:$1048576,9,FALSE)</f>
        <v>56326285.359999999</v>
      </c>
      <c r="AB25" s="35">
        <f>VLOOKUP($A25,PAU!$1:$1048576,30,FALSE)</f>
        <v>0.17701738705326683</v>
      </c>
      <c r="AC25" s="30">
        <f t="shared" si="16"/>
        <v>2</v>
      </c>
      <c r="AD25" s="30">
        <f t="shared" si="17"/>
        <v>8454132.8688894138</v>
      </c>
      <c r="AE25" s="30">
        <f t="shared" si="18"/>
        <v>8454132.8688894138</v>
      </c>
      <c r="AF25" s="33">
        <f t="shared" si="19"/>
        <v>4227066.4344447069</v>
      </c>
      <c r="AG25" s="32">
        <f t="shared" si="20"/>
        <v>15558930.422436833</v>
      </c>
      <c r="AH25" s="31">
        <f>VLOOKUP($A25,'[2]Excess Capacity'!$A$1:$IV$65536,3,FALSE)</f>
        <v>84852</v>
      </c>
      <c r="AI25" s="31">
        <f>VLOOKUP($A25,'[2]Excess Capacity'!$A$1:$IV$65536,4,FALSE)</f>
        <v>341</v>
      </c>
      <c r="AJ25" s="31">
        <f t="shared" si="21"/>
        <v>85193</v>
      </c>
      <c r="AK25" s="31">
        <f>VLOOKUP($A25,'[2]Excess Capacity'!$A$1:$IV$65536,6,FALSE)</f>
        <v>88614</v>
      </c>
      <c r="AL25" s="31">
        <f>VLOOKUP($A25,'[2]Excess Capacity'!$A$1:$IV$65536,7,FALSE)</f>
        <v>2614</v>
      </c>
      <c r="AM25" s="31">
        <f>VLOOKUP($A25,'[2]Excess Capacity'!$A$1:$IV$65536,8,FALSE)</f>
        <v>1617</v>
      </c>
      <c r="AN25" s="31">
        <f t="shared" si="22"/>
        <v>92845</v>
      </c>
      <c r="AO25" s="36">
        <f t="shared" si="23"/>
        <v>7652</v>
      </c>
      <c r="AP25" s="87">
        <v>1201.4025549134587</v>
      </c>
      <c r="AQ25" s="86">
        <f t="shared" si="24"/>
        <v>0</v>
      </c>
      <c r="AR25" s="86">
        <f t="shared" si="29"/>
        <v>17979270.44509498</v>
      </c>
      <c r="AS25" s="95">
        <f t="shared" si="25"/>
        <v>15558930.422436833</v>
      </c>
      <c r="AT25" s="115">
        <f t="shared" si="26"/>
        <v>0.77008498717198004</v>
      </c>
      <c r="AU25" s="136">
        <f>VLOOKUP(A25,[3]Sheet2!$B:$D,3,FALSE)</f>
        <v>1.0881017105926887</v>
      </c>
      <c r="AV25" s="38">
        <f t="shared" si="27"/>
        <v>16929698.807646144</v>
      </c>
      <c r="AW25" s="27">
        <f t="shared" si="28"/>
        <v>1</v>
      </c>
      <c r="AX25" s="38"/>
    </row>
    <row r="26" spans="1:50" s="37" customFormat="1" x14ac:dyDescent="0.55000000000000004">
      <c r="A26" s="23">
        <v>210024</v>
      </c>
      <c r="B26" s="24" t="s">
        <v>101</v>
      </c>
      <c r="C26" s="32">
        <v>422992070.37010312</v>
      </c>
      <c r="D26" s="149">
        <f>C26*0.5</f>
        <v>211496035.18505156</v>
      </c>
      <c r="E26" s="95">
        <f t="shared" si="1"/>
        <v>8459841.4074020628</v>
      </c>
      <c r="F26" s="96">
        <f t="shared" si="2"/>
        <v>211496035.18505156</v>
      </c>
      <c r="G26" s="95">
        <f t="shared" si="3"/>
        <v>4906311.4106713943</v>
      </c>
      <c r="H26" s="105">
        <f>((IFERROR(VLOOKUP($A26,'Regular Peer Group Pivot'!$1:$1048576,13,FALSE),VLOOKUP($A26,'AMC Peer Group Pivot'!$1:$1048576,13,FALSE))*1000))</f>
        <v>342650431.7274043</v>
      </c>
      <c r="I26" s="57">
        <f>IFERROR(VLOOKUP(A26,'Regular Peer Group Pivot'!$1:$1048576,16,FALSE),VLOOKUP(A26,'AMC Peer Group Pivot'!$1:$1048576,16,FALSE))</f>
        <v>5.1147511534295406E-2</v>
      </c>
      <c r="J26" s="105">
        <f t="shared" si="4"/>
        <v>17525716.909008712</v>
      </c>
      <c r="K26" s="105">
        <f t="shared" si="5"/>
        <v>30891869.727082167</v>
      </c>
      <c r="L26" s="112">
        <f t="shared" si="6"/>
        <v>8.677087267302859E-2</v>
      </c>
      <c r="M26" s="58">
        <v>4</v>
      </c>
      <c r="N26" s="59">
        <f>IFERROR(VLOOKUP(M26,'Regular Peer Group Pivot'!$1:$1048576,16,FALSE),VLOOKUP(M26,'AMC Peer Group Pivot'!$1:$1048576,16,FALSE))</f>
        <v>7.6134151077943316E-2</v>
      </c>
      <c r="O26" s="59">
        <f t="shared" si="7"/>
        <v>8.1452511875485953E-2</v>
      </c>
      <c r="P26" s="59">
        <f t="shared" si="8"/>
        <v>3.0305000341190547E-2</v>
      </c>
      <c r="Q26" s="61">
        <f t="shared" si="9"/>
        <v>10384021.450408075</v>
      </c>
      <c r="R26" s="25">
        <f>VLOOKUP(A26,'[1]ICC Calculation'!$A$1:$IV$65536,26,FALSE)</f>
        <v>-2.8490795372834499E-2</v>
      </c>
      <c r="S26" s="26">
        <f t="shared" si="10"/>
        <v>7</v>
      </c>
      <c r="T26" s="25">
        <v>9.5319078856145101E-2</v>
      </c>
      <c r="U26" s="26">
        <f t="shared" si="11"/>
        <v>30</v>
      </c>
      <c r="V26" s="27">
        <f t="shared" si="12"/>
        <v>37</v>
      </c>
      <c r="W26" s="28">
        <f t="shared" si="13"/>
        <v>4</v>
      </c>
      <c r="X26" s="27">
        <f t="array" ref="X26">MAX(IF($AW$8:$AW$53=AW26,$W$8:$W$53))</f>
        <v>9</v>
      </c>
      <c r="Y26" s="29">
        <f t="shared" si="14"/>
        <v>0.73333333333333328</v>
      </c>
      <c r="Z26" s="30">
        <f t="shared" si="15"/>
        <v>7614949.0636325879</v>
      </c>
      <c r="AA26" s="34">
        <f>VLOOKUP($A26,PAU!$1:$1048576,9,FALSE)</f>
        <v>54569493.970000014</v>
      </c>
      <c r="AB26" s="35">
        <f>VLOOKUP($A26,PAU!$1:$1048576,30,FALSE)</f>
        <v>0.20197125497443544</v>
      </c>
      <c r="AC26" s="30">
        <f t="shared" si="16"/>
        <v>3</v>
      </c>
      <c r="AD26" s="30">
        <f t="shared" si="17"/>
        <v>436361.68505758047</v>
      </c>
      <c r="AE26" s="30">
        <f t="shared" si="18"/>
        <v>319998.56904222566</v>
      </c>
      <c r="AF26" s="33">
        <f t="shared" si="19"/>
        <v>159999.28452111283</v>
      </c>
      <c r="AG26" s="32">
        <f t="shared" si="20"/>
        <v>7774948.3481537011</v>
      </c>
      <c r="AH26" s="31">
        <f>VLOOKUP($A26,'[2]Excess Capacity'!$A$1:$IV$65536,3,FALSE)</f>
        <v>70293</v>
      </c>
      <c r="AI26" s="31">
        <f>VLOOKUP($A26,'[2]Excess Capacity'!$A$1:$IV$65536,4,FALSE)</f>
        <v>158</v>
      </c>
      <c r="AJ26" s="31">
        <f t="shared" si="21"/>
        <v>70451</v>
      </c>
      <c r="AK26" s="31">
        <f>VLOOKUP($A26,'[2]Excess Capacity'!$A$1:$IV$65536,6,FALSE)</f>
        <v>48455</v>
      </c>
      <c r="AL26" s="31">
        <f>VLOOKUP($A26,'[2]Excess Capacity'!$A$1:$IV$65536,7,FALSE)</f>
        <v>1914</v>
      </c>
      <c r="AM26" s="31">
        <f>VLOOKUP($A26,'[2]Excess Capacity'!$A$1:$IV$65536,8,FALSE)</f>
        <v>741</v>
      </c>
      <c r="AN26" s="31">
        <f t="shared" si="22"/>
        <v>51110</v>
      </c>
      <c r="AO26" s="36">
        <f t="shared" si="23"/>
        <v>-19341</v>
      </c>
      <c r="AP26" s="87">
        <v>1201.4025549134587</v>
      </c>
      <c r="AQ26" s="86">
        <f t="shared" si="24"/>
        <v>-23236326.814581204</v>
      </c>
      <c r="AR26" s="86">
        <f t="shared" si="29"/>
        <v>11894259.39487204</v>
      </c>
      <c r="AS26" s="95">
        <f t="shared" si="25"/>
        <v>-15461378.466427503</v>
      </c>
      <c r="AT26" s="115">
        <f t="shared" si="26"/>
        <v>-1.1567560746066679</v>
      </c>
      <c r="AU26" s="136">
        <f>VLOOKUP(A26,[3]Sheet2!$B:$D,3,FALSE)</f>
        <v>1.0963236833132124</v>
      </c>
      <c r="AV26" s="38">
        <f t="shared" si="27"/>
        <v>-16950675.389413387</v>
      </c>
      <c r="AW26" s="27">
        <f t="shared" si="28"/>
        <v>2</v>
      </c>
      <c r="AX26" s="38"/>
    </row>
    <row r="27" spans="1:50" s="37" customFormat="1" x14ac:dyDescent="0.55000000000000004">
      <c r="A27" s="23">
        <v>210027</v>
      </c>
      <c r="B27" s="24" t="s">
        <v>113</v>
      </c>
      <c r="C27" s="32">
        <v>336930418.85012084</v>
      </c>
      <c r="D27" s="149">
        <f>C27*0.5</f>
        <v>168465209.42506042</v>
      </c>
      <c r="E27" s="95">
        <f t="shared" si="1"/>
        <v>6738608.3770024171</v>
      </c>
      <c r="F27" s="96">
        <f t="shared" si="2"/>
        <v>168465209.42506042</v>
      </c>
      <c r="G27" s="95">
        <f t="shared" si="3"/>
        <v>3908076.9461239516</v>
      </c>
      <c r="H27" s="105">
        <f>((IFERROR(VLOOKUP($A27,'Regular Peer Group Pivot'!$1:$1048576,13,FALSE),VLOOKUP($A27,'AMC Peer Group Pivot'!$1:$1048576,13,FALSE))*1000))</f>
        <v>243235978.88999996</v>
      </c>
      <c r="I27" s="57">
        <f>IFERROR(VLOOKUP($A27,'Regular Peer Group Pivot'!$1:$1048576,16,FALSE),VLOOKUP($A27,'AMC Peer Group Pivot'!$1:$1048576,16,FALSE))</f>
        <v>0.13762149889485867</v>
      </c>
      <c r="J27" s="105">
        <f t="shared" si="4"/>
        <v>33474499.999999996</v>
      </c>
      <c r="K27" s="105">
        <f t="shared" si="5"/>
        <v>44121185.323126361</v>
      </c>
      <c r="L27" s="112">
        <f t="shared" si="6"/>
        <v>0.17378573468130948</v>
      </c>
      <c r="M27" s="58">
        <v>3</v>
      </c>
      <c r="N27" s="59">
        <f>IFERROR(VLOOKUP(M27,'Regular Peer Group Pivot'!$1:$1048576,16,FALSE),VLOOKUP(M27,'AMC Peer Group Pivot'!$1:$1048576,16,FALSE))</f>
        <v>9.0115883593839347E-2</v>
      </c>
      <c r="O27" s="59">
        <f t="shared" si="7"/>
        <v>0.1319508091375744</v>
      </c>
      <c r="P27" s="59">
        <f t="shared" si="8"/>
        <v>-5.6706897572842696E-3</v>
      </c>
      <c r="Q27" s="61">
        <f t="shared" si="9"/>
        <v>-1379315.7740945355</v>
      </c>
      <c r="R27" s="25">
        <f>VLOOKUP(A27,'[1]ICC Calculation'!$A$1:$IV$65536,26,FALSE)</f>
        <v>-0.15554597254087998</v>
      </c>
      <c r="S27" s="26">
        <f t="shared" si="10"/>
        <v>30</v>
      </c>
      <c r="T27" s="25">
        <v>6.9967023819679453E-2</v>
      </c>
      <c r="U27" s="26">
        <f t="shared" si="11"/>
        <v>17</v>
      </c>
      <c r="V27" s="27">
        <f t="shared" si="12"/>
        <v>47</v>
      </c>
      <c r="W27" s="28">
        <f t="shared" si="13"/>
        <v>5</v>
      </c>
      <c r="X27" s="27">
        <f t="array" ref="X27">MAX(IF($AW$8:$AW$53=AW27,$W$8:$W$53))</f>
        <v>9</v>
      </c>
      <c r="Y27" s="29">
        <f t="shared" si="14"/>
        <v>0.51111111111111118</v>
      </c>
      <c r="Z27" s="30">
        <f t="shared" si="15"/>
        <v>-2053647.9303185306</v>
      </c>
      <c r="AA27" s="34">
        <f>VLOOKUP($A27,PAU!$1:$1048576,9,FALSE)</f>
        <v>35467159.059999995</v>
      </c>
      <c r="AB27" s="35">
        <f>VLOOKUP($A27,PAU!$1:$1048576,30,FALSE)</f>
        <v>0.19343321710034497</v>
      </c>
      <c r="AC27" s="30">
        <f t="shared" si="16"/>
        <v>2</v>
      </c>
      <c r="AD27" s="30">
        <f t="shared" si="17"/>
        <v>1861630.7184565216</v>
      </c>
      <c r="AE27" s="30">
        <f t="shared" si="18"/>
        <v>951500.14498888899</v>
      </c>
      <c r="AF27" s="33">
        <f t="shared" si="19"/>
        <v>475750.0724944445</v>
      </c>
      <c r="AG27" s="32">
        <f t="shared" si="20"/>
        <v>-1577897.8578240862</v>
      </c>
      <c r="AH27" s="31">
        <f>VLOOKUP($A27,'[2]Excess Capacity'!$A$1:$IV$65536,3,FALSE)</f>
        <v>68813</v>
      </c>
      <c r="AI27" s="31">
        <f>VLOOKUP($A27,'[2]Excess Capacity'!$A$1:$IV$65536,4,FALSE)</f>
        <v>211</v>
      </c>
      <c r="AJ27" s="31">
        <f t="shared" si="21"/>
        <v>69024</v>
      </c>
      <c r="AK27" s="31">
        <f>VLOOKUP($A27,'[2]Excess Capacity'!$A$1:$IV$65536,6,FALSE)</f>
        <v>54265</v>
      </c>
      <c r="AL27" s="31">
        <f>VLOOKUP($A27,'[2]Excess Capacity'!$A$1:$IV$65536,7,FALSE)</f>
        <v>1321</v>
      </c>
      <c r="AM27" s="31">
        <f>VLOOKUP($A27,'[2]Excess Capacity'!$A$1:$IV$65536,8,FALSE)</f>
        <v>428</v>
      </c>
      <c r="AN27" s="31">
        <f t="shared" si="22"/>
        <v>56014</v>
      </c>
      <c r="AO27" s="36">
        <f t="shared" si="23"/>
        <v>-13010</v>
      </c>
      <c r="AP27" s="87">
        <v>1201.4025549134587</v>
      </c>
      <c r="AQ27" s="86">
        <f t="shared" si="24"/>
        <v>-15630247.239424098</v>
      </c>
      <c r="AR27" s="86">
        <f t="shared" si="29"/>
        <v>9474262.2392891832</v>
      </c>
      <c r="AS27" s="95">
        <f t="shared" si="25"/>
        <v>-17208145.097248185</v>
      </c>
      <c r="AT27" s="115">
        <f t="shared" si="26"/>
        <v>-1.6162913221328368</v>
      </c>
      <c r="AU27" s="136">
        <f>VLOOKUP(A27,[3]Sheet2!$B:$D,3,FALSE)</f>
        <v>1.1009509493306491</v>
      </c>
      <c r="AV27" s="38">
        <f t="shared" si="27"/>
        <v>-18945323.681034945</v>
      </c>
      <c r="AW27" s="27">
        <f t="shared" si="28"/>
        <v>3</v>
      </c>
      <c r="AX27" s="38"/>
    </row>
    <row r="28" spans="1:50" s="37" customFormat="1" x14ac:dyDescent="0.55000000000000004">
      <c r="A28" s="23">
        <v>210028</v>
      </c>
      <c r="B28" s="24" t="s">
        <v>91</v>
      </c>
      <c r="C28" s="32">
        <v>190136488.82213232</v>
      </c>
      <c r="D28" s="149">
        <f>C28*0.5</f>
        <v>95068244.41106616</v>
      </c>
      <c r="E28" s="95">
        <f t="shared" si="1"/>
        <v>3802729.7764426465</v>
      </c>
      <c r="F28" s="96">
        <f t="shared" si="2"/>
        <v>95068244.41106616</v>
      </c>
      <c r="G28" s="95">
        <f t="shared" si="3"/>
        <v>2205404.9946534331</v>
      </c>
      <c r="H28" s="105">
        <f>((IFERROR(VLOOKUP($A28,'Regular Peer Group Pivot'!$1:$1048576,13,FALSE),VLOOKUP($A28,'AMC Peer Group Pivot'!$1:$1048576,13,FALSE))*1000))</f>
        <v>142378610.44053364</v>
      </c>
      <c r="I28" s="57">
        <f>IFERROR(VLOOKUP(A28,'Regular Peer Group Pivot'!$1:$1048576,16,FALSE),VLOOKUP(A28,'AMC Peer Group Pivot'!$1:$1048576,16,FALSE))</f>
        <v>6.3132763452243973E-2</v>
      </c>
      <c r="J28" s="105">
        <f t="shared" si="4"/>
        <v>8988755.1336014047</v>
      </c>
      <c r="K28" s="105">
        <f t="shared" si="5"/>
        <v>14996889.904697485</v>
      </c>
      <c r="L28" s="112">
        <f t="shared" si="6"/>
        <v>0.10106623663258377</v>
      </c>
      <c r="M28" s="58">
        <v>3</v>
      </c>
      <c r="N28" s="59">
        <f>IFERROR(VLOOKUP(M28,'Regular Peer Group Pivot'!$1:$1048576,16,FALSE),VLOOKUP(M28,'AMC Peer Group Pivot'!$1:$1048576,16,FALSE))</f>
        <v>9.0115883593839347E-2</v>
      </c>
      <c r="O28" s="59">
        <f t="shared" si="7"/>
        <v>9.5591060113211557E-2</v>
      </c>
      <c r="P28" s="59">
        <f t="shared" si="8"/>
        <v>3.2458296660967584E-2</v>
      </c>
      <c r="Q28" s="61">
        <f t="shared" si="9"/>
        <v>4621367.1758551775</v>
      </c>
      <c r="R28" s="25">
        <f>VLOOKUP(A28,'[1]ICC Calculation'!$A$1:$IV$65536,26,FALSE)</f>
        <v>-0.12163668494137969</v>
      </c>
      <c r="S28" s="26">
        <f t="shared" si="10"/>
        <v>21</v>
      </c>
      <c r="T28" s="25">
        <v>8.8877367966737619E-2</v>
      </c>
      <c r="U28" s="26">
        <f t="shared" si="11"/>
        <v>27</v>
      </c>
      <c r="V28" s="27">
        <f t="shared" si="12"/>
        <v>48</v>
      </c>
      <c r="W28" s="28">
        <f t="shared" si="13"/>
        <v>6</v>
      </c>
      <c r="X28" s="27">
        <f t="array" ref="X28">MAX(IF($AW$8:$AW$53=AW28,$W$8:$W$53))</f>
        <v>9</v>
      </c>
      <c r="Y28" s="29">
        <f t="shared" si="14"/>
        <v>0.48888888888888893</v>
      </c>
      <c r="Z28" s="30">
        <f t="shared" si="15"/>
        <v>2259335.0637514205</v>
      </c>
      <c r="AA28" s="34">
        <f>VLOOKUP($A28,PAU!$1:$1048576,9,FALSE)</f>
        <v>23766134.949999999</v>
      </c>
      <c r="AB28" s="35">
        <f>VLOOKUP($A28,PAU!$1:$1048576,30,FALSE)</f>
        <v>0.25415929631439471</v>
      </c>
      <c r="AC28" s="30">
        <f t="shared" si="16"/>
        <v>4</v>
      </c>
      <c r="AD28" s="30">
        <f t="shared" si="17"/>
        <v>-4729020.4611308649</v>
      </c>
      <c r="AE28" s="30">
        <f t="shared" si="18"/>
        <v>-7146075.3634866402</v>
      </c>
      <c r="AF28" s="33">
        <f t="shared" si="19"/>
        <v>0</v>
      </c>
      <c r="AG28" s="32">
        <f t="shared" si="20"/>
        <v>2259335.0637514205</v>
      </c>
      <c r="AH28" s="31">
        <f>VLOOKUP($A28,'[2]Excess Capacity'!$A$1:$IV$65536,3,FALSE)</f>
        <v>24891</v>
      </c>
      <c r="AI28" s="31">
        <f>VLOOKUP($A28,'[2]Excess Capacity'!$A$1:$IV$65536,4,FALSE)</f>
        <v>173</v>
      </c>
      <c r="AJ28" s="31">
        <f t="shared" si="21"/>
        <v>25064</v>
      </c>
      <c r="AK28" s="31">
        <f>VLOOKUP($A28,'[2]Excess Capacity'!$A$1:$IV$65536,6,FALSE)</f>
        <v>24965</v>
      </c>
      <c r="AL28" s="31">
        <f>VLOOKUP($A28,'[2]Excess Capacity'!$A$1:$IV$65536,7,FALSE)</f>
        <v>2160</v>
      </c>
      <c r="AM28" s="31">
        <f>VLOOKUP($A28,'[2]Excess Capacity'!$A$1:$IV$65536,8,FALSE)</f>
        <v>445</v>
      </c>
      <c r="AN28" s="31">
        <f t="shared" si="22"/>
        <v>27570</v>
      </c>
      <c r="AO28" s="36">
        <f t="shared" si="23"/>
        <v>2506</v>
      </c>
      <c r="AP28" s="87">
        <v>1201.4025549134587</v>
      </c>
      <c r="AQ28" s="86">
        <f t="shared" si="24"/>
        <v>0</v>
      </c>
      <c r="AR28" s="86">
        <f t="shared" si="29"/>
        <v>5346513.2727000499</v>
      </c>
      <c r="AS28" s="95">
        <f t="shared" si="25"/>
        <v>2259335.0637514205</v>
      </c>
      <c r="AT28" s="115">
        <f t="shared" si="26"/>
        <v>0.37604600259977927</v>
      </c>
      <c r="AU28" s="136">
        <f>VLOOKUP(A28,[3]Sheet2!$B:$D,3,FALSE)</f>
        <v>1.0923191168670769</v>
      </c>
      <c r="AV28" s="38">
        <f t="shared" si="27"/>
        <v>2467914.8815437728</v>
      </c>
      <c r="AW28" s="27">
        <f t="shared" si="28"/>
        <v>3</v>
      </c>
      <c r="AX28" s="38"/>
    </row>
    <row r="29" spans="1:50" s="37" customFormat="1" x14ac:dyDescent="0.55000000000000004">
      <c r="A29" s="23">
        <v>210029</v>
      </c>
      <c r="B29" s="24" t="s">
        <v>85</v>
      </c>
      <c r="C29" s="32">
        <v>680784313.54208112</v>
      </c>
      <c r="D29" s="149">
        <v>480000000</v>
      </c>
      <c r="E29" s="95">
        <f t="shared" si="1"/>
        <v>19200000</v>
      </c>
      <c r="F29" s="96">
        <f t="shared" si="2"/>
        <v>480000000</v>
      </c>
      <c r="G29" s="95">
        <f t="shared" si="3"/>
        <v>11135099.885261213</v>
      </c>
      <c r="H29" s="105">
        <f>((IFERROR(VLOOKUP($A29,'Regular Peer Group Pivot'!$1:$1048576,13,FALSE),VLOOKUP($A29,'AMC Peer Group Pivot'!$1:$1048576,13,FALSE))*1000))</f>
        <v>565882699.86891234</v>
      </c>
      <c r="I29" s="57">
        <f>IFERROR(VLOOKUP(A29,'Regular Peer Group Pivot'!$1:$1048576,16,FALSE),VLOOKUP(A29,'AMC Peer Group Pivot'!$1:$1048576,16,FALSE))</f>
        <v>7.5154564331151877E-2</v>
      </c>
      <c r="J29" s="105">
        <f t="shared" si="4"/>
        <v>42528667.771184079</v>
      </c>
      <c r="K29" s="105">
        <f t="shared" si="5"/>
        <v>72863767.656445295</v>
      </c>
      <c r="L29" s="112">
        <f t="shared" si="6"/>
        <v>0.12220998381210314</v>
      </c>
      <c r="M29" s="58">
        <v>4</v>
      </c>
      <c r="N29" s="59">
        <f>IFERROR(VLOOKUP(M29,'Regular Peer Group Pivot'!$1:$1048576,16,FALSE),VLOOKUP(M29,'AMC Peer Group Pivot'!$1:$1048576,16,FALSE))</f>
        <v>7.6134151077943316E-2</v>
      </c>
      <c r="O29" s="59">
        <f t="shared" si="7"/>
        <v>9.9172067445023229E-2</v>
      </c>
      <c r="P29" s="59">
        <f t="shared" si="8"/>
        <v>2.4017503113871352E-2</v>
      </c>
      <c r="Q29" s="61">
        <f t="shared" si="9"/>
        <v>13591089.50618753</v>
      </c>
      <c r="R29" s="25">
        <f>VLOOKUP(A29,'[1]ICC Calculation'!$A$1:$IV$65536,26,FALSE)</f>
        <v>-5.511855879029115E-2</v>
      </c>
      <c r="S29" s="26">
        <f t="shared" si="10"/>
        <v>9</v>
      </c>
      <c r="T29" s="25">
        <v>6.0938971597227942E-2</v>
      </c>
      <c r="U29" s="26">
        <f t="shared" si="11"/>
        <v>14</v>
      </c>
      <c r="V29" s="27">
        <f t="shared" si="12"/>
        <v>23</v>
      </c>
      <c r="W29" s="28">
        <f t="shared" si="13"/>
        <v>4</v>
      </c>
      <c r="X29" s="27">
        <f t="array" ref="X29">MAX(IF($AW$8:$AW$53=AW29,$W$8:$W$53))</f>
        <v>9</v>
      </c>
      <c r="Y29" s="29">
        <f t="shared" si="14"/>
        <v>0.93333333333333335</v>
      </c>
      <c r="Z29" s="30">
        <f t="shared" si="15"/>
        <v>12685016.872441696</v>
      </c>
      <c r="AA29" s="34">
        <f>VLOOKUP($A29,PAU!$1:$1048576,9,FALSE)</f>
        <v>80232396.230000019</v>
      </c>
      <c r="AB29" s="35">
        <f>VLOOKUP($A29,PAU!$1:$1048576,30,FALSE)</f>
        <v>0.21275771826811424</v>
      </c>
      <c r="AC29" s="30">
        <f t="shared" si="16"/>
        <v>3</v>
      </c>
      <c r="AD29" s="30">
        <f>AA29/AB29*$AB$55-AA29</f>
        <v>-3458602.5322275311</v>
      </c>
      <c r="AE29" s="30">
        <f t="shared" si="18"/>
        <v>-3689176.0343760331</v>
      </c>
      <c r="AF29" s="33">
        <f t="shared" si="19"/>
        <v>0</v>
      </c>
      <c r="AG29" s="32">
        <f t="shared" si="20"/>
        <v>12685016.872441696</v>
      </c>
      <c r="AH29" s="31">
        <f>VLOOKUP($A29,'[2]Excess Capacity'!$A$1:$IV$65536,3,FALSE)</f>
        <v>113606</v>
      </c>
      <c r="AI29" s="31">
        <f>VLOOKUP($A29,'[2]Excess Capacity'!$A$1:$IV$65536,4,FALSE)</f>
        <v>653</v>
      </c>
      <c r="AJ29" s="31">
        <f t="shared" si="21"/>
        <v>114259</v>
      </c>
      <c r="AK29" s="31">
        <f>VLOOKUP($A29,'[2]Excess Capacity'!$A$1:$IV$65536,6,FALSE)</f>
        <v>105338</v>
      </c>
      <c r="AL29" s="31">
        <f>VLOOKUP($A29,'[2]Excess Capacity'!$A$1:$IV$65536,7,FALSE)</f>
        <v>1690</v>
      </c>
      <c r="AM29" s="31">
        <f>VLOOKUP($A29,'[2]Excess Capacity'!$A$1:$IV$65536,8,FALSE)</f>
        <v>861</v>
      </c>
      <c r="AN29" s="31">
        <f t="shared" si="22"/>
        <v>107889</v>
      </c>
      <c r="AO29" s="36">
        <f t="shared" si="23"/>
        <v>-6370</v>
      </c>
      <c r="AP29" s="87">
        <v>1201.4025549134587</v>
      </c>
      <c r="AQ29" s="86">
        <f t="shared" si="24"/>
        <v>-7652934.2747987323</v>
      </c>
      <c r="AR29" s="86">
        <f t="shared" si="29"/>
        <v>26994569.919682849</v>
      </c>
      <c r="AS29" s="95">
        <f t="shared" si="25"/>
        <v>5032082.5976429638</v>
      </c>
      <c r="AT29" s="115">
        <f t="shared" si="26"/>
        <v>0.16588317218918669</v>
      </c>
      <c r="AU29" s="136">
        <f>VLOOKUP(A29,[3]Sheet2!$B:$D,3,FALSE)</f>
        <v>1.0977598582507571</v>
      </c>
      <c r="AV29" s="38">
        <f t="shared" si="27"/>
        <v>5524018.2790946411</v>
      </c>
      <c r="AW29" s="27">
        <f t="shared" si="28"/>
        <v>1</v>
      </c>
      <c r="AX29" s="38"/>
    </row>
    <row r="30" spans="1:50" s="37" customFormat="1" x14ac:dyDescent="0.55000000000000004">
      <c r="A30" s="23">
        <v>210030</v>
      </c>
      <c r="B30" s="24" t="s">
        <v>111</v>
      </c>
      <c r="C30" s="32">
        <v>56032990.914783902</v>
      </c>
      <c r="D30" s="149">
        <f t="shared" ref="D30:D53" si="30">C30*0.5</f>
        <v>28016495.457391951</v>
      </c>
      <c r="E30" s="95">
        <f t="shared" si="1"/>
        <v>1120659.8182956781</v>
      </c>
      <c r="F30" s="96">
        <f t="shared" si="2"/>
        <v>28016495.457391951</v>
      </c>
      <c r="G30" s="95">
        <f t="shared" si="3"/>
        <v>649930.15698547149</v>
      </c>
      <c r="H30" s="105">
        <f>((IFERROR(VLOOKUP($A30,'Regular Peer Group Pivot'!$1:$1048576,13,FALSE),VLOOKUP($A30,'AMC Peer Group Pivot'!$1:$1048576,13,FALSE))*1000))</f>
        <v>40471707.732355729</v>
      </c>
      <c r="I30" s="57">
        <f>IFERROR(VLOOKUP(A30,'Regular Peer Group Pivot'!$1:$1048576,16,FALSE),VLOOKUP(A30,'AMC Peer Group Pivot'!$1:$1048576,16,FALSE))</f>
        <v>9.2223872601595536E-2</v>
      </c>
      <c r="J30" s="105">
        <f t="shared" si="4"/>
        <v>3732457.6178777837</v>
      </c>
      <c r="K30" s="105">
        <f t="shared" si="5"/>
        <v>5503047.5931589324</v>
      </c>
      <c r="L30" s="112">
        <f t="shared" si="6"/>
        <v>0.13027339637739568</v>
      </c>
      <c r="M30" s="58">
        <v>3</v>
      </c>
      <c r="N30" s="59">
        <f>IFERROR(VLOOKUP(M30,'Regular Peer Group Pivot'!$1:$1048576,16,FALSE),VLOOKUP(M30,'AMC Peer Group Pivot'!$1:$1048576,16,FALSE))</f>
        <v>9.0115883593839347E-2</v>
      </c>
      <c r="O30" s="59">
        <f t="shared" si="7"/>
        <v>0.11019463998561752</v>
      </c>
      <c r="P30" s="59">
        <f t="shared" si="8"/>
        <v>1.7970767384021979E-2</v>
      </c>
      <c r="Q30" s="61">
        <f t="shared" si="9"/>
        <v>727307.64529228851</v>
      </c>
      <c r="R30" s="25">
        <f>VLOOKUP(A30,'[1]ICC Calculation'!$A$1:$IV$65536,26,FALSE)</f>
        <v>-0.26326594574062978</v>
      </c>
      <c r="S30" s="26">
        <f t="shared" si="10"/>
        <v>41</v>
      </c>
      <c r="T30" s="25">
        <v>7.1609626435278795E-2</v>
      </c>
      <c r="U30" s="26">
        <f t="shared" si="11"/>
        <v>20</v>
      </c>
      <c r="V30" s="27">
        <f t="shared" si="12"/>
        <v>61</v>
      </c>
      <c r="W30" s="28">
        <f t="shared" si="13"/>
        <v>2</v>
      </c>
      <c r="X30" s="27">
        <f t="array" ref="X30">MAX(IF($AW$8:$AW$53=AW30,$W$8:$W$53))</f>
        <v>9</v>
      </c>
      <c r="Y30" s="29">
        <f t="shared" si="14"/>
        <v>0.17777777777777778</v>
      </c>
      <c r="Z30" s="30">
        <f t="shared" si="15"/>
        <v>129299.1369408513</v>
      </c>
      <c r="AA30" s="34">
        <f>VLOOKUP($A30,PAU!$1:$1048576,9,FALSE)</f>
        <v>3363272.27</v>
      </c>
      <c r="AB30" s="35">
        <f>VLOOKUP($A30,PAU!$1:$1048576,30,FALSE)</f>
        <v>0.19168905012278714</v>
      </c>
      <c r="AC30" s="30">
        <f t="shared" si="16"/>
        <v>2</v>
      </c>
      <c r="AD30" s="30">
        <f t="shared" ref="AD30:AD53" si="31">(IF(AB30&gt;$AB$4,AA30/AB30*(AB30-$AB$2)-AA30,IF(AB30&lt;$AB$3,AA30/AB30*(AB30+$AB$2)-AA30,AA30/AB30*$AB$55-AA30)))</f>
        <v>208742.80900447909</v>
      </c>
      <c r="AE30" s="30">
        <f t="shared" si="18"/>
        <v>37109.832711907395</v>
      </c>
      <c r="AF30" s="33">
        <f t="shared" si="19"/>
        <v>18554.916355953697</v>
      </c>
      <c r="AG30" s="32">
        <f t="shared" si="20"/>
        <v>147854.05329680501</v>
      </c>
      <c r="AH30" s="31">
        <f>VLOOKUP($A30,'[2]Excess Capacity'!$A$1:$IV$65536,3,FALSE)</f>
        <v>12113</v>
      </c>
      <c r="AI30" s="31">
        <f>VLOOKUP($A30,'[2]Excess Capacity'!$A$1:$IV$65536,4,FALSE)</f>
        <v>74</v>
      </c>
      <c r="AJ30" s="31">
        <f t="shared" si="21"/>
        <v>12187</v>
      </c>
      <c r="AK30" s="31">
        <f>VLOOKUP($A30,'[2]Excess Capacity'!$A$1:$IV$65536,6,FALSE)</f>
        <v>4853</v>
      </c>
      <c r="AL30" s="31">
        <f>VLOOKUP($A30,'[2]Excess Capacity'!$A$1:$IV$65536,7,FALSE)</f>
        <v>250</v>
      </c>
      <c r="AM30" s="31">
        <f>VLOOKUP($A30,'[2]Excess Capacity'!$A$1:$IV$65536,8,FALSE)</f>
        <v>47</v>
      </c>
      <c r="AN30" s="31">
        <f t="shared" si="22"/>
        <v>5150</v>
      </c>
      <c r="AO30" s="36">
        <f t="shared" si="23"/>
        <v>-7037</v>
      </c>
      <c r="AP30" s="87">
        <v>1201.4025549134587</v>
      </c>
      <c r="AQ30" s="86">
        <f t="shared" si="24"/>
        <v>-8454269.7789260093</v>
      </c>
      <c r="AR30" s="86">
        <f t="shared" si="29"/>
        <v>1575610.9281855081</v>
      </c>
      <c r="AS30" s="95">
        <f t="shared" si="25"/>
        <v>-8306415.725629204</v>
      </c>
      <c r="AT30" s="115">
        <f t="shared" si="26"/>
        <v>-4.6913265304748153</v>
      </c>
      <c r="AU30" s="136">
        <f>VLOOKUP(A30,[3]Sheet2!$B:$D,3,FALSE)</f>
        <v>1.1003347580106044</v>
      </c>
      <c r="AV30" s="38">
        <f t="shared" si="27"/>
        <v>-9139837.93739569</v>
      </c>
      <c r="AW30" s="27">
        <f t="shared" si="28"/>
        <v>5</v>
      </c>
      <c r="AX30" s="38"/>
    </row>
    <row r="31" spans="1:50" s="37" customFormat="1" x14ac:dyDescent="0.55000000000000004">
      <c r="A31" s="23">
        <v>210032</v>
      </c>
      <c r="B31" s="24" t="s">
        <v>87</v>
      </c>
      <c r="C31" s="32">
        <v>164310086.06700188</v>
      </c>
      <c r="D31" s="149">
        <f t="shared" si="30"/>
        <v>82155043.03350094</v>
      </c>
      <c r="E31" s="95">
        <f t="shared" si="1"/>
        <v>3286201.7213400374</v>
      </c>
      <c r="F31" s="96">
        <f t="shared" si="2"/>
        <v>82155043.03350094</v>
      </c>
      <c r="G31" s="95">
        <f t="shared" si="3"/>
        <v>1905842.938033263</v>
      </c>
      <c r="H31" s="105">
        <f>((IFERROR(VLOOKUP($A31,'Regular Peer Group Pivot'!$1:$1048576,13,FALSE),VLOOKUP($A31,'AMC Peer Group Pivot'!$1:$1048576,13,FALSE))*1000))</f>
        <v>127785200</v>
      </c>
      <c r="I31" s="57">
        <f>IFERROR(VLOOKUP(A31,'Regular Peer Group Pivot'!$1:$1048576,16,FALSE),VLOOKUP(A31,'AMC Peer Group Pivot'!$1:$1048576,16,FALSE))</f>
        <v>0.10763766069936112</v>
      </c>
      <c r="J31" s="105">
        <f t="shared" si="4"/>
        <v>13754500</v>
      </c>
      <c r="K31" s="105">
        <f t="shared" si="5"/>
        <v>18946544.659373302</v>
      </c>
      <c r="L31" s="112">
        <f t="shared" si="6"/>
        <v>0.14247960023465411</v>
      </c>
      <c r="M31" s="58">
        <v>3</v>
      </c>
      <c r="N31" s="59">
        <f>IFERROR(VLOOKUP(M31,'Regular Peer Group Pivot'!$1:$1048576,16,FALSE),VLOOKUP(M31,'AMC Peer Group Pivot'!$1:$1048576,16,FALSE))</f>
        <v>9.0115883593839347E-2</v>
      </c>
      <c r="O31" s="59">
        <f t="shared" si="7"/>
        <v>0.11629774191424673</v>
      </c>
      <c r="P31" s="59">
        <f t="shared" si="8"/>
        <v>8.6600812148856093E-3</v>
      </c>
      <c r="Q31" s="61">
        <f t="shared" si="9"/>
        <v>1106630.2100604007</v>
      </c>
      <c r="R31" s="25">
        <f>VLOOKUP(A31,'[1]ICC Calculation'!$A$1:$IV$65536,26,FALSE)</f>
        <v>-0.27256184504601666</v>
      </c>
      <c r="S31" s="26">
        <f t="shared" si="10"/>
        <v>43</v>
      </c>
      <c r="T31" s="25">
        <v>0.10944948245425201</v>
      </c>
      <c r="U31" s="26">
        <f t="shared" si="11"/>
        <v>35</v>
      </c>
      <c r="V31" s="27">
        <f t="shared" si="12"/>
        <v>78</v>
      </c>
      <c r="W31" s="28">
        <f t="shared" si="13"/>
        <v>6</v>
      </c>
      <c r="X31" s="27">
        <f t="array" ref="X31">MAX(IF($AW$8:$AW$53=AW31,$W$8:$W$53))</f>
        <v>9</v>
      </c>
      <c r="Y31" s="29">
        <f t="shared" si="14"/>
        <v>8.8888888888888892E-2</v>
      </c>
      <c r="Z31" s="30">
        <f t="shared" si="15"/>
        <v>98367.129783146724</v>
      </c>
      <c r="AA31" s="34">
        <f>VLOOKUP($A31,PAU!$1:$1048576,9,FALSE)</f>
        <v>18827756.280000005</v>
      </c>
      <c r="AB31" s="35">
        <f>VLOOKUP($A31,PAU!$1:$1048576,30,FALSE)</f>
        <v>0.24479147104770277</v>
      </c>
      <c r="AC31" s="30">
        <f t="shared" si="16"/>
        <v>4</v>
      </c>
      <c r="AD31" s="30">
        <f t="shared" si="31"/>
        <v>-3169231.3530823141</v>
      </c>
      <c r="AE31" s="30">
        <f t="shared" si="18"/>
        <v>-6056753.2525573112</v>
      </c>
      <c r="AF31" s="33">
        <f t="shared" si="19"/>
        <v>0</v>
      </c>
      <c r="AG31" s="32">
        <f t="shared" si="20"/>
        <v>98367.129783146724</v>
      </c>
      <c r="AH31" s="31">
        <f>VLOOKUP($A31,'[2]Excess Capacity'!$A$1:$IV$65536,3,FALSE)</f>
        <v>29096</v>
      </c>
      <c r="AI31" s="31">
        <f>VLOOKUP($A31,'[2]Excess Capacity'!$A$1:$IV$65536,4,FALSE)</f>
        <v>258</v>
      </c>
      <c r="AJ31" s="31">
        <f t="shared" si="21"/>
        <v>29354</v>
      </c>
      <c r="AK31" s="31">
        <f>VLOOKUP($A31,'[2]Excess Capacity'!$A$1:$IV$65536,6,FALSE)</f>
        <v>19103</v>
      </c>
      <c r="AL31" s="31">
        <f>VLOOKUP($A31,'[2]Excess Capacity'!$A$1:$IV$65536,7,FALSE)</f>
        <v>285</v>
      </c>
      <c r="AM31" s="31">
        <f>VLOOKUP($A31,'[2]Excess Capacity'!$A$1:$IV$65536,8,FALSE)</f>
        <v>195</v>
      </c>
      <c r="AN31" s="31">
        <f t="shared" si="22"/>
        <v>19583</v>
      </c>
      <c r="AO31" s="36">
        <f t="shared" si="23"/>
        <v>-9771</v>
      </c>
      <c r="AP31" s="87">
        <v>1201.4025549134587</v>
      </c>
      <c r="AQ31" s="86">
        <f t="shared" si="24"/>
        <v>-11738904.364059405</v>
      </c>
      <c r="AR31" s="86">
        <f t="shared" si="29"/>
        <v>4620291.7779633217</v>
      </c>
      <c r="AS31" s="95">
        <f t="shared" si="25"/>
        <v>-11640537.234276259</v>
      </c>
      <c r="AT31" s="115">
        <f t="shared" si="26"/>
        <v>-2.2419948205301679</v>
      </c>
      <c r="AU31" s="136">
        <f>VLOOKUP(A31,[3]Sheet2!$B:$D,3,FALSE)</f>
        <v>1.0967871336900321</v>
      </c>
      <c r="AV31" s="38">
        <f t="shared" si="27"/>
        <v>-12767191.467793953</v>
      </c>
      <c r="AW31" s="27">
        <f t="shared" si="28"/>
        <v>5</v>
      </c>
      <c r="AX31" s="38"/>
    </row>
    <row r="32" spans="1:50" s="37" customFormat="1" x14ac:dyDescent="0.55000000000000004">
      <c r="A32" s="23">
        <v>210033</v>
      </c>
      <c r="B32" s="24" t="s">
        <v>94</v>
      </c>
      <c r="C32" s="32">
        <v>233852192.13503274</v>
      </c>
      <c r="D32" s="149">
        <f t="shared" si="30"/>
        <v>116926096.06751637</v>
      </c>
      <c r="E32" s="95">
        <f t="shared" si="1"/>
        <v>4677043.8427006546</v>
      </c>
      <c r="F32" s="96">
        <f t="shared" si="2"/>
        <v>116926096.06751637</v>
      </c>
      <c r="G32" s="95">
        <f t="shared" si="3"/>
        <v>2712466.164386339</v>
      </c>
      <c r="H32" s="105">
        <f>((IFERROR(VLOOKUP($A32,'Regular Peer Group Pivot'!$1:$1048576,13,FALSE),VLOOKUP($A32,'AMC Peer Group Pivot'!$1:$1048576,13,FALSE))*1000))</f>
        <v>179887658.55999997</v>
      </c>
      <c r="I32" s="57">
        <f>IFERROR(VLOOKUP(A32,'Regular Peer Group Pivot'!$1:$1048576,16,FALSE),VLOOKUP(A32,'AMC Peer Group Pivot'!$1:$1048576,16,FALSE))</f>
        <v>0.10971757683652848</v>
      </c>
      <c r="J32" s="105">
        <f t="shared" si="4"/>
        <v>19736837.999999996</v>
      </c>
      <c r="K32" s="105">
        <f t="shared" si="5"/>
        <v>27126348.007086992</v>
      </c>
      <c r="L32" s="112">
        <f t="shared" si="6"/>
        <v>0.14484599598893291</v>
      </c>
      <c r="M32" s="58">
        <v>3</v>
      </c>
      <c r="N32" s="59">
        <f>IFERROR(VLOOKUP(M32,'Regular Peer Group Pivot'!$1:$1048576,16,FALSE),VLOOKUP(M32,'AMC Peer Group Pivot'!$1:$1048576,16,FALSE))</f>
        <v>9.0115883593839347E-2</v>
      </c>
      <c r="O32" s="59">
        <f t="shared" si="7"/>
        <v>0.11748093979138613</v>
      </c>
      <c r="P32" s="59">
        <f t="shared" si="8"/>
        <v>7.7633629548576472E-3</v>
      </c>
      <c r="Q32" s="61">
        <f t="shared" si="9"/>
        <v>1396533.1845007848</v>
      </c>
      <c r="R32" s="25">
        <f>VLOOKUP(A32,'[1]ICC Calculation'!$A$1:$IV$65536,26,FALSE)</f>
        <v>-0.17594496100592105</v>
      </c>
      <c r="S32" s="26">
        <f t="shared" si="10"/>
        <v>32</v>
      </c>
      <c r="T32" s="25">
        <v>7.8548994665098348E-2</v>
      </c>
      <c r="U32" s="26">
        <f t="shared" si="11"/>
        <v>23</v>
      </c>
      <c r="V32" s="27">
        <f t="shared" si="12"/>
        <v>55</v>
      </c>
      <c r="W32" s="28">
        <f t="shared" si="13"/>
        <v>2</v>
      </c>
      <c r="X32" s="27">
        <f t="array" ref="X32">MAX(IF($AW$8:$AW$53=AW32,$W$8:$W$53))</f>
        <v>5</v>
      </c>
      <c r="Y32" s="29">
        <f t="shared" si="14"/>
        <v>0.36000000000000004</v>
      </c>
      <c r="Z32" s="30">
        <f t="shared" si="15"/>
        <v>502751.94642028259</v>
      </c>
      <c r="AA32" s="34">
        <f>VLOOKUP($A32,PAU!$1:$1048576,9,FALSE)</f>
        <v>40739188.689999998</v>
      </c>
      <c r="AB32" s="35">
        <f>VLOOKUP($A32,PAU!$1:$1048576,30,FALSE)</f>
        <v>0.26066025661863007</v>
      </c>
      <c r="AC32" s="30">
        <f t="shared" si="16"/>
        <v>5</v>
      </c>
      <c r="AD32" s="30">
        <f t="shared" si="31"/>
        <v>-8920218.501023978</v>
      </c>
      <c r="AE32" s="30">
        <f t="shared" si="18"/>
        <v>-14629158.341679323</v>
      </c>
      <c r="AF32" s="33">
        <f t="shared" si="19"/>
        <v>0</v>
      </c>
      <c r="AG32" s="32">
        <f t="shared" si="20"/>
        <v>502751.94642028259</v>
      </c>
      <c r="AH32" s="31">
        <f>VLOOKUP($A32,'[2]Excess Capacity'!$A$1:$IV$65536,3,FALSE)</f>
        <v>50866</v>
      </c>
      <c r="AI32" s="31">
        <f>VLOOKUP($A32,'[2]Excess Capacity'!$A$1:$IV$65536,4,FALSE)</f>
        <v>163</v>
      </c>
      <c r="AJ32" s="31">
        <f t="shared" si="21"/>
        <v>51029</v>
      </c>
      <c r="AK32" s="31">
        <f>VLOOKUP($A32,'[2]Excess Capacity'!$A$1:$IV$65536,6,FALSE)</f>
        <v>40853</v>
      </c>
      <c r="AL32" s="31">
        <f>VLOOKUP($A32,'[2]Excess Capacity'!$A$1:$IV$65536,7,FALSE)</f>
        <v>1931</v>
      </c>
      <c r="AM32" s="31">
        <f>VLOOKUP($A32,'[2]Excess Capacity'!$A$1:$IV$65536,8,FALSE)</f>
        <v>32</v>
      </c>
      <c r="AN32" s="31">
        <f t="shared" si="22"/>
        <v>42816</v>
      </c>
      <c r="AO32" s="36">
        <f t="shared" si="23"/>
        <v>-8213</v>
      </c>
      <c r="AP32" s="87">
        <v>1201.4025549134587</v>
      </c>
      <c r="AQ32" s="86">
        <f t="shared" si="24"/>
        <v>-9867119.1835042369</v>
      </c>
      <c r="AR32" s="86">
        <f t="shared" si="29"/>
        <v>6575770.1577710919</v>
      </c>
      <c r="AS32" s="95">
        <f t="shared" si="25"/>
        <v>-9364367.2370839547</v>
      </c>
      <c r="AT32" s="115">
        <f t="shared" si="26"/>
        <v>-1.2672514453736379</v>
      </c>
      <c r="AU32" s="136">
        <f>VLOOKUP(A32,[3]Sheet2!$B:$D,3,FALSE)</f>
        <v>1.0941992733223276</v>
      </c>
      <c r="AV32" s="38">
        <f t="shared" si="27"/>
        <v>-10246483.825940676</v>
      </c>
      <c r="AW32" s="27">
        <f t="shared" si="28"/>
        <v>4</v>
      </c>
      <c r="AX32" s="38"/>
    </row>
    <row r="33" spans="1:50" s="37" customFormat="1" x14ac:dyDescent="0.55000000000000004">
      <c r="A33" s="23">
        <v>210034</v>
      </c>
      <c r="B33" s="24" t="s">
        <v>119</v>
      </c>
      <c r="C33" s="32">
        <v>185642576.35843453</v>
      </c>
      <c r="D33" s="149">
        <f t="shared" si="30"/>
        <v>92821288.179217264</v>
      </c>
      <c r="E33" s="95">
        <f t="shared" si="1"/>
        <v>3712851.5271686907</v>
      </c>
      <c r="F33" s="96">
        <f t="shared" si="2"/>
        <v>92821288.179217264</v>
      </c>
      <c r="G33" s="95">
        <f t="shared" si="3"/>
        <v>2153279.8236545837</v>
      </c>
      <c r="H33" s="105">
        <f>((IFERROR(VLOOKUP($A33,'Regular Peer Group Pivot'!$1:$1048576,13,FALSE),VLOOKUP($A33,'AMC Peer Group Pivot'!$1:$1048576,13,FALSE))*1000))</f>
        <v>142342040.96347055</v>
      </c>
      <c r="I33" s="57">
        <f>IFERROR(VLOOKUP(A33,'Regular Peer Group Pivot'!$1:$1048576,16,FALSE),VLOOKUP(A33,'AMC Peer Group Pivot'!$1:$1048576,16,FALSE))</f>
        <v>6.0538895196473763E-2</v>
      </c>
      <c r="J33" s="105">
        <f t="shared" si="4"/>
        <v>8617229.8999397196</v>
      </c>
      <c r="K33" s="105">
        <f t="shared" si="5"/>
        <v>14483361.250762995</v>
      </c>
      <c r="L33" s="112">
        <f t="shared" si="6"/>
        <v>9.772309464858138E-2</v>
      </c>
      <c r="M33" s="58">
        <v>4</v>
      </c>
      <c r="N33" s="59">
        <f>IFERROR(VLOOKUP(M33,'Regular Peer Group Pivot'!$1:$1048576,16,FALSE),VLOOKUP(M33,'AMC Peer Group Pivot'!$1:$1048576,16,FALSE))</f>
        <v>7.6134151077943316E-2</v>
      </c>
      <c r="O33" s="59">
        <f t="shared" si="7"/>
        <v>8.6928622863262348E-2</v>
      </c>
      <c r="P33" s="59">
        <f t="shared" si="8"/>
        <v>2.6389727666788584E-2</v>
      </c>
      <c r="Q33" s="61">
        <f t="shared" si="9"/>
        <v>3756367.6965608527</v>
      </c>
      <c r="R33" s="25">
        <f>VLOOKUP(A33,'[1]ICC Calculation'!$A$1:$IV$65536,26,FALSE)</f>
        <v>-6.1052017906734646E-2</v>
      </c>
      <c r="S33" s="26">
        <f t="shared" si="10"/>
        <v>12</v>
      </c>
      <c r="T33" s="25">
        <v>0.18036864862550317</v>
      </c>
      <c r="U33" s="26">
        <f t="shared" si="11"/>
        <v>45</v>
      </c>
      <c r="V33" s="27">
        <f t="shared" si="12"/>
        <v>57</v>
      </c>
      <c r="W33" s="28">
        <f t="shared" si="13"/>
        <v>5</v>
      </c>
      <c r="X33" s="27">
        <f t="array" ref="X33">MAX(IF($AW$8:$AW$53=AW33,$W$8:$W$53))</f>
        <v>5</v>
      </c>
      <c r="Y33" s="29">
        <f t="shared" si="14"/>
        <v>0.24000000000000002</v>
      </c>
      <c r="Z33" s="30">
        <f t="shared" si="15"/>
        <v>901528.24717460468</v>
      </c>
      <c r="AA33" s="34">
        <f>VLOOKUP($A33,PAU!$1:$1048576,9,FALSE)</f>
        <v>29699958.640000004</v>
      </c>
      <c r="AB33" s="35">
        <f>VLOOKUP($A33,PAU!$1:$1048576,30,FALSE)</f>
        <v>0.24218934388555274</v>
      </c>
      <c r="AC33" s="30">
        <f t="shared" si="16"/>
        <v>4</v>
      </c>
      <c r="AD33" s="30">
        <f t="shared" si="31"/>
        <v>-4733935.0700194612</v>
      </c>
      <c r="AE33" s="30">
        <f t="shared" si="18"/>
        <v>-8331725.7232342521</v>
      </c>
      <c r="AF33" s="33">
        <f t="shared" si="19"/>
        <v>0</v>
      </c>
      <c r="AG33" s="32">
        <f t="shared" si="20"/>
        <v>901528.24717460468</v>
      </c>
      <c r="AH33" s="31">
        <f>VLOOKUP($A33,'[2]Excess Capacity'!$A$1:$IV$65536,3,FALSE)</f>
        <v>50086</v>
      </c>
      <c r="AI33" s="31">
        <f>VLOOKUP($A33,'[2]Excess Capacity'!$A$1:$IV$65536,4,FALSE)</f>
        <v>64</v>
      </c>
      <c r="AJ33" s="31">
        <f t="shared" si="21"/>
        <v>50150</v>
      </c>
      <c r="AK33" s="31">
        <f>VLOOKUP($A33,'[2]Excess Capacity'!$A$1:$IV$65536,6,FALSE)</f>
        <v>33088</v>
      </c>
      <c r="AL33" s="31">
        <f>VLOOKUP($A33,'[2]Excess Capacity'!$A$1:$IV$65536,7,FALSE)</f>
        <v>1400</v>
      </c>
      <c r="AM33" s="31">
        <f>VLOOKUP($A33,'[2]Excess Capacity'!$A$1:$IV$65536,8,FALSE)</f>
        <v>231</v>
      </c>
      <c r="AN33" s="31">
        <f t="shared" si="22"/>
        <v>34719</v>
      </c>
      <c r="AO33" s="36">
        <f t="shared" si="23"/>
        <v>-15431</v>
      </c>
      <c r="AP33" s="87">
        <v>1201.4025549134587</v>
      </c>
      <c r="AQ33" s="86">
        <f t="shared" si="24"/>
        <v>-18538842.824869581</v>
      </c>
      <c r="AR33" s="86">
        <f t="shared" si="29"/>
        <v>5220147.4037268991</v>
      </c>
      <c r="AS33" s="95">
        <f t="shared" si="25"/>
        <v>-17637314.577694975</v>
      </c>
      <c r="AT33" s="115">
        <f t="shared" si="26"/>
        <v>-3.0066347858405336</v>
      </c>
      <c r="AU33" s="136">
        <f>VLOOKUP(A33,[3]Sheet2!$B:$D,3,FALSE)</f>
        <v>1.0977881752632692</v>
      </c>
      <c r="AV33" s="38">
        <f t="shared" si="27"/>
        <v>-19362035.386792023</v>
      </c>
      <c r="AW33" s="27">
        <f t="shared" si="28"/>
        <v>4</v>
      </c>
      <c r="AX33" s="38"/>
    </row>
    <row r="34" spans="1:50" s="37" customFormat="1" x14ac:dyDescent="0.55000000000000004">
      <c r="A34" s="23">
        <v>210035</v>
      </c>
      <c r="B34" s="24" t="s">
        <v>108</v>
      </c>
      <c r="C34" s="32">
        <v>157890326.08572096</v>
      </c>
      <c r="D34" s="149">
        <f t="shared" si="30"/>
        <v>78945163.042860478</v>
      </c>
      <c r="E34" s="95">
        <f t="shared" si="1"/>
        <v>3157806.5217144191</v>
      </c>
      <c r="F34" s="96">
        <f t="shared" si="2"/>
        <v>78945163.042860478</v>
      </c>
      <c r="G34" s="95">
        <f t="shared" si="3"/>
        <v>1831379.7415426732</v>
      </c>
      <c r="H34" s="105">
        <f>((IFERROR(VLOOKUP($A34,'Regular Peer Group Pivot'!$1:$1048576,13,FALSE),VLOOKUP($A34,'AMC Peer Group Pivot'!$1:$1048576,13,FALSE))*1000))</f>
        <v>113933074.04497604</v>
      </c>
      <c r="I34" s="57">
        <f>IFERROR(VLOOKUP(A34,'Regular Peer Group Pivot'!$1:$1048576,16,FALSE),VLOOKUP(A34,'AMC Peer Group Pivot'!$1:$1048576,16,FALSE))</f>
        <v>6.7070508753089855E-2</v>
      </c>
      <c r="J34" s="105">
        <f t="shared" si="4"/>
        <v>7641549.2400000002</v>
      </c>
      <c r="K34" s="105">
        <f t="shared" si="5"/>
        <v>12630735.503257092</v>
      </c>
      <c r="L34" s="112">
        <f t="shared" si="6"/>
        <v>0.10621001880152334</v>
      </c>
      <c r="M34" s="58">
        <v>3</v>
      </c>
      <c r="N34" s="59">
        <f>IFERROR(VLOOKUP(M34,'Regular Peer Group Pivot'!$1:$1048576,16,FALSE),VLOOKUP(M34,'AMC Peer Group Pivot'!$1:$1048576,16,FALSE))</f>
        <v>9.0115883593839347E-2</v>
      </c>
      <c r="O34" s="59">
        <f t="shared" si="7"/>
        <v>9.8162951197681342E-2</v>
      </c>
      <c r="P34" s="59">
        <f t="shared" si="8"/>
        <v>3.1092442444591487E-2</v>
      </c>
      <c r="Q34" s="61">
        <f t="shared" si="9"/>
        <v>3542457.5472787977</v>
      </c>
      <c r="R34" s="25">
        <f>VLOOKUP(A34,'[1]ICC Calculation'!$A$1:$IV$65536,26,FALSE)</f>
        <v>-8.7572361350963357E-2</v>
      </c>
      <c r="S34" s="26">
        <f t="shared" si="10"/>
        <v>16</v>
      </c>
      <c r="T34" s="25">
        <v>0.11724143787114971</v>
      </c>
      <c r="U34" s="26">
        <f t="shared" si="11"/>
        <v>40</v>
      </c>
      <c r="V34" s="27">
        <f t="shared" si="12"/>
        <v>56</v>
      </c>
      <c r="W34" s="28">
        <f t="shared" si="13"/>
        <v>3</v>
      </c>
      <c r="X34" s="27">
        <f t="array" ref="X34">MAX(IF($AW$8:$AW$53=AW34,$W$8:$W$53))</f>
        <v>5</v>
      </c>
      <c r="Y34" s="29">
        <f t="shared" si="14"/>
        <v>0.32</v>
      </c>
      <c r="Z34" s="30">
        <f t="shared" si="15"/>
        <v>1133586.4151292152</v>
      </c>
      <c r="AA34" s="34">
        <f>VLOOKUP($A34,PAU!$1:$1048576,9,FALSE)</f>
        <v>19466148.920000002</v>
      </c>
      <c r="AB34" s="35">
        <f>VLOOKUP($A34,PAU!$1:$1048576,30,FALSE)</f>
        <v>0.22644952957245926</v>
      </c>
      <c r="AC34" s="30">
        <f t="shared" si="16"/>
        <v>3</v>
      </c>
      <c r="AD34" s="30">
        <f t="shared" si="31"/>
        <v>-1965377.9617461488</v>
      </c>
      <c r="AE34" s="30">
        <f t="shared" si="18"/>
        <v>-3301834.9757335298</v>
      </c>
      <c r="AF34" s="33">
        <f t="shared" si="19"/>
        <v>0</v>
      </c>
      <c r="AG34" s="32">
        <f t="shared" si="20"/>
        <v>1133586.4151292152</v>
      </c>
      <c r="AH34" s="31">
        <f>VLOOKUP($A34,'[2]Excess Capacity'!$A$1:$IV$65536,3,FALSE)</f>
        <v>31947</v>
      </c>
      <c r="AI34" s="31">
        <f>VLOOKUP($A34,'[2]Excess Capacity'!$A$1:$IV$65536,4,FALSE)</f>
        <v>104</v>
      </c>
      <c r="AJ34" s="31">
        <f t="shared" si="21"/>
        <v>32051</v>
      </c>
      <c r="AK34" s="31">
        <f>VLOOKUP($A34,'[2]Excess Capacity'!$A$1:$IV$65536,6,FALSE)</f>
        <v>26055</v>
      </c>
      <c r="AL34" s="31">
        <f>VLOOKUP($A34,'[2]Excess Capacity'!$A$1:$IV$65536,7,FALSE)</f>
        <v>1328</v>
      </c>
      <c r="AM34" s="31">
        <f>VLOOKUP($A34,'[2]Excess Capacity'!$A$1:$IV$65536,8,FALSE)</f>
        <v>111</v>
      </c>
      <c r="AN34" s="31">
        <f t="shared" si="22"/>
        <v>27494</v>
      </c>
      <c r="AO34" s="36">
        <f t="shared" si="23"/>
        <v>-4557</v>
      </c>
      <c r="AP34" s="87">
        <v>1201.4025549134587</v>
      </c>
      <c r="AQ34" s="86">
        <f t="shared" si="24"/>
        <v>-5474791.4427406313</v>
      </c>
      <c r="AR34" s="86">
        <f t="shared" si="29"/>
        <v>4439772.3407942904</v>
      </c>
      <c r="AS34" s="95">
        <f t="shared" si="25"/>
        <v>-4341205.0276114158</v>
      </c>
      <c r="AT34" s="115">
        <f t="shared" si="26"/>
        <v>-0.87012286143378936</v>
      </c>
      <c r="AU34" s="136">
        <f>VLOOKUP(A34,[3]Sheet2!$B:$D,3,FALSE)</f>
        <v>1.0966373052921363</v>
      </c>
      <c r="AV34" s="38">
        <f t="shared" si="27"/>
        <v>-4760727.3832004573</v>
      </c>
      <c r="AW34" s="27">
        <f t="shared" si="28"/>
        <v>4</v>
      </c>
      <c r="AX34" s="38"/>
    </row>
    <row r="35" spans="1:50" s="37" customFormat="1" x14ac:dyDescent="0.55000000000000004">
      <c r="A35" s="23">
        <v>210037</v>
      </c>
      <c r="B35" s="24" t="s">
        <v>107</v>
      </c>
      <c r="C35" s="32">
        <v>220909767.38583636</v>
      </c>
      <c r="D35" s="149">
        <f t="shared" si="30"/>
        <v>110454883.69291818</v>
      </c>
      <c r="E35" s="95">
        <f t="shared" si="1"/>
        <v>4418195.3477167273</v>
      </c>
      <c r="F35" s="96">
        <f t="shared" si="2"/>
        <v>110454883.69291818</v>
      </c>
      <c r="G35" s="95">
        <f t="shared" si="3"/>
        <v>2562346.1723657381</v>
      </c>
      <c r="H35" s="105">
        <f>((IFERROR(VLOOKUP($A35,'Regular Peer Group Pivot'!$1:$1048576,13,FALSE),VLOOKUP($A35,'AMC Peer Group Pivot'!$1:$1048576,13,FALSE))*1000))</f>
        <v>156724781.0701108</v>
      </c>
      <c r="I35" s="57">
        <f>IFERROR(VLOOKUP(A35,'Regular Peer Group Pivot'!$1:$1048576,16,FALSE),VLOOKUP(A35,'AMC Peer Group Pivot'!$1:$1048576,16,FALSE))</f>
        <v>9.1763550485142356E-2</v>
      </c>
      <c r="J35" s="105">
        <f t="shared" si="4"/>
        <v>14381622.359999996</v>
      </c>
      <c r="K35" s="105">
        <f t="shared" si="5"/>
        <v>21362163.880082458</v>
      </c>
      <c r="L35" s="112">
        <f t="shared" si="6"/>
        <v>0.13049156583356047</v>
      </c>
      <c r="M35" s="58">
        <v>3</v>
      </c>
      <c r="N35" s="59">
        <f>IFERROR(VLOOKUP(M35,'Regular Peer Group Pivot'!$1:$1048576,16,FALSE),VLOOKUP(M35,'AMC Peer Group Pivot'!$1:$1048576,16,FALSE))</f>
        <v>9.0115883593839347E-2</v>
      </c>
      <c r="O35" s="59">
        <f t="shared" si="7"/>
        <v>0.11030372471369991</v>
      </c>
      <c r="P35" s="59">
        <f t="shared" si="8"/>
        <v>1.8540174228557554E-2</v>
      </c>
      <c r="Q35" s="61">
        <f t="shared" si="9"/>
        <v>2905704.7469723932</v>
      </c>
      <c r="R35" s="25">
        <f>VLOOKUP(A35,'[1]ICC Calculation'!$A$1:$IV$65536,26,FALSE)</f>
        <v>-0.1915968892796569</v>
      </c>
      <c r="S35" s="26">
        <f t="shared" si="10"/>
        <v>35</v>
      </c>
      <c r="T35" s="25">
        <v>5.6656591438769111E-2</v>
      </c>
      <c r="U35" s="26">
        <f t="shared" si="11"/>
        <v>10</v>
      </c>
      <c r="V35" s="27">
        <f t="shared" si="12"/>
        <v>45</v>
      </c>
      <c r="W35" s="28">
        <f t="shared" si="13"/>
        <v>3</v>
      </c>
      <c r="X35" s="27">
        <f t="array" ref="X35">MAX(IF($AW$8:$AW$53=AW35,$W$8:$W$53))</f>
        <v>9</v>
      </c>
      <c r="Y35" s="29">
        <f t="shared" si="14"/>
        <v>0.55555555555555558</v>
      </c>
      <c r="Z35" s="30">
        <f t="shared" si="15"/>
        <v>1614280.414984663</v>
      </c>
      <c r="AA35" s="34">
        <f>VLOOKUP($A35,PAU!$1:$1048576,9,FALSE)</f>
        <v>15352497.9</v>
      </c>
      <c r="AB35" s="35">
        <f>VLOOKUP($A35,PAU!$1:$1048576,30,FALSE)</f>
        <v>0.13936979653023301</v>
      </c>
      <c r="AC35" s="30">
        <f t="shared" si="16"/>
        <v>1</v>
      </c>
      <c r="AD35" s="30">
        <f t="shared" si="31"/>
        <v>7073870.0300308969</v>
      </c>
      <c r="AE35" s="30">
        <f t="shared" si="18"/>
        <v>3929927.7944616093</v>
      </c>
      <c r="AF35" s="33">
        <f t="shared" si="19"/>
        <v>1964963.8972308047</v>
      </c>
      <c r="AG35" s="32">
        <f t="shared" si="20"/>
        <v>3579244.3122154679</v>
      </c>
      <c r="AH35" s="31">
        <f>VLOOKUP($A35,'[2]Excess Capacity'!$A$1:$IV$65536,3,FALSE)</f>
        <v>35011</v>
      </c>
      <c r="AI35" s="31">
        <f>VLOOKUP($A35,'[2]Excess Capacity'!$A$1:$IV$65536,4,FALSE)</f>
        <v>518</v>
      </c>
      <c r="AJ35" s="31">
        <f t="shared" si="21"/>
        <v>35529</v>
      </c>
      <c r="AK35" s="31">
        <f>VLOOKUP($A35,'[2]Excess Capacity'!$A$1:$IV$65536,6,FALSE)</f>
        <v>30086</v>
      </c>
      <c r="AL35" s="31">
        <f>VLOOKUP($A35,'[2]Excess Capacity'!$A$1:$IV$65536,7,FALSE)</f>
        <v>1097</v>
      </c>
      <c r="AM35" s="31">
        <f>VLOOKUP($A35,'[2]Excess Capacity'!$A$1:$IV$65536,8,FALSE)</f>
        <v>459</v>
      </c>
      <c r="AN35" s="31">
        <f t="shared" si="22"/>
        <v>31642</v>
      </c>
      <c r="AO35" s="36">
        <f t="shared" si="23"/>
        <v>-3887</v>
      </c>
      <c r="AP35" s="87">
        <v>1201.4025549134587</v>
      </c>
      <c r="AQ35" s="86">
        <f t="shared" si="24"/>
        <v>-4669851.730948614</v>
      </c>
      <c r="AR35" s="86">
        <f t="shared" si="29"/>
        <v>6211837.6683727438</v>
      </c>
      <c r="AS35" s="95">
        <f t="shared" si="25"/>
        <v>-1090607.418733146</v>
      </c>
      <c r="AT35" s="115">
        <f t="shared" si="26"/>
        <v>-0.15623536019312467</v>
      </c>
      <c r="AU35" s="136">
        <f>VLOOKUP(A35,[3]Sheet2!$B:$D,3,FALSE)</f>
        <v>1.099095772439604</v>
      </c>
      <c r="AV35" s="38">
        <f t="shared" si="27"/>
        <v>-1198682.0033208698</v>
      </c>
      <c r="AW35" s="27">
        <f t="shared" si="28"/>
        <v>3</v>
      </c>
      <c r="AX35" s="38"/>
    </row>
    <row r="36" spans="1:50" s="37" customFormat="1" x14ac:dyDescent="0.55000000000000004">
      <c r="A36" s="23">
        <v>210038</v>
      </c>
      <c r="B36" s="24" t="s">
        <v>114</v>
      </c>
      <c r="C36" s="32">
        <v>224804310.191113</v>
      </c>
      <c r="D36" s="149">
        <f t="shared" si="30"/>
        <v>112402155.0955565</v>
      </c>
      <c r="E36" s="95">
        <f t="shared" si="1"/>
        <v>4496086.2038222598</v>
      </c>
      <c r="F36" s="96">
        <f t="shared" si="2"/>
        <v>112402155.0955565</v>
      </c>
      <c r="G36" s="95">
        <f t="shared" si="3"/>
        <v>2607519.2173075932</v>
      </c>
      <c r="H36" s="105">
        <f>((IFERROR(VLOOKUP($A36,'Regular Peer Group Pivot'!$1:$1048576,13,FALSE),VLOOKUP($A36,'AMC Peer Group Pivot'!$1:$1048576,13,FALSE))*1000))</f>
        <v>173682368.59634432</v>
      </c>
      <c r="I36" s="57">
        <f>IFERROR(VLOOKUP(A36,'Regular Peer Group Pivot'!$1:$1048576,16,FALSE),VLOOKUP(A36,'AMC Peer Group Pivot'!$1:$1048576,16,FALSE))</f>
        <v>7.3500073040986352E-2</v>
      </c>
      <c r="J36" s="105">
        <f t="shared" si="4"/>
        <v>12765666.777762823</v>
      </c>
      <c r="K36" s="105">
        <f t="shared" si="5"/>
        <v>19869272.198892675</v>
      </c>
      <c r="L36" s="112">
        <f t="shared" si="6"/>
        <v>0.109904943162085</v>
      </c>
      <c r="M36" s="58">
        <v>4</v>
      </c>
      <c r="N36" s="59">
        <f>IFERROR(VLOOKUP(M36,'Regular Peer Group Pivot'!$1:$1048576,16,FALSE),VLOOKUP(M36,'AMC Peer Group Pivot'!$1:$1048576,16,FALSE))</f>
        <v>7.6134151077943316E-2</v>
      </c>
      <c r="O36" s="59">
        <f t="shared" si="7"/>
        <v>9.3019547120014159E-2</v>
      </c>
      <c r="P36" s="59">
        <f t="shared" si="8"/>
        <v>1.9519474079027807E-2</v>
      </c>
      <c r="Q36" s="61">
        <f t="shared" si="9"/>
        <v>3390188.4918004964</v>
      </c>
      <c r="R36" s="25">
        <f>VLOOKUP(A36,'[1]ICC Calculation'!$A$1:$IV$65536,26,FALSE)</f>
        <v>-0.27702207291463599</v>
      </c>
      <c r="S36" s="26">
        <f t="shared" si="10"/>
        <v>45</v>
      </c>
      <c r="T36" s="25">
        <v>0.12643575903977067</v>
      </c>
      <c r="U36" s="26">
        <f t="shared" si="11"/>
        <v>43</v>
      </c>
      <c r="V36" s="27">
        <f t="shared" si="12"/>
        <v>88</v>
      </c>
      <c r="W36" s="28">
        <f t="shared" si="13"/>
        <v>9</v>
      </c>
      <c r="X36" s="27">
        <f t="array" ref="X36">MAX(IF($AW$8:$AW$53=AW36,$W$8:$W$53))</f>
        <v>9</v>
      </c>
      <c r="Y36" s="29">
        <f t="shared" si="14"/>
        <v>2.2222222222222223E-2</v>
      </c>
      <c r="Z36" s="30">
        <f t="shared" si="15"/>
        <v>75337.522040011027</v>
      </c>
      <c r="AA36" s="34">
        <f>VLOOKUP($A36,PAU!$1:$1048576,9,FALSE)</f>
        <v>33956955.079999998</v>
      </c>
      <c r="AB36" s="35">
        <f>VLOOKUP($A36,PAU!$1:$1048576,30,FALSE)</f>
        <v>0.27479866990476548</v>
      </c>
      <c r="AC36" s="30">
        <f t="shared" si="16"/>
        <v>5</v>
      </c>
      <c r="AD36" s="30">
        <f t="shared" si="31"/>
        <v>-8089239.9498159997</v>
      </c>
      <c r="AE36" s="30">
        <f t="shared" si="18"/>
        <v>-15998719.011858311</v>
      </c>
      <c r="AF36" s="33">
        <f t="shared" si="19"/>
        <v>0</v>
      </c>
      <c r="AG36" s="32">
        <f t="shared" si="20"/>
        <v>75337.522040011027</v>
      </c>
      <c r="AH36" s="31">
        <f>VLOOKUP($A36,'[2]Excess Capacity'!$A$1:$IV$65536,3,FALSE)</f>
        <v>48756</v>
      </c>
      <c r="AI36" s="31">
        <f>VLOOKUP($A36,'[2]Excess Capacity'!$A$1:$IV$65536,4,FALSE)</f>
        <v>130</v>
      </c>
      <c r="AJ36" s="31">
        <f t="shared" si="21"/>
        <v>48886</v>
      </c>
      <c r="AK36" s="31">
        <f>VLOOKUP($A36,'[2]Excess Capacity'!$A$1:$IV$65536,6,FALSE)</f>
        <v>32071</v>
      </c>
      <c r="AL36" s="31">
        <f>VLOOKUP($A36,'[2]Excess Capacity'!$A$1:$IV$65536,7,FALSE)</f>
        <v>1460</v>
      </c>
      <c r="AM36" s="31">
        <f>VLOOKUP($A36,'[2]Excess Capacity'!$A$1:$IV$65536,8,FALSE)</f>
        <v>396</v>
      </c>
      <c r="AN36" s="31">
        <f t="shared" si="22"/>
        <v>33927</v>
      </c>
      <c r="AO36" s="36">
        <f t="shared" si="23"/>
        <v>-14959</v>
      </c>
      <c r="AP36" s="87">
        <v>1201.4025549134587</v>
      </c>
      <c r="AQ36" s="86">
        <f t="shared" si="24"/>
        <v>-17971780.81895043</v>
      </c>
      <c r="AR36" s="86">
        <f t="shared" si="29"/>
        <v>6321349.6559375748</v>
      </c>
      <c r="AS36" s="95">
        <f t="shared" si="25"/>
        <v>-17896443.29691042</v>
      </c>
      <c r="AT36" s="115">
        <f t="shared" si="26"/>
        <v>-2.5193464777304495</v>
      </c>
      <c r="AU36" s="136">
        <f>VLOOKUP(A36,[3]Sheet2!$B:$D,3,FALSE)</f>
        <v>1.1005377242992815</v>
      </c>
      <c r="AV36" s="38">
        <f t="shared" si="27"/>
        <v>-19695710.979032926</v>
      </c>
      <c r="AW36" s="27">
        <f t="shared" si="28"/>
        <v>5</v>
      </c>
      <c r="AX36" s="38"/>
    </row>
    <row r="37" spans="1:50" s="37" customFormat="1" x14ac:dyDescent="0.55000000000000004">
      <c r="A37" s="23">
        <v>210039</v>
      </c>
      <c r="B37" s="24" t="s">
        <v>115</v>
      </c>
      <c r="C37" s="32">
        <v>153422401.67506704</v>
      </c>
      <c r="D37" s="149">
        <f t="shared" si="30"/>
        <v>76711200.837533519</v>
      </c>
      <c r="E37" s="95">
        <f t="shared" si="1"/>
        <v>3068448.0335013405</v>
      </c>
      <c r="F37" s="96">
        <f t="shared" si="2"/>
        <v>76711200.837533519</v>
      </c>
      <c r="G37" s="95">
        <f t="shared" si="3"/>
        <v>1779556.007592228</v>
      </c>
      <c r="H37" s="105">
        <f>((IFERROR(VLOOKUP($A37,'Regular Peer Group Pivot'!$1:$1048576,13,FALSE),VLOOKUP($A37,'AMC Peer Group Pivot'!$1:$1048576,13,FALSE))*1000))</f>
        <v>115202023.81054671</v>
      </c>
      <c r="I37" s="57">
        <f>IFERROR(VLOOKUP(A37,'Regular Peer Group Pivot'!$1:$1048576,16,FALSE),VLOOKUP(A37,'AMC Peer Group Pivot'!$1:$1048576,16,FALSE))</f>
        <v>0.1161155191345402</v>
      </c>
      <c r="J37" s="105">
        <f t="shared" si="4"/>
        <v>13376742.800111292</v>
      </c>
      <c r="K37" s="105">
        <f t="shared" si="5"/>
        <v>18224746.841204859</v>
      </c>
      <c r="L37" s="112">
        <f t="shared" si="6"/>
        <v>0.15180960110835867</v>
      </c>
      <c r="M37" s="58">
        <v>3</v>
      </c>
      <c r="N37" s="59">
        <f>IFERROR(VLOOKUP(M37,'Regular Peer Group Pivot'!$1:$1048576,16,FALSE),VLOOKUP(M37,'AMC Peer Group Pivot'!$1:$1048576,16,FALSE))</f>
        <v>9.0115883593839347E-2</v>
      </c>
      <c r="O37" s="59">
        <f t="shared" si="7"/>
        <v>0.12096274235109901</v>
      </c>
      <c r="P37" s="59">
        <f t="shared" si="8"/>
        <v>4.8472232165588103E-3</v>
      </c>
      <c r="Q37" s="61">
        <f t="shared" si="9"/>
        <v>558409.92440904293</v>
      </c>
      <c r="R37" s="25">
        <f>VLOOKUP(A37,'[1]ICC Calculation'!$A$1:$IV$65536,26,FALSE)</f>
        <v>-0.15409945634189215</v>
      </c>
      <c r="S37" s="26">
        <f t="shared" si="10"/>
        <v>29</v>
      </c>
      <c r="T37" s="25">
        <v>7.8418388056400445E-2</v>
      </c>
      <c r="U37" s="26">
        <f t="shared" si="11"/>
        <v>22</v>
      </c>
      <c r="V37" s="27">
        <f t="shared" si="12"/>
        <v>51</v>
      </c>
      <c r="W37" s="28">
        <f t="shared" si="13"/>
        <v>9</v>
      </c>
      <c r="X37" s="27">
        <f t="array" ref="X37">MAX(IF($AW$8:$AW$53=AW37,$W$8:$W$53))</f>
        <v>9</v>
      </c>
      <c r="Y37" s="29">
        <f t="shared" si="14"/>
        <v>0.42222222222222222</v>
      </c>
      <c r="Z37" s="30">
        <f t="shared" si="15"/>
        <v>235773.07919492925</v>
      </c>
      <c r="AA37" s="34">
        <f>VLOOKUP($A37,PAU!$1:$1048576,9,FALSE)</f>
        <v>16495931.449999999</v>
      </c>
      <c r="AB37" s="35">
        <f>VLOOKUP($A37,PAU!$1:$1048576,30,FALSE)</f>
        <v>0.2215986870860516</v>
      </c>
      <c r="AC37" s="30">
        <f t="shared" si="16"/>
        <v>3</v>
      </c>
      <c r="AD37" s="30">
        <f t="shared" si="31"/>
        <v>-1340851.8234839253</v>
      </c>
      <c r="AE37" s="30">
        <f t="shared" si="18"/>
        <v>-2115566.2103857487</v>
      </c>
      <c r="AF37" s="33">
        <f t="shared" si="19"/>
        <v>0</v>
      </c>
      <c r="AG37" s="32">
        <f t="shared" si="20"/>
        <v>235773.07919492925</v>
      </c>
      <c r="AH37" s="31">
        <f>VLOOKUP($A37,'[2]Excess Capacity'!$A$1:$IV$65536,3,FALSE)</f>
        <v>25937</v>
      </c>
      <c r="AI37" s="31">
        <f>VLOOKUP($A37,'[2]Excess Capacity'!$A$1:$IV$65536,4,FALSE)</f>
        <v>192</v>
      </c>
      <c r="AJ37" s="31">
        <f t="shared" si="21"/>
        <v>26129</v>
      </c>
      <c r="AK37" s="31">
        <f>VLOOKUP($A37,'[2]Excess Capacity'!$A$1:$IV$65536,6,FALSE)</f>
        <v>18765</v>
      </c>
      <c r="AL37" s="31">
        <f>VLOOKUP($A37,'[2]Excess Capacity'!$A$1:$IV$65536,7,FALSE)</f>
        <v>1347</v>
      </c>
      <c r="AM37" s="31">
        <f>VLOOKUP($A37,'[2]Excess Capacity'!$A$1:$IV$65536,8,FALSE)</f>
        <v>199</v>
      </c>
      <c r="AN37" s="31">
        <f t="shared" si="22"/>
        <v>20311</v>
      </c>
      <c r="AO37" s="36">
        <f t="shared" si="23"/>
        <v>-5818</v>
      </c>
      <c r="AP37" s="87">
        <v>1201.4025549134587</v>
      </c>
      <c r="AQ37" s="86">
        <f t="shared" si="24"/>
        <v>-6989760.0644865027</v>
      </c>
      <c r="AR37" s="86">
        <f t="shared" si="29"/>
        <v>4314137.2388158999</v>
      </c>
      <c r="AS37" s="95">
        <f t="shared" si="25"/>
        <v>-6753986.9852915732</v>
      </c>
      <c r="AT37" s="115">
        <f t="shared" si="26"/>
        <v>-1.3931479693585549</v>
      </c>
      <c r="AU37" s="136">
        <f>VLOOKUP(A37,[3]Sheet2!$B:$D,3,FALSE)</f>
        <v>1.0896460964193784</v>
      </c>
      <c r="AV37" s="38">
        <f t="shared" si="27"/>
        <v>-7359455.553790248</v>
      </c>
      <c r="AW37" s="27">
        <f t="shared" si="28"/>
        <v>3</v>
      </c>
      <c r="AX37" s="38"/>
    </row>
    <row r="38" spans="1:50" s="37" customFormat="1" x14ac:dyDescent="0.55000000000000004">
      <c r="A38" s="23">
        <v>210040</v>
      </c>
      <c r="B38" s="24" t="s">
        <v>98</v>
      </c>
      <c r="C38" s="32">
        <v>272973327.55516577</v>
      </c>
      <c r="D38" s="149">
        <f t="shared" si="30"/>
        <v>136486663.77758288</v>
      </c>
      <c r="E38" s="95">
        <f t="shared" si="1"/>
        <v>5459466.5511033153</v>
      </c>
      <c r="F38" s="96">
        <f t="shared" si="2"/>
        <v>136486663.77758288</v>
      </c>
      <c r="G38" s="95">
        <f t="shared" si="3"/>
        <v>3166234.654519686</v>
      </c>
      <c r="H38" s="105">
        <f>((IFERROR(VLOOKUP($A38,'Regular Peer Group Pivot'!$1:$1048576,13,FALSE),VLOOKUP($A38,'AMC Peer Group Pivot'!$1:$1048576,13,FALSE))*1000))</f>
        <v>188597856.38969344</v>
      </c>
      <c r="I38" s="57">
        <f>IFERROR(VLOOKUP(A38,'Regular Peer Group Pivot'!$1:$1048576,16,FALSE),VLOOKUP(A38,'AMC Peer Group Pivot'!$1:$1048576,16,FALSE))</f>
        <v>9.28830175222006E-2</v>
      </c>
      <c r="J38" s="105">
        <f t="shared" si="4"/>
        <v>17517537.999693368</v>
      </c>
      <c r="K38" s="105">
        <f t="shared" si="5"/>
        <v>26143239.205316368</v>
      </c>
      <c r="L38" s="112">
        <f t="shared" si="6"/>
        <v>0.13255637168334503</v>
      </c>
      <c r="M38" s="58">
        <v>3</v>
      </c>
      <c r="N38" s="59">
        <f>IFERROR(VLOOKUP(M38,'Regular Peer Group Pivot'!$1:$1048576,16,FALSE),VLOOKUP(M38,'AMC Peer Group Pivot'!$1:$1048576,16,FALSE))</f>
        <v>9.0115883593839347E-2</v>
      </c>
      <c r="O38" s="59">
        <f t="shared" si="7"/>
        <v>0.11133612763859219</v>
      </c>
      <c r="P38" s="59">
        <f t="shared" si="8"/>
        <v>1.8453110116391586E-2</v>
      </c>
      <c r="Q38" s="61">
        <f t="shared" si="9"/>
        <v>3480217.0116744195</v>
      </c>
      <c r="R38" s="25">
        <f>VLOOKUP(A38,'[1]ICC Calculation'!$A$1:$IV$65536,26,FALSE)</f>
        <v>-0.23205611079664734</v>
      </c>
      <c r="S38" s="26">
        <f t="shared" si="10"/>
        <v>39</v>
      </c>
      <c r="T38" s="25">
        <v>7.0076750847134717E-2</v>
      </c>
      <c r="U38" s="26">
        <f t="shared" si="11"/>
        <v>18</v>
      </c>
      <c r="V38" s="27">
        <f t="shared" si="12"/>
        <v>57</v>
      </c>
      <c r="W38" s="28">
        <f t="shared" si="13"/>
        <v>5</v>
      </c>
      <c r="X38" s="27">
        <f t="array" ref="X38">MAX(IF($AW$8:$AW$53=AW38,$W$8:$W$53))</f>
        <v>5</v>
      </c>
      <c r="Y38" s="29">
        <f t="shared" si="14"/>
        <v>0.24000000000000002</v>
      </c>
      <c r="Z38" s="30">
        <f t="shared" si="15"/>
        <v>835252.08280186076</v>
      </c>
      <c r="AA38" s="34">
        <f>VLOOKUP($A38,PAU!$1:$1048576,9,FALSE)</f>
        <v>43557132.149999999</v>
      </c>
      <c r="AB38" s="35">
        <f>VLOOKUP($A38,PAU!$1:$1048576,30,FALSE)</f>
        <v>0.29333554362614528</v>
      </c>
      <c r="AC38" s="30">
        <f t="shared" si="16"/>
        <v>5</v>
      </c>
      <c r="AD38" s="30">
        <f t="shared" si="31"/>
        <v>-9720490.762899518</v>
      </c>
      <c r="AE38" s="30">
        <f t="shared" si="18"/>
        <v>-17108063.742703151</v>
      </c>
      <c r="AF38" s="33">
        <f t="shared" si="19"/>
        <v>0</v>
      </c>
      <c r="AG38" s="32">
        <f t="shared" si="20"/>
        <v>835252.08280186076</v>
      </c>
      <c r="AH38" s="31">
        <f>VLOOKUP($A38,'[2]Excess Capacity'!$A$1:$IV$65536,3,FALSE)</f>
        <v>55902</v>
      </c>
      <c r="AI38" s="31">
        <f>VLOOKUP($A38,'[2]Excess Capacity'!$A$1:$IV$65536,4,FALSE)</f>
        <v>948</v>
      </c>
      <c r="AJ38" s="31">
        <f t="shared" si="21"/>
        <v>56850</v>
      </c>
      <c r="AK38" s="31">
        <f>VLOOKUP($A38,'[2]Excess Capacity'!$A$1:$IV$65536,6,FALSE)</f>
        <v>50591</v>
      </c>
      <c r="AL38" s="31">
        <f>VLOOKUP($A38,'[2]Excess Capacity'!$A$1:$IV$65536,7,FALSE)</f>
        <v>1581</v>
      </c>
      <c r="AM38" s="31">
        <f>VLOOKUP($A38,'[2]Excess Capacity'!$A$1:$IV$65536,8,FALSE)</f>
        <v>761</v>
      </c>
      <c r="AN38" s="31">
        <f t="shared" si="22"/>
        <v>52933</v>
      </c>
      <c r="AO38" s="36">
        <f t="shared" si="23"/>
        <v>-3917</v>
      </c>
      <c r="AP38" s="87">
        <v>1201.4025549134587</v>
      </c>
      <c r="AQ38" s="86">
        <f t="shared" si="24"/>
        <v>-4705893.8075960176</v>
      </c>
      <c r="AR38" s="86">
        <f t="shared" si="29"/>
        <v>7675830.8092670953</v>
      </c>
      <c r="AS38" s="95">
        <f t="shared" si="25"/>
        <v>-3870641.7247941568</v>
      </c>
      <c r="AT38" s="115">
        <f t="shared" si="26"/>
        <v>-0.44873357336687336</v>
      </c>
      <c r="AU38" s="136">
        <f>VLOOKUP(A38,[3]Sheet2!$B:$D,3,FALSE)</f>
        <v>1.0952725835986694</v>
      </c>
      <c r="AV38" s="38">
        <f t="shared" si="27"/>
        <v>-4239407.7621001061</v>
      </c>
      <c r="AW38" s="27">
        <f t="shared" si="28"/>
        <v>4</v>
      </c>
      <c r="AX38" s="38"/>
    </row>
    <row r="39" spans="1:50" s="37" customFormat="1" x14ac:dyDescent="0.55000000000000004">
      <c r="A39" s="23">
        <v>210043</v>
      </c>
      <c r="B39" s="24" t="s">
        <v>81</v>
      </c>
      <c r="C39" s="32">
        <v>439564126.93352181</v>
      </c>
      <c r="D39" s="149">
        <f t="shared" si="30"/>
        <v>219782063.4667609</v>
      </c>
      <c r="E39" s="95">
        <f t="shared" si="1"/>
        <v>8791282.5386704355</v>
      </c>
      <c r="F39" s="96">
        <f t="shared" si="2"/>
        <v>219782063.4667609</v>
      </c>
      <c r="G39" s="95">
        <f t="shared" si="3"/>
        <v>5098531.7285233382</v>
      </c>
      <c r="H39" s="105">
        <f>((IFERROR(VLOOKUP($A39,'Regular Peer Group Pivot'!$1:$1048576,13,FALSE),VLOOKUP($A39,'AMC Peer Group Pivot'!$1:$1048576,13,FALSE))*1000))</f>
        <v>336518736.37333333</v>
      </c>
      <c r="I39" s="57">
        <f>IFERROR(VLOOKUP(A39,'Regular Peer Group Pivot'!$1:$1048576,16,FALSE),VLOOKUP(A39,'AMC Peer Group Pivot'!$1:$1048576,16,FALSE))</f>
        <v>9.4283547463859904E-2</v>
      </c>
      <c r="J39" s="105">
        <f t="shared" si="4"/>
        <v>31728180.25333333</v>
      </c>
      <c r="K39" s="105">
        <f t="shared" si="5"/>
        <v>45617994.520527102</v>
      </c>
      <c r="L39" s="112">
        <f t="shared" si="6"/>
        <v>0.13018516368147975</v>
      </c>
      <c r="M39" s="58">
        <v>1</v>
      </c>
      <c r="N39" s="59">
        <f>IFERROR(VLOOKUP(M39,'Regular Peer Group Pivot'!$1:$1048576,16,FALSE),VLOOKUP(M39,'AMC Peer Group Pivot'!$1:$1048576,16,FALSE))</f>
        <v>8.6831191177142525E-2</v>
      </c>
      <c r="O39" s="59">
        <f t="shared" si="7"/>
        <v>0.10850817742931114</v>
      </c>
      <c r="P39" s="59">
        <f t="shared" si="8"/>
        <v>1.4224629965451235E-2</v>
      </c>
      <c r="Q39" s="61">
        <f t="shared" si="9"/>
        <v>4786854.5013519023</v>
      </c>
      <c r="R39" s="25">
        <f>VLOOKUP(A39,'[1]ICC Calculation'!$A$1:$IV$65536,26,FALSE)</f>
        <v>-8.8585736258509407E-2</v>
      </c>
      <c r="S39" s="26">
        <f t="shared" si="10"/>
        <v>17</v>
      </c>
      <c r="T39" s="25">
        <v>5.9841810264478656E-2</v>
      </c>
      <c r="U39" s="26">
        <f t="shared" si="11"/>
        <v>12</v>
      </c>
      <c r="V39" s="27">
        <f t="shared" si="12"/>
        <v>29</v>
      </c>
      <c r="W39" s="28">
        <f t="shared" si="13"/>
        <v>6</v>
      </c>
      <c r="X39" s="27">
        <f t="array" ref="X39">MAX(IF($AW$8:$AW$53=AW39,$W$8:$W$53))</f>
        <v>9</v>
      </c>
      <c r="Y39" s="29">
        <f t="shared" si="14"/>
        <v>0.88888888888888895</v>
      </c>
      <c r="Z39" s="30">
        <f t="shared" si="15"/>
        <v>4254981.7789794691</v>
      </c>
      <c r="AA39" s="34">
        <f>VLOOKUP($A39,PAU!$1:$1048576,9,FALSE)</f>
        <v>61694944.870000005</v>
      </c>
      <c r="AB39" s="35">
        <f>VLOOKUP($A39,PAU!$1:$1048576,30,FALSE)</f>
        <v>0.22892709327929556</v>
      </c>
      <c r="AC39" s="30">
        <f t="shared" si="16"/>
        <v>3</v>
      </c>
      <c r="AD39" s="30">
        <f t="shared" si="31"/>
        <v>-6829241.7984106392</v>
      </c>
      <c r="AE39" s="30">
        <f t="shared" si="18"/>
        <v>-7588046.4426784879</v>
      </c>
      <c r="AF39" s="33">
        <f t="shared" si="19"/>
        <v>0</v>
      </c>
      <c r="AG39" s="32">
        <f t="shared" si="20"/>
        <v>4254981.7789794691</v>
      </c>
      <c r="AH39" s="31">
        <f>VLOOKUP($A39,'[2]Excess Capacity'!$A$1:$IV$65536,3,FALSE)</f>
        <v>82523</v>
      </c>
      <c r="AI39" s="31">
        <f>VLOOKUP($A39,'[2]Excess Capacity'!$A$1:$IV$65536,4,FALSE)</f>
        <v>2293</v>
      </c>
      <c r="AJ39" s="31">
        <f t="shared" si="21"/>
        <v>84816</v>
      </c>
      <c r="AK39" s="31">
        <f>VLOOKUP($A39,'[2]Excess Capacity'!$A$1:$IV$65536,6,FALSE)</f>
        <v>70834</v>
      </c>
      <c r="AL39" s="31">
        <f>VLOOKUP($A39,'[2]Excess Capacity'!$A$1:$IV$65536,7,FALSE)</f>
        <v>3775</v>
      </c>
      <c r="AM39" s="31">
        <f>VLOOKUP($A39,'[2]Excess Capacity'!$A$1:$IV$65536,8,FALSE)</f>
        <v>682</v>
      </c>
      <c r="AN39" s="31">
        <f t="shared" si="22"/>
        <v>75291</v>
      </c>
      <c r="AO39" s="36">
        <f t="shared" si="23"/>
        <v>-9525</v>
      </c>
      <c r="AP39" s="87">
        <v>1201.4025549134587</v>
      </c>
      <c r="AQ39" s="86">
        <f t="shared" si="24"/>
        <v>-11443359.335550694</v>
      </c>
      <c r="AR39" s="86">
        <f t="shared" si="29"/>
        <v>12360254.748636771</v>
      </c>
      <c r="AS39" s="95">
        <f t="shared" si="25"/>
        <v>-7188377.5565712247</v>
      </c>
      <c r="AT39" s="115">
        <f t="shared" si="26"/>
        <v>-0.51752870256511552</v>
      </c>
      <c r="AU39" s="136">
        <f>VLOOKUP(A39,[3]Sheet2!$B:$D,3,FALSE)</f>
        <v>1.094298357272198</v>
      </c>
      <c r="AV39" s="38">
        <f t="shared" si="27"/>
        <v>-7866229.7516082283</v>
      </c>
      <c r="AW39" s="27">
        <f t="shared" si="28"/>
        <v>1</v>
      </c>
      <c r="AX39" s="38"/>
    </row>
    <row r="40" spans="1:50" s="37" customFormat="1" ht="21" customHeight="1" x14ac:dyDescent="0.55000000000000004">
      <c r="A40" s="23">
        <v>210044</v>
      </c>
      <c r="B40" s="24" t="s">
        <v>78</v>
      </c>
      <c r="C40" s="32">
        <v>473559123.00221336</v>
      </c>
      <c r="D40" s="149">
        <f t="shared" si="30"/>
        <v>236779561.50110668</v>
      </c>
      <c r="E40" s="95">
        <f t="shared" si="1"/>
        <v>9471182.4600442667</v>
      </c>
      <c r="F40" s="96">
        <f t="shared" si="2"/>
        <v>236779561.50110668</v>
      </c>
      <c r="G40" s="95">
        <f t="shared" si="3"/>
        <v>5492841.8085482782</v>
      </c>
      <c r="H40" s="105">
        <f>((IFERROR(VLOOKUP($A40,'Regular Peer Group Pivot'!$1:$1048576,13,FALSE),VLOOKUP($A40,'AMC Peer Group Pivot'!$1:$1048576,13,FALSE))*1000))</f>
        <v>372374524.90789306</v>
      </c>
      <c r="I40" s="57">
        <f>IFERROR(VLOOKUP(A40,'Regular Peer Group Pivot'!$1:$1048576,16,FALSE),VLOOKUP(A40,'AMC Peer Group Pivot'!$1:$1048576,16,FALSE))</f>
        <v>0.1109151438601125</v>
      </c>
      <c r="J40" s="105">
        <f t="shared" si="4"/>
        <v>41301974.000000007</v>
      </c>
      <c r="K40" s="105">
        <f t="shared" si="5"/>
        <v>56265998.268592551</v>
      </c>
      <c r="L40" s="112">
        <f t="shared" si="6"/>
        <v>0.14526309965331052</v>
      </c>
      <c r="M40" s="58">
        <v>1</v>
      </c>
      <c r="N40" s="59">
        <f>IFERROR(VLOOKUP(M40,'Regular Peer Group Pivot'!$1:$1048576,16,FALSE),VLOOKUP(M40,'AMC Peer Group Pivot'!$1:$1048576,16,FALSE))</f>
        <v>8.6831191177142525E-2</v>
      </c>
      <c r="O40" s="59">
        <f t="shared" si="7"/>
        <v>0.11604714541522652</v>
      </c>
      <c r="P40" s="59">
        <f t="shared" si="8"/>
        <v>5.1320015551140213E-3</v>
      </c>
      <c r="Q40" s="61">
        <f t="shared" si="9"/>
        <v>1911026.6409121521</v>
      </c>
      <c r="R40" s="25">
        <f>VLOOKUP(A40,'[1]ICC Calculation'!$A$1:$IV$65536,26,FALSE)</f>
        <v>-0.10765723415524431</v>
      </c>
      <c r="S40" s="26">
        <f t="shared" si="10"/>
        <v>19</v>
      </c>
      <c r="T40" s="25">
        <v>0.1115227868523454</v>
      </c>
      <c r="U40" s="26">
        <f t="shared" si="11"/>
        <v>38</v>
      </c>
      <c r="V40" s="27">
        <f t="shared" si="12"/>
        <v>57</v>
      </c>
      <c r="W40" s="28">
        <f t="shared" si="13"/>
        <v>5</v>
      </c>
      <c r="X40" s="27">
        <f t="array" ref="X40">MAX(IF($AW$8:$AW$53=AW40,$W$8:$W$53))</f>
        <v>5</v>
      </c>
      <c r="Y40" s="29">
        <f t="shared" si="14"/>
        <v>0.24000000000000002</v>
      </c>
      <c r="Z40" s="30">
        <f t="shared" si="15"/>
        <v>458646.39381891652</v>
      </c>
      <c r="AA40" s="34">
        <f>VLOOKUP($A40,PAU!$1:$1048576,9,FALSE)</f>
        <v>42423235.789999999</v>
      </c>
      <c r="AB40" s="35">
        <f>VLOOKUP($A40,PAU!$1:$1048576,30,FALSE)</f>
        <v>0.17015242053763213</v>
      </c>
      <c r="AC40" s="30">
        <f t="shared" si="16"/>
        <v>2</v>
      </c>
      <c r="AD40" s="30">
        <f t="shared" si="31"/>
        <v>8335900.2582962885</v>
      </c>
      <c r="AE40" s="30">
        <f t="shared" si="18"/>
        <v>2000616.0619911095</v>
      </c>
      <c r="AF40" s="33">
        <f t="shared" si="19"/>
        <v>1000308.0309955548</v>
      </c>
      <c r="AG40" s="32">
        <f t="shared" si="20"/>
        <v>1458954.4248144713</v>
      </c>
      <c r="AH40" s="31">
        <f>VLOOKUP($A40,'[2]Excess Capacity'!$A$1:$IV$65536,3,FALSE)</f>
        <v>72636</v>
      </c>
      <c r="AI40" s="31">
        <f>VLOOKUP($A40,'[2]Excess Capacity'!$A$1:$IV$65536,4,FALSE)</f>
        <v>1677</v>
      </c>
      <c r="AJ40" s="31">
        <f t="shared" si="21"/>
        <v>74313</v>
      </c>
      <c r="AK40" s="31">
        <f>VLOOKUP($A40,'[2]Excess Capacity'!$A$1:$IV$65536,6,FALSE)</f>
        <v>63402</v>
      </c>
      <c r="AL40" s="31">
        <f>VLOOKUP($A40,'[2]Excess Capacity'!$A$1:$IV$65536,7,FALSE)</f>
        <v>1936</v>
      </c>
      <c r="AM40" s="31">
        <f>VLOOKUP($A40,'[2]Excess Capacity'!$A$1:$IV$65536,8,FALSE)</f>
        <v>1297</v>
      </c>
      <c r="AN40" s="31">
        <f t="shared" si="22"/>
        <v>66635</v>
      </c>
      <c r="AO40" s="36">
        <f t="shared" si="23"/>
        <v>-7678</v>
      </c>
      <c r="AP40" s="87">
        <v>1201.4025549134587</v>
      </c>
      <c r="AQ40" s="86">
        <f t="shared" si="24"/>
        <v>-9224368.8166255355</v>
      </c>
      <c r="AR40" s="86">
        <f t="shared" si="29"/>
        <v>13316171.726028061</v>
      </c>
      <c r="AS40" s="95">
        <f t="shared" si="25"/>
        <v>-7765414.3918110644</v>
      </c>
      <c r="AT40" s="115">
        <f t="shared" si="26"/>
        <v>-0.51893890656871067</v>
      </c>
      <c r="AU40" s="136">
        <f>VLOOKUP(A40,[3]Sheet2!$B:$D,3,FALSE)</f>
        <v>1.0887795174128592</v>
      </c>
      <c r="AV40" s="38">
        <f t="shared" si="27"/>
        <v>-8454824.1340269223</v>
      </c>
      <c r="AW40" s="27">
        <f t="shared" si="28"/>
        <v>4</v>
      </c>
      <c r="AX40" s="38"/>
    </row>
    <row r="41" spans="1:50" s="37" customFormat="1" x14ac:dyDescent="0.55000000000000004">
      <c r="A41" s="23">
        <v>210045</v>
      </c>
      <c r="B41" s="24" t="s">
        <v>103</v>
      </c>
      <c r="C41" s="32">
        <v>17280852.317266323</v>
      </c>
      <c r="D41" s="149">
        <f t="shared" si="30"/>
        <v>8640426.1586331613</v>
      </c>
      <c r="E41" s="95">
        <f t="shared" si="1"/>
        <v>345617.04634532647</v>
      </c>
      <c r="F41" s="96">
        <f t="shared" si="2"/>
        <v>8640426.1586331613</v>
      </c>
      <c r="G41" s="95">
        <f t="shared" si="3"/>
        <v>200441.68401584189</v>
      </c>
      <c r="H41" s="105">
        <f>((IFERROR(VLOOKUP($A41,'Regular Peer Group Pivot'!$1:$1048576,13,FALSE),VLOOKUP($A41,'AMC Peer Group Pivot'!$1:$1048576,13,FALSE))*1000))</f>
        <v>15791553.407320268</v>
      </c>
      <c r="I41" s="57">
        <f>IFERROR(VLOOKUP(A41,'Regular Peer Group Pivot'!$1:$1048576,16,FALSE),VLOOKUP(A41,'AMC Peer Group Pivot'!$1:$1048576,16,FALSE))</f>
        <v>4.7797704287287406E-2</v>
      </c>
      <c r="J41" s="105">
        <f t="shared" si="4"/>
        <v>754800</v>
      </c>
      <c r="K41" s="105">
        <f t="shared" si="5"/>
        <v>1300858.7303611685</v>
      </c>
      <c r="L41" s="112">
        <f t="shared" si="6"/>
        <v>7.9623553270727884E-2</v>
      </c>
      <c r="M41" s="58">
        <v>3</v>
      </c>
      <c r="N41" s="59">
        <f>IFERROR(VLOOKUP(M41,'Regular Peer Group Pivot'!$1:$1048576,16,FALSE),VLOOKUP(M41,'AMC Peer Group Pivot'!$1:$1048576,16,FALSE))</f>
        <v>9.0115883593839347E-2</v>
      </c>
      <c r="O41" s="59">
        <f t="shared" si="7"/>
        <v>8.4869718432283608E-2</v>
      </c>
      <c r="P41" s="59">
        <f t="shared" si="8"/>
        <v>3.7072014144996203E-2</v>
      </c>
      <c r="Q41" s="61">
        <f t="shared" si="9"/>
        <v>585424.69128764002</v>
      </c>
      <c r="R41" s="25">
        <f>VLOOKUP(A41,'[1]ICC Calculation'!$A$1:$IV$65536,26,FALSE)</f>
        <v>-0.27559990651852029</v>
      </c>
      <c r="S41" s="26">
        <f t="shared" si="10"/>
        <v>44</v>
      </c>
      <c r="T41" s="25">
        <v>6.0315885719640194E-2</v>
      </c>
      <c r="U41" s="26">
        <f t="shared" si="11"/>
        <v>13</v>
      </c>
      <c r="V41" s="27">
        <f t="shared" si="12"/>
        <v>57</v>
      </c>
      <c r="W41" s="28">
        <f t="shared" si="13"/>
        <v>5</v>
      </c>
      <c r="X41" s="27">
        <f t="array" ref="X41">MAX(IF($AW$8:$AW$53=AW41,$W$8:$W$53))</f>
        <v>5</v>
      </c>
      <c r="Y41" s="29">
        <f t="shared" si="14"/>
        <v>0.24000000000000002</v>
      </c>
      <c r="Z41" s="30">
        <f t="shared" si="15"/>
        <v>140501.92590903363</v>
      </c>
      <c r="AA41" s="34">
        <f>VLOOKUP($A41,PAU!$1:$1048576,9,FALSE)</f>
        <v>1104995.8699999999</v>
      </c>
      <c r="AB41" s="35">
        <f>VLOOKUP($A41,PAU!$1:$1048576,30,FALSE)</f>
        <v>0.41159030947557512</v>
      </c>
      <c r="AC41" s="30">
        <f t="shared" si="16"/>
        <v>5</v>
      </c>
      <c r="AD41" s="30">
        <f t="shared" si="31"/>
        <v>-175747.48459881253</v>
      </c>
      <c r="AE41" s="30">
        <f t="shared" si="18"/>
        <v>-309315.57289391005</v>
      </c>
      <c r="AF41" s="33">
        <f t="shared" si="19"/>
        <v>0</v>
      </c>
      <c r="AG41" s="32">
        <f t="shared" si="20"/>
        <v>140501.92590903363</v>
      </c>
      <c r="AH41" s="31">
        <f>VLOOKUP($A41,'[2]Excess Capacity'!$A$1:$IV$65536,3,FALSE)</f>
        <v>2205</v>
      </c>
      <c r="AI41" s="31">
        <f>VLOOKUP($A41,'[2]Excess Capacity'!$A$1:$IV$65536,4,FALSE)</f>
        <v>0</v>
      </c>
      <c r="AJ41" s="31">
        <f t="shared" si="21"/>
        <v>2205</v>
      </c>
      <c r="AK41" s="31">
        <f>VLOOKUP($A41,'[2]Excess Capacity'!$A$1:$IV$65536,6,FALSE)</f>
        <v>786</v>
      </c>
      <c r="AL41" s="31">
        <f>VLOOKUP($A41,'[2]Excess Capacity'!$A$1:$IV$65536,7,FALSE)</f>
        <v>104</v>
      </c>
      <c r="AM41" s="31">
        <f>VLOOKUP($A41,'[2]Excess Capacity'!$A$1:$IV$65536,8,FALSE)</f>
        <v>25</v>
      </c>
      <c r="AN41" s="31">
        <f t="shared" si="22"/>
        <v>915</v>
      </c>
      <c r="AO41" s="36">
        <f t="shared" si="23"/>
        <v>-1290</v>
      </c>
      <c r="AP41" s="87">
        <v>1201.4025549134587</v>
      </c>
      <c r="AQ41" s="86">
        <f t="shared" si="24"/>
        <v>-1549809.2958383618</v>
      </c>
      <c r="AR41" s="86">
        <f t="shared" si="29"/>
        <v>485926.22515641578</v>
      </c>
      <c r="AS41" s="95">
        <f t="shared" si="25"/>
        <v>-1409307.3699293281</v>
      </c>
      <c r="AT41" s="115">
        <f t="shared" si="26"/>
        <v>-2.580871418349449</v>
      </c>
      <c r="AU41" s="136">
        <f>VLOOKUP(A41,[3]Sheet2!$B:$D,3,FALSE)</f>
        <v>1.1000451041903196</v>
      </c>
      <c r="AV41" s="38">
        <f t="shared" si="27"/>
        <v>-1550301.672590093</v>
      </c>
      <c r="AW41" s="27">
        <f t="shared" si="28"/>
        <v>4</v>
      </c>
      <c r="AX41" s="38"/>
    </row>
    <row r="42" spans="1:50" s="37" customFormat="1" x14ac:dyDescent="0.55000000000000004">
      <c r="A42" s="23">
        <v>210048</v>
      </c>
      <c r="B42" s="24" t="s">
        <v>99</v>
      </c>
      <c r="C42" s="32">
        <v>308844934.36516756</v>
      </c>
      <c r="D42" s="149">
        <f t="shared" si="30"/>
        <v>154422467.18258378</v>
      </c>
      <c r="E42" s="95">
        <f t="shared" si="1"/>
        <v>6176898.6873033512</v>
      </c>
      <c r="F42" s="96">
        <f t="shared" si="2"/>
        <v>154422467.18258378</v>
      </c>
      <c r="G42" s="95">
        <f t="shared" si="3"/>
        <v>3582311.6595969619</v>
      </c>
      <c r="H42" s="105">
        <f>((IFERROR(VLOOKUP($A42,'Regular Peer Group Pivot'!$1:$1048576,13,FALSE),VLOOKUP($A42,'AMC Peer Group Pivot'!$1:$1048576,13,FALSE))*1000))</f>
        <v>249730780.00000009</v>
      </c>
      <c r="I42" s="57">
        <f>IFERROR(VLOOKUP(A42,'Regular Peer Group Pivot'!$1:$1048576,16,FALSE),VLOOKUP(A42,'AMC Peer Group Pivot'!$1:$1048576,16,FALSE))</f>
        <v>9.232944373136541E-2</v>
      </c>
      <c r="J42" s="105">
        <f t="shared" si="4"/>
        <v>23057504.000000004</v>
      </c>
      <c r="K42" s="105">
        <f t="shared" si="5"/>
        <v>32816714.346900318</v>
      </c>
      <c r="L42" s="112">
        <f t="shared" si="6"/>
        <v>0.1264662051242483</v>
      </c>
      <c r="M42" s="58">
        <v>3</v>
      </c>
      <c r="N42" s="59">
        <f>IFERROR(VLOOKUP(M42,'Regular Peer Group Pivot'!$1:$1048576,16,FALSE),VLOOKUP(M42,'AMC Peer Group Pivot'!$1:$1048576,16,FALSE))</f>
        <v>9.0115883593839347E-2</v>
      </c>
      <c r="O42" s="59">
        <f t="shared" si="7"/>
        <v>0.10829104435904383</v>
      </c>
      <c r="P42" s="59">
        <f t="shared" si="8"/>
        <v>1.5961600627678416E-2</v>
      </c>
      <c r="Q42" s="61">
        <f t="shared" si="9"/>
        <v>3986102.9747986216</v>
      </c>
      <c r="R42" s="25">
        <f>VLOOKUP(A42,'[1]ICC Calculation'!$A$1:$IV$65536,26,FALSE)</f>
        <v>-4.7687747355967147E-2</v>
      </c>
      <c r="S42" s="26">
        <f t="shared" si="10"/>
        <v>8</v>
      </c>
      <c r="T42" s="25">
        <v>7.9169247546857058E-2</v>
      </c>
      <c r="U42" s="26">
        <f t="shared" si="11"/>
        <v>25</v>
      </c>
      <c r="V42" s="27">
        <f t="shared" si="12"/>
        <v>33</v>
      </c>
      <c r="W42" s="28">
        <f t="shared" si="13"/>
        <v>1</v>
      </c>
      <c r="X42" s="27">
        <f t="array" ref="X42">MAX(IF($AW$8:$AW$53=AW42,$W$8:$W$53))</f>
        <v>9</v>
      </c>
      <c r="Y42" s="29">
        <f t="shared" si="14"/>
        <v>0.8</v>
      </c>
      <c r="Z42" s="30">
        <f t="shared" si="15"/>
        <v>3188882.3798388974</v>
      </c>
      <c r="AA42" s="34">
        <f>VLOOKUP($A42,PAU!$1:$1048576,9,FALSE)</f>
        <v>39163835.459999986</v>
      </c>
      <c r="AB42" s="35">
        <f>VLOOKUP($A42,PAU!$1:$1048576,30,FALSE)</f>
        <v>0.1896252213532604</v>
      </c>
      <c r="AC42" s="30">
        <f t="shared" si="16"/>
        <v>2</v>
      </c>
      <c r="AD42" s="30">
        <f t="shared" si="31"/>
        <v>2883422.4583223984</v>
      </c>
      <c r="AE42" s="30">
        <f t="shared" si="18"/>
        <v>2306737.9666579189</v>
      </c>
      <c r="AF42" s="33">
        <f t="shared" si="19"/>
        <v>1153368.9833289594</v>
      </c>
      <c r="AG42" s="32">
        <f t="shared" si="20"/>
        <v>4342251.3631678568</v>
      </c>
      <c r="AH42" s="31">
        <f>VLOOKUP($A42,'[2]Excess Capacity'!$A$1:$IV$65536,3,FALSE)</f>
        <v>62919</v>
      </c>
      <c r="AI42" s="31">
        <f>VLOOKUP($A42,'[2]Excess Capacity'!$A$1:$IV$65536,4,FALSE)</f>
        <v>316</v>
      </c>
      <c r="AJ42" s="31">
        <f t="shared" si="21"/>
        <v>63235</v>
      </c>
      <c r="AK42" s="31">
        <f>VLOOKUP($A42,'[2]Excess Capacity'!$A$1:$IV$65536,6,FALSE)</f>
        <v>62405</v>
      </c>
      <c r="AL42" s="31">
        <f>VLOOKUP($A42,'[2]Excess Capacity'!$A$1:$IV$65536,7,FALSE)</f>
        <v>3336</v>
      </c>
      <c r="AM42" s="31">
        <f>VLOOKUP($A42,'[2]Excess Capacity'!$A$1:$IV$65536,8,FALSE)</f>
        <v>527</v>
      </c>
      <c r="AN42" s="31">
        <f t="shared" si="22"/>
        <v>66268</v>
      </c>
      <c r="AO42" s="36">
        <f t="shared" si="23"/>
        <v>3033</v>
      </c>
      <c r="AP42" s="87">
        <v>1201.4025549134587</v>
      </c>
      <c r="AQ42" s="86">
        <f t="shared" si="24"/>
        <v>0</v>
      </c>
      <c r="AR42" s="86">
        <f t="shared" si="29"/>
        <v>8684516.8490212243</v>
      </c>
      <c r="AS42" s="95">
        <f t="shared" si="25"/>
        <v>4342251.3631678568</v>
      </c>
      <c r="AT42" s="115">
        <f t="shared" si="26"/>
        <v>0.44493880230248622</v>
      </c>
      <c r="AU42" s="136">
        <f>VLOOKUP(A42,[3]Sheet2!$B:$D,3,FALSE)</f>
        <v>1.0884353028263278</v>
      </c>
      <c r="AV42" s="38">
        <f t="shared" si="27"/>
        <v>4726259.6774176415</v>
      </c>
      <c r="AW42" s="27">
        <f t="shared" si="28"/>
        <v>2</v>
      </c>
      <c r="AX42" s="38"/>
    </row>
    <row r="43" spans="1:50" s="37" customFormat="1" x14ac:dyDescent="0.55000000000000004">
      <c r="A43" s="23">
        <v>210049</v>
      </c>
      <c r="B43" s="24" t="s">
        <v>117</v>
      </c>
      <c r="C43" s="32">
        <v>357077044.40539783</v>
      </c>
      <c r="D43" s="149">
        <f t="shared" si="30"/>
        <v>178538522.20269892</v>
      </c>
      <c r="E43" s="95">
        <f t="shared" si="1"/>
        <v>7141540.8881079564</v>
      </c>
      <c r="F43" s="96">
        <f t="shared" si="2"/>
        <v>178538522.20269892</v>
      </c>
      <c r="G43" s="95">
        <f t="shared" si="3"/>
        <v>4141758.9126957911</v>
      </c>
      <c r="H43" s="105">
        <f>((IFERROR(VLOOKUP($A43,'Regular Peer Group Pivot'!$1:$1048576,13,FALSE),VLOOKUP($A43,'AMC Peer Group Pivot'!$1:$1048576,13,FALSE))*1000))</f>
        <v>250715059.57581103</v>
      </c>
      <c r="I43" s="57">
        <f>IFERROR(VLOOKUP(A43,'Regular Peer Group Pivot'!$1:$1048576,16,FALSE),VLOOKUP(A43,'AMC Peer Group Pivot'!$1:$1048576,16,FALSE))</f>
        <v>9.5693999151792872E-2</v>
      </c>
      <c r="J43" s="105">
        <f t="shared" si="4"/>
        <v>23991926.698389359</v>
      </c>
      <c r="K43" s="105">
        <f t="shared" si="5"/>
        <v>35275226.499193102</v>
      </c>
      <c r="L43" s="112">
        <f t="shared" si="6"/>
        <v>0.13463911218041646</v>
      </c>
      <c r="M43" s="58">
        <v>3</v>
      </c>
      <c r="N43" s="59">
        <f>IFERROR(VLOOKUP(M43,'Regular Peer Group Pivot'!$1:$1048576,16,FALSE),VLOOKUP(M43,'AMC Peer Group Pivot'!$1:$1048576,16,FALSE))</f>
        <v>9.0115883593839347E-2</v>
      </c>
      <c r="O43" s="59">
        <f t="shared" si="7"/>
        <v>0.11237749788712791</v>
      </c>
      <c r="P43" s="59">
        <f t="shared" si="8"/>
        <v>1.6683498735335034E-2</v>
      </c>
      <c r="Q43" s="61">
        <f t="shared" si="9"/>
        <v>4182804.379362491</v>
      </c>
      <c r="R43" s="25">
        <f>VLOOKUP(A43,'[1]ICC Calculation'!$A$1:$IV$65536,26,FALSE)</f>
        <v>-0.12692307519810109</v>
      </c>
      <c r="S43" s="26">
        <f t="shared" si="10"/>
        <v>23</v>
      </c>
      <c r="T43" s="25">
        <v>9.0066332615547529E-2</v>
      </c>
      <c r="U43" s="26">
        <f t="shared" si="11"/>
        <v>28</v>
      </c>
      <c r="V43" s="27">
        <f t="shared" si="12"/>
        <v>51</v>
      </c>
      <c r="W43" s="28">
        <f t="shared" si="13"/>
        <v>9</v>
      </c>
      <c r="X43" s="27">
        <f t="array" ref="X43">MAX(IF($AW$8:$AW$53=AW43,$W$8:$W$53))</f>
        <v>9</v>
      </c>
      <c r="Y43" s="29">
        <f t="shared" si="14"/>
        <v>0.42222222222222222</v>
      </c>
      <c r="Z43" s="30">
        <f t="shared" si="15"/>
        <v>1766072.9601752739</v>
      </c>
      <c r="AA43" s="34">
        <f>VLOOKUP($A43,PAU!$1:$1048576,9,FALSE)</f>
        <v>43094259.030000001</v>
      </c>
      <c r="AB43" s="35">
        <f>VLOOKUP($A43,PAU!$1:$1048576,30,FALSE)</f>
        <v>0.24039099909326547</v>
      </c>
      <c r="AC43" s="30">
        <f t="shared" si="16"/>
        <v>4</v>
      </c>
      <c r="AD43" s="30">
        <f t="shared" si="31"/>
        <v>-6597880.0524996221</v>
      </c>
      <c r="AE43" s="30">
        <f t="shared" si="18"/>
        <v>-10409988.527277181</v>
      </c>
      <c r="AF43" s="33">
        <f t="shared" si="19"/>
        <v>0</v>
      </c>
      <c r="AG43" s="32">
        <f t="shared" si="20"/>
        <v>1766072.9601752739</v>
      </c>
      <c r="AH43" s="31">
        <f>VLOOKUP($A43,'[2]Excess Capacity'!$A$1:$IV$65536,3,FALSE)</f>
        <v>47433</v>
      </c>
      <c r="AI43" s="31">
        <f>VLOOKUP($A43,'[2]Excess Capacity'!$A$1:$IV$65536,4,FALSE)</f>
        <v>399</v>
      </c>
      <c r="AJ43" s="31">
        <f t="shared" si="21"/>
        <v>47832</v>
      </c>
      <c r="AK43" s="31">
        <f>VLOOKUP($A43,'[2]Excess Capacity'!$A$1:$IV$65536,6,FALSE)</f>
        <v>38864</v>
      </c>
      <c r="AL43" s="31">
        <f>VLOOKUP($A43,'[2]Excess Capacity'!$A$1:$IV$65536,7,FALSE)</f>
        <v>6862</v>
      </c>
      <c r="AM43" s="31">
        <f>VLOOKUP($A43,'[2]Excess Capacity'!$A$1:$IV$65536,8,FALSE)</f>
        <v>599</v>
      </c>
      <c r="AN43" s="31">
        <f t="shared" si="22"/>
        <v>46325</v>
      </c>
      <c r="AO43" s="36">
        <f t="shared" si="23"/>
        <v>-1507</v>
      </c>
      <c r="AP43" s="87">
        <v>1201.4025549134587</v>
      </c>
      <c r="AQ43" s="86">
        <f t="shared" si="24"/>
        <v>-1810513.6502545823</v>
      </c>
      <c r="AR43" s="86">
        <f t="shared" si="29"/>
        <v>10040772.12699501</v>
      </c>
      <c r="AS43" s="95">
        <f t="shared" si="25"/>
        <v>-44440.690079308348</v>
      </c>
      <c r="AT43" s="115">
        <f t="shared" si="26"/>
        <v>-3.9386253014515038E-3</v>
      </c>
      <c r="AU43" s="136">
        <f>VLOOKUP(A43,[3]Sheet2!$B:$D,3,FALSE)</f>
        <v>1.0914316135844762</v>
      </c>
      <c r="AV43" s="38">
        <f t="shared" si="27"/>
        <v>-48503.974082067129</v>
      </c>
      <c r="AW43" s="27">
        <f t="shared" si="28"/>
        <v>3</v>
      </c>
      <c r="AX43" s="38"/>
    </row>
    <row r="44" spans="1:50" s="37" customFormat="1" x14ac:dyDescent="0.55000000000000004">
      <c r="A44" s="23">
        <v>210051</v>
      </c>
      <c r="B44" s="24" t="s">
        <v>105</v>
      </c>
      <c r="C44" s="32">
        <v>257373705.84534556</v>
      </c>
      <c r="D44" s="149">
        <f t="shared" si="30"/>
        <v>128686852.92267278</v>
      </c>
      <c r="E44" s="95">
        <f t="shared" si="1"/>
        <v>5147474.1169069111</v>
      </c>
      <c r="F44" s="96">
        <f t="shared" si="2"/>
        <v>128686852.92267278</v>
      </c>
      <c r="G44" s="95">
        <f t="shared" si="3"/>
        <v>2985293.6691955831</v>
      </c>
      <c r="H44" s="105">
        <f>((IFERROR(VLOOKUP($A44,'Regular Peer Group Pivot'!$1:$1048576,13,FALSE),VLOOKUP($A44,'AMC Peer Group Pivot'!$1:$1048576,13,FALSE))*1000))</f>
        <v>185981671.22983652</v>
      </c>
      <c r="I44" s="57">
        <f>IFERROR(VLOOKUP(A44,'Regular Peer Group Pivot'!$1:$1048576,16,FALSE),VLOOKUP(A44,'AMC Peer Group Pivot'!$1:$1048576,16,FALSE))</f>
        <v>6.952313233491364E-2</v>
      </c>
      <c r="J44" s="105">
        <f t="shared" si="4"/>
        <v>12930028.340780325</v>
      </c>
      <c r="K44" s="105">
        <f t="shared" si="5"/>
        <v>21062796.126882821</v>
      </c>
      <c r="L44" s="112">
        <f t="shared" si="6"/>
        <v>0.10850710659990277</v>
      </c>
      <c r="M44" s="58">
        <v>3</v>
      </c>
      <c r="N44" s="59">
        <f>IFERROR(VLOOKUP(M44,'Regular Peer Group Pivot'!$1:$1048576,16,FALSE),VLOOKUP(M44,'AMC Peer Group Pivot'!$1:$1048576,16,FALSE))</f>
        <v>9.0115883593839347E-2</v>
      </c>
      <c r="O44" s="59">
        <f t="shared" si="7"/>
        <v>9.9311495096871066E-2</v>
      </c>
      <c r="P44" s="59">
        <f t="shared" si="8"/>
        <v>2.9788362761957426E-2</v>
      </c>
      <c r="Q44" s="61">
        <f t="shared" si="9"/>
        <v>5540089.489669471</v>
      </c>
      <c r="R44" s="25">
        <f>VLOOKUP(A44,'[1]ICC Calculation'!$A$1:$IV$65536,26,FALSE)</f>
        <v>-0.16262580724104769</v>
      </c>
      <c r="S44" s="26">
        <f t="shared" si="10"/>
        <v>31</v>
      </c>
      <c r="T44" s="25">
        <v>4.5176986716277456E-2</v>
      </c>
      <c r="U44" s="26">
        <f t="shared" si="11"/>
        <v>8</v>
      </c>
      <c r="V44" s="27">
        <f t="shared" si="12"/>
        <v>39</v>
      </c>
      <c r="W44" s="28">
        <f t="shared" si="13"/>
        <v>7</v>
      </c>
      <c r="X44" s="27">
        <f t="array" ref="X44">MAX(IF($AW$8:$AW$53=AW44,$W$8:$W$53))</f>
        <v>9</v>
      </c>
      <c r="Y44" s="29">
        <f t="shared" si="14"/>
        <v>0.66666666666666663</v>
      </c>
      <c r="Z44" s="30">
        <f t="shared" si="15"/>
        <v>3693392.9931129804</v>
      </c>
      <c r="AA44" s="34">
        <f>VLOOKUP($A44,PAU!$1:$1048576,9,FALSE)</f>
        <v>42970975.290000007</v>
      </c>
      <c r="AB44" s="35">
        <f>VLOOKUP($A44,PAU!$1:$1048576,30,FALSE)</f>
        <v>0.26900150986394389</v>
      </c>
      <c r="AC44" s="30">
        <f t="shared" si="16"/>
        <v>5</v>
      </c>
      <c r="AD44" s="30">
        <f t="shared" si="31"/>
        <v>-10449588.592593946</v>
      </c>
      <c r="AE44" s="30">
        <f t="shared" si="18"/>
        <v>-13932784.790125262</v>
      </c>
      <c r="AF44" s="33">
        <f t="shared" si="19"/>
        <v>0</v>
      </c>
      <c r="AG44" s="32">
        <f t="shared" si="20"/>
        <v>3693392.9931129804</v>
      </c>
      <c r="AH44" s="31">
        <f>VLOOKUP($A44,'[2]Excess Capacity'!$A$1:$IV$65536,3,FALSE)</f>
        <v>51708</v>
      </c>
      <c r="AI44" s="31">
        <f>VLOOKUP($A44,'[2]Excess Capacity'!$A$1:$IV$65536,4,FALSE)</f>
        <v>591</v>
      </c>
      <c r="AJ44" s="31">
        <f t="shared" si="21"/>
        <v>52299</v>
      </c>
      <c r="AK44" s="31">
        <f>VLOOKUP($A44,'[2]Excess Capacity'!$A$1:$IV$65536,6,FALSE)</f>
        <v>48359</v>
      </c>
      <c r="AL44" s="31">
        <f>VLOOKUP($A44,'[2]Excess Capacity'!$A$1:$IV$65536,7,FALSE)</f>
        <v>2781</v>
      </c>
      <c r="AM44" s="31">
        <f>VLOOKUP($A44,'[2]Excess Capacity'!$A$1:$IV$65536,8,FALSE)</f>
        <v>1699</v>
      </c>
      <c r="AN44" s="31">
        <f t="shared" si="22"/>
        <v>52839</v>
      </c>
      <c r="AO44" s="36">
        <f t="shared" si="23"/>
        <v>540</v>
      </c>
      <c r="AP44" s="87">
        <v>1201.4025549134587</v>
      </c>
      <c r="AQ44" s="86">
        <f t="shared" si="24"/>
        <v>0</v>
      </c>
      <c r="AR44" s="86">
        <f t="shared" si="29"/>
        <v>7237179.6853438187</v>
      </c>
      <c r="AS44" s="95">
        <f t="shared" si="25"/>
        <v>3693392.9931129804</v>
      </c>
      <c r="AT44" s="115">
        <f t="shared" si="26"/>
        <v>0.45413727408083088</v>
      </c>
      <c r="AU44" s="136">
        <f>VLOOKUP(A44,[3]Sheet2!$B:$D,3,FALSE)</f>
        <v>1.0948838628738018</v>
      </c>
      <c r="AV44" s="38">
        <f t="shared" si="27"/>
        <v>4043836.3874105727</v>
      </c>
      <c r="AW44" s="27">
        <f t="shared" si="28"/>
        <v>2</v>
      </c>
      <c r="AX44" s="38"/>
    </row>
    <row r="45" spans="1:50" s="37" customFormat="1" x14ac:dyDescent="0.55000000000000004">
      <c r="A45" s="23">
        <v>210055</v>
      </c>
      <c r="B45" s="24" t="s">
        <v>102</v>
      </c>
      <c r="C45" s="32">
        <v>101039244.17497009</v>
      </c>
      <c r="D45" s="149">
        <f t="shared" si="30"/>
        <v>50519622.087485045</v>
      </c>
      <c r="E45" s="95">
        <f t="shared" si="1"/>
        <v>2020784.8834994019</v>
      </c>
      <c r="F45" s="96">
        <f t="shared" si="2"/>
        <v>50519622.087485045</v>
      </c>
      <c r="G45" s="95">
        <f t="shared" si="3"/>
        <v>1171960.4960620725</v>
      </c>
      <c r="H45" s="105">
        <f>((IFERROR(VLOOKUP($A45,'Regular Peer Group Pivot'!$1:$1048576,13,FALSE),VLOOKUP($A45,'AMC Peer Group Pivot'!$1:$1048576,13,FALSE))*1000))</f>
        <v>78918300</v>
      </c>
      <c r="I45" s="57">
        <f>IFERROR(VLOOKUP(A45,'Regular Peer Group Pivot'!$1:$1048576,16,FALSE),VLOOKUP(A45,'AMC Peer Group Pivot'!$1:$1048576,16,FALSE))</f>
        <v>5.488474740690636E-2</v>
      </c>
      <c r="J45" s="105">
        <f t="shared" si="4"/>
        <v>4331410.9612824582</v>
      </c>
      <c r="K45" s="105">
        <f t="shared" si="5"/>
        <v>7524156.3408439327</v>
      </c>
      <c r="L45" s="112">
        <f t="shared" si="6"/>
        <v>9.1633912417790203E-2</v>
      </c>
      <c r="M45" s="58">
        <v>3</v>
      </c>
      <c r="N45" s="59">
        <f>IFERROR(VLOOKUP(M45,'Regular Peer Group Pivot'!$1:$1048576,16,FALSE),VLOOKUP(M45,'AMC Peer Group Pivot'!$1:$1048576,16,FALSE))</f>
        <v>9.0115883593839347E-2</v>
      </c>
      <c r="O45" s="59">
        <f t="shared" si="7"/>
        <v>9.0874898005814775E-2</v>
      </c>
      <c r="P45" s="59">
        <f t="shared" si="8"/>
        <v>3.5990150598908414E-2</v>
      </c>
      <c r="Q45" s="61">
        <f t="shared" si="9"/>
        <v>2840281.5020098337</v>
      </c>
      <c r="R45" s="25">
        <f>VLOOKUP(A45,'[1]ICC Calculation'!$A$1:$IV$65536,26,FALSE)</f>
        <v>-0.20028360434199721</v>
      </c>
      <c r="S45" s="26">
        <f t="shared" si="10"/>
        <v>36</v>
      </c>
      <c r="T45" s="25">
        <v>3.0908667423028779E-2</v>
      </c>
      <c r="U45" s="26">
        <f t="shared" si="11"/>
        <v>1</v>
      </c>
      <c r="V45" s="27">
        <f t="shared" si="12"/>
        <v>37</v>
      </c>
      <c r="W45" s="28">
        <f t="shared" si="13"/>
        <v>4</v>
      </c>
      <c r="X45" s="27">
        <f t="array" ref="X45">MAX(IF($AW$8:$AW$53=AW45,$W$8:$W$53))</f>
        <v>9</v>
      </c>
      <c r="Y45" s="29">
        <f t="shared" si="14"/>
        <v>0.73333333333333328</v>
      </c>
      <c r="Z45" s="30">
        <f t="shared" si="15"/>
        <v>2082873.1014738779</v>
      </c>
      <c r="AA45" s="34">
        <f>VLOOKUP($A45,PAU!$1:$1048576,9,FALSE)</f>
        <v>12246399.709999997</v>
      </c>
      <c r="AB45" s="35">
        <f>VLOOKUP($A45,PAU!$1:$1048576,30,FALSE)</f>
        <v>0.20971156825322168</v>
      </c>
      <c r="AC45" s="30">
        <f t="shared" si="16"/>
        <v>3</v>
      </c>
      <c r="AD45" s="30">
        <f t="shared" si="31"/>
        <v>-357693.23798813298</v>
      </c>
      <c r="AE45" s="30">
        <f t="shared" si="18"/>
        <v>-453078.10145163507</v>
      </c>
      <c r="AF45" s="33">
        <f t="shared" si="19"/>
        <v>0</v>
      </c>
      <c r="AG45" s="32">
        <f t="shared" si="20"/>
        <v>2082873.1014738779</v>
      </c>
      <c r="AH45" s="31">
        <f>VLOOKUP($A45,'[2]Excess Capacity'!$A$1:$IV$65536,3,FALSE)</f>
        <v>25729</v>
      </c>
      <c r="AI45" s="31">
        <f>VLOOKUP($A45,'[2]Excess Capacity'!$A$1:$IV$65536,4,FALSE)</f>
        <v>780</v>
      </c>
      <c r="AJ45" s="31">
        <f t="shared" si="21"/>
        <v>26509</v>
      </c>
      <c r="AK45" s="31">
        <f>VLOOKUP($A45,'[2]Excess Capacity'!$A$1:$IV$65536,6,FALSE)</f>
        <v>20655</v>
      </c>
      <c r="AL45" s="31">
        <f>VLOOKUP($A45,'[2]Excess Capacity'!$A$1:$IV$65536,7,FALSE)</f>
        <v>485</v>
      </c>
      <c r="AM45" s="31">
        <f>VLOOKUP($A45,'[2]Excess Capacity'!$A$1:$IV$65536,8,FALSE)</f>
        <v>81</v>
      </c>
      <c r="AN45" s="31">
        <f t="shared" si="22"/>
        <v>21221</v>
      </c>
      <c r="AO45" s="36">
        <f t="shared" si="23"/>
        <v>-5288</v>
      </c>
      <c r="AP45" s="87">
        <v>1201.4025549134587</v>
      </c>
      <c r="AQ45" s="86">
        <f t="shared" si="24"/>
        <v>-6353016.7103823703</v>
      </c>
      <c r="AR45" s="86">
        <f t="shared" si="29"/>
        <v>2841157.2307428527</v>
      </c>
      <c r="AS45" s="95">
        <f t="shared" si="25"/>
        <v>-4270143.6089084921</v>
      </c>
      <c r="AT45" s="115">
        <f t="shared" si="26"/>
        <v>-1.3374519735410277</v>
      </c>
      <c r="AU45" s="136">
        <f>VLOOKUP(A45,[3]Sheet2!$B:$D,3,FALSE)</f>
        <v>1.0934308630702625</v>
      </c>
      <c r="AV45" s="38">
        <f t="shared" si="27"/>
        <v>-4669106.8117227778</v>
      </c>
      <c r="AW45" s="27">
        <f t="shared" si="28"/>
        <v>2</v>
      </c>
      <c r="AX45" s="38"/>
    </row>
    <row r="46" spans="1:50" s="37" customFormat="1" x14ac:dyDescent="0.55000000000000004">
      <c r="A46" s="23">
        <v>210056</v>
      </c>
      <c r="B46" s="24" t="s">
        <v>84</v>
      </c>
      <c r="C46" s="32">
        <v>252917229.744562</v>
      </c>
      <c r="D46" s="149">
        <f t="shared" si="30"/>
        <v>126458614.872281</v>
      </c>
      <c r="E46" s="95">
        <f t="shared" si="1"/>
        <v>5058344.5948912399</v>
      </c>
      <c r="F46" s="96">
        <f t="shared" si="2"/>
        <v>126458614.872281</v>
      </c>
      <c r="G46" s="95">
        <f t="shared" si="3"/>
        <v>2933602.7249054755</v>
      </c>
      <c r="H46" s="105">
        <f>((IFERROR(VLOOKUP($A46,'Regular Peer Group Pivot'!$1:$1048576,13,FALSE),VLOOKUP($A46,'AMC Peer Group Pivot'!$1:$1048576,13,FALSE))*1000))</f>
        <v>210839351.31585255</v>
      </c>
      <c r="I46" s="57">
        <f>IFERROR(VLOOKUP(A46,'Regular Peer Group Pivot'!$1:$1048576,16,FALSE),VLOOKUP(A46,'AMC Peer Group Pivot'!$1:$1048576,16,FALSE))</f>
        <v>6.3215017050506347E-2</v>
      </c>
      <c r="J46" s="105">
        <f t="shared" si="4"/>
        <v>13328213.188349318</v>
      </c>
      <c r="K46" s="105">
        <f t="shared" si="5"/>
        <v>21320160.508146033</v>
      </c>
      <c r="L46" s="112">
        <f t="shared" si="6"/>
        <v>9.7427381919639247E-2</v>
      </c>
      <c r="M46" s="58">
        <v>1</v>
      </c>
      <c r="N46" s="59">
        <f>IFERROR(VLOOKUP(M46,'Regular Peer Group Pivot'!$1:$1048576,16,FALSE),VLOOKUP(M46,'AMC Peer Group Pivot'!$1:$1048576,16,FALSE))</f>
        <v>8.6831191177142525E-2</v>
      </c>
      <c r="O46" s="59">
        <f t="shared" si="7"/>
        <v>9.2129286548390893E-2</v>
      </c>
      <c r="P46" s="59">
        <f t="shared" si="8"/>
        <v>2.8914269497884545E-2</v>
      </c>
      <c r="Q46" s="61">
        <f t="shared" si="9"/>
        <v>6096265.824705719</v>
      </c>
      <c r="R46" s="25">
        <f>VLOOKUP(A46,'[1]ICC Calculation'!$A$1:$IV$65536,26,FALSE)</f>
        <v>-0.22889335383242981</v>
      </c>
      <c r="S46" s="26">
        <f t="shared" si="10"/>
        <v>38</v>
      </c>
      <c r="T46" s="25">
        <v>0.1292522624571073</v>
      </c>
      <c r="U46" s="26">
        <f t="shared" si="11"/>
        <v>44</v>
      </c>
      <c r="V46" s="27">
        <f t="shared" si="12"/>
        <v>82</v>
      </c>
      <c r="W46" s="28">
        <f t="shared" si="13"/>
        <v>8</v>
      </c>
      <c r="X46" s="27">
        <f t="array" ref="X46">MAX(IF($AW$8:$AW$53=AW46,$W$8:$W$53))</f>
        <v>9</v>
      </c>
      <c r="Y46" s="29">
        <f t="shared" si="14"/>
        <v>4.4444444444444446E-2</v>
      </c>
      <c r="Z46" s="30">
        <f t="shared" si="15"/>
        <v>270945.14776469866</v>
      </c>
      <c r="AA46" s="34">
        <f>VLOOKUP($A46,PAU!$1:$1048576,9,FALSE)</f>
        <v>49212827.489999995</v>
      </c>
      <c r="AB46" s="35">
        <f>VLOOKUP($A46,PAU!$1:$1048576,30,FALSE)</f>
        <v>0.30412275331782074</v>
      </c>
      <c r="AC46" s="30">
        <f t="shared" si="16"/>
        <v>5</v>
      </c>
      <c r="AD46" s="30">
        <f t="shared" si="31"/>
        <v>-10593098.446330614</v>
      </c>
      <c r="AE46" s="30">
        <f t="shared" si="18"/>
        <v>-20715392.517268758</v>
      </c>
      <c r="AF46" s="33">
        <f t="shared" si="19"/>
        <v>0</v>
      </c>
      <c r="AG46" s="32">
        <f t="shared" si="20"/>
        <v>270945.14776469866</v>
      </c>
      <c r="AH46" s="31">
        <f>VLOOKUP($A46,'[2]Excess Capacity'!$A$1:$IV$65536,3,FALSE)</f>
        <v>73833</v>
      </c>
      <c r="AI46" s="31">
        <f>VLOOKUP($A46,'[2]Excess Capacity'!$A$1:$IV$65536,4,FALSE)</f>
        <v>198</v>
      </c>
      <c r="AJ46" s="31">
        <f t="shared" si="21"/>
        <v>74031</v>
      </c>
      <c r="AK46" s="31">
        <f>VLOOKUP($A46,'[2]Excess Capacity'!$A$1:$IV$65536,6,FALSE)</f>
        <v>45690</v>
      </c>
      <c r="AL46" s="31">
        <f>VLOOKUP($A46,'[2]Excess Capacity'!$A$1:$IV$65536,7,FALSE)</f>
        <v>2400</v>
      </c>
      <c r="AM46" s="31">
        <f>VLOOKUP($A46,'[2]Excess Capacity'!$A$1:$IV$65536,8,FALSE)</f>
        <v>256</v>
      </c>
      <c r="AN46" s="31">
        <f t="shared" si="22"/>
        <v>48346</v>
      </c>
      <c r="AO46" s="36">
        <f t="shared" si="23"/>
        <v>-25685</v>
      </c>
      <c r="AP46" s="87">
        <v>1201.4025549134587</v>
      </c>
      <c r="AQ46" s="86">
        <f t="shared" si="24"/>
        <v>-30858024.622952189</v>
      </c>
      <c r="AR46" s="86">
        <f t="shared" si="29"/>
        <v>7111866.5023250729</v>
      </c>
      <c r="AS46" s="95">
        <f t="shared" si="25"/>
        <v>-30587079.475187492</v>
      </c>
      <c r="AT46" s="115">
        <f t="shared" si="26"/>
        <v>-3.8272373742280261</v>
      </c>
      <c r="AU46" s="136">
        <f>VLOOKUP(A46,[3]Sheet2!$B:$D,3,FALSE)</f>
        <v>1.1002376998134848</v>
      </c>
      <c r="AV46" s="38">
        <f t="shared" si="27"/>
        <v>-33653057.965792537</v>
      </c>
      <c r="AW46" s="27">
        <f t="shared" si="28"/>
        <v>5</v>
      </c>
      <c r="AX46" s="38"/>
    </row>
    <row r="47" spans="1:50" s="37" customFormat="1" x14ac:dyDescent="0.55000000000000004">
      <c r="A47" s="23">
        <v>210057</v>
      </c>
      <c r="B47" s="24" t="s">
        <v>96</v>
      </c>
      <c r="C47" s="32">
        <v>453211569.14731169</v>
      </c>
      <c r="D47" s="149">
        <f t="shared" si="30"/>
        <v>226605784.57365584</v>
      </c>
      <c r="E47" s="95">
        <f t="shared" si="1"/>
        <v>9064231.3829462342</v>
      </c>
      <c r="F47" s="96">
        <f t="shared" si="2"/>
        <v>226605784.57365584</v>
      </c>
      <c r="G47" s="95">
        <f t="shared" si="3"/>
        <v>5256829.2620950891</v>
      </c>
      <c r="H47" s="105">
        <f>((IFERROR(VLOOKUP($A47,'Regular Peer Group Pivot'!$1:$1048576,13,FALSE),VLOOKUP($A47,'AMC Peer Group Pivot'!$1:$1048576,13,FALSE))*1000))</f>
        <v>320390263.69</v>
      </c>
      <c r="I47" s="57">
        <f>IFERROR(VLOOKUP(A47,'Regular Peer Group Pivot'!$1:$1048576,16,FALSE),VLOOKUP(A47,'AMC Peer Group Pivot'!$1:$1048576,16,FALSE))</f>
        <v>8.3252317635370512E-2</v>
      </c>
      <c r="J47" s="105">
        <f t="shared" si="4"/>
        <v>26673231.999999996</v>
      </c>
      <c r="K47" s="105">
        <f t="shared" si="5"/>
        <v>40994292.645041317</v>
      </c>
      <c r="L47" s="112">
        <f t="shared" si="6"/>
        <v>0.12247656312938669</v>
      </c>
      <c r="M47" s="58">
        <v>3</v>
      </c>
      <c r="N47" s="59">
        <f>IFERROR(VLOOKUP(M47,'Regular Peer Group Pivot'!$1:$1048576,16,FALSE),VLOOKUP(M47,'AMC Peer Group Pivot'!$1:$1048576,16,FALSE))</f>
        <v>9.0115883593839347E-2</v>
      </c>
      <c r="O47" s="59">
        <f t="shared" si="7"/>
        <v>0.10629622336161301</v>
      </c>
      <c r="P47" s="59">
        <f t="shared" si="8"/>
        <v>2.30439057262425E-2</v>
      </c>
      <c r="Q47" s="61">
        <f t="shared" si="9"/>
        <v>7383043.0320783351</v>
      </c>
      <c r="R47" s="25">
        <f>VLOOKUP(A47,'[1]ICC Calculation'!$A$1:$IV$65536,26,FALSE)</f>
        <v>-0.12507375746101768</v>
      </c>
      <c r="S47" s="26">
        <f t="shared" si="10"/>
        <v>22</v>
      </c>
      <c r="T47" s="25">
        <v>0.10709706966960919</v>
      </c>
      <c r="U47" s="26">
        <f t="shared" si="11"/>
        <v>34</v>
      </c>
      <c r="V47" s="27">
        <f t="shared" si="12"/>
        <v>56</v>
      </c>
      <c r="W47" s="28">
        <f t="shared" si="13"/>
        <v>3</v>
      </c>
      <c r="X47" s="27">
        <f t="array" ref="X47">MAX(IF($AW$8:$AW$53=AW47,$W$8:$W$53))</f>
        <v>5</v>
      </c>
      <c r="Y47" s="29">
        <f t="shared" si="14"/>
        <v>0.32</v>
      </c>
      <c r="Z47" s="30">
        <f t="shared" si="15"/>
        <v>2362573.7702650675</v>
      </c>
      <c r="AA47" s="34">
        <f>VLOOKUP($A47,PAU!$1:$1048576,9,FALSE)</f>
        <v>43521243.460000001</v>
      </c>
      <c r="AB47" s="35">
        <f>VLOOKUP($A47,PAU!$1:$1048576,30,FALSE)</f>
        <v>0.15612995877235214</v>
      </c>
      <c r="AC47" s="30">
        <f t="shared" si="16"/>
        <v>1</v>
      </c>
      <c r="AD47" s="30">
        <f t="shared" si="31"/>
        <v>13228462.094137527</v>
      </c>
      <c r="AE47" s="30">
        <f t="shared" si="18"/>
        <v>4233107.8701240085</v>
      </c>
      <c r="AF47" s="33">
        <f t="shared" si="19"/>
        <v>2116553.9350620043</v>
      </c>
      <c r="AG47" s="32">
        <f t="shared" si="20"/>
        <v>4479127.7053270712</v>
      </c>
      <c r="AH47" s="31">
        <f>VLOOKUP($A47,'[2]Excess Capacity'!$A$1:$IV$65536,3,FALSE)</f>
        <v>88372</v>
      </c>
      <c r="AI47" s="31">
        <f>VLOOKUP($A47,'[2]Excess Capacity'!$A$1:$IV$65536,4,FALSE)</f>
        <v>556</v>
      </c>
      <c r="AJ47" s="31">
        <f t="shared" si="21"/>
        <v>88928</v>
      </c>
      <c r="AK47" s="31">
        <f>VLOOKUP($A47,'[2]Excess Capacity'!$A$1:$IV$65536,6,FALSE)</f>
        <v>64868</v>
      </c>
      <c r="AL47" s="31">
        <f>VLOOKUP($A47,'[2]Excess Capacity'!$A$1:$IV$65536,7,FALSE)</f>
        <v>3387</v>
      </c>
      <c r="AM47" s="31">
        <f>VLOOKUP($A47,'[2]Excess Capacity'!$A$1:$IV$65536,8,FALSE)</f>
        <v>587</v>
      </c>
      <c r="AN47" s="31">
        <f t="shared" si="22"/>
        <v>68842</v>
      </c>
      <c r="AO47" s="36">
        <f t="shared" si="23"/>
        <v>-20086</v>
      </c>
      <c r="AP47" s="87">
        <v>1201.4025549134587</v>
      </c>
      <c r="AQ47" s="86">
        <f t="shared" si="24"/>
        <v>-24131371.717991732</v>
      </c>
      <c r="AR47" s="86">
        <f t="shared" si="29"/>
        <v>12744011.866412796</v>
      </c>
      <c r="AS47" s="95">
        <f t="shared" si="25"/>
        <v>-19652244.012664661</v>
      </c>
      <c r="AT47" s="115">
        <f t="shared" si="26"/>
        <v>-1.3722617688564334</v>
      </c>
      <c r="AU47" s="136">
        <f>VLOOKUP(A47,[3]Sheet2!$B:$D,3,FALSE)</f>
        <v>1.0890453925126413</v>
      </c>
      <c r="AV47" s="38">
        <f t="shared" si="27"/>
        <v>-21402185.794526592</v>
      </c>
      <c r="AW47" s="27">
        <f t="shared" si="28"/>
        <v>4</v>
      </c>
      <c r="AX47" s="38"/>
    </row>
    <row r="48" spans="1:50" s="37" customFormat="1" x14ac:dyDescent="0.55000000000000004">
      <c r="A48" s="23">
        <v>210058</v>
      </c>
      <c r="B48" s="24" t="s">
        <v>116</v>
      </c>
      <c r="C48" s="32">
        <v>124422288.84503578</v>
      </c>
      <c r="D48" s="149">
        <f t="shared" si="30"/>
        <v>62211144.422517888</v>
      </c>
      <c r="E48" s="95">
        <f t="shared" si="1"/>
        <v>2488445.7769007157</v>
      </c>
      <c r="F48" s="96">
        <f t="shared" si="2"/>
        <v>62211144.422517888</v>
      </c>
      <c r="G48" s="95">
        <f t="shared" si="3"/>
        <v>1443181.8898357241</v>
      </c>
      <c r="H48" s="105">
        <f>((IFERROR(VLOOKUP($A48,'Regular Peer Group Pivot'!$1:$1048576,13,FALSE),VLOOKUP($A48,'AMC Peer Group Pivot'!$1:$1048576,13,FALSE))*1000))</f>
        <v>106248828.82152407</v>
      </c>
      <c r="I48" s="57">
        <f>IFERROR(VLOOKUP(A48,'Regular Peer Group Pivot'!$1:$1048576,16,FALSE),VLOOKUP(A48,'AMC Peer Group Pivot'!$1:$1048576,16,FALSE))</f>
        <v>6.9011514586357417E-2</v>
      </c>
      <c r="J48" s="105">
        <f t="shared" si="4"/>
        <v>7332392.6000000006</v>
      </c>
      <c r="K48" s="105">
        <f t="shared" si="5"/>
        <v>11264020.26673644</v>
      </c>
      <c r="L48" s="112">
        <f t="shared" si="6"/>
        <v>0.10223247049204773</v>
      </c>
      <c r="M48" s="58">
        <v>1</v>
      </c>
      <c r="N48" s="59">
        <f>IFERROR(VLOOKUP(M48,'Regular Peer Group Pivot'!$1:$1048576,16,FALSE),VLOOKUP(M48,'AMC Peer Group Pivot'!$1:$1048576,16,FALSE))</f>
        <v>8.6831191177142525E-2</v>
      </c>
      <c r="O48" s="59">
        <f t="shared" si="7"/>
        <v>9.4531830834595126E-2</v>
      </c>
      <c r="P48" s="59">
        <f t="shared" si="8"/>
        <v>2.5520316248237709E-2</v>
      </c>
      <c r="Q48" s="61">
        <f t="shared" si="9"/>
        <v>2711503.7125301678</v>
      </c>
      <c r="R48" s="25">
        <f>VLOOKUP(A48,'[1]ICC Calculation'!$A$1:$IV$65536,26,FALSE)</f>
        <v>-0.24685899077645812</v>
      </c>
      <c r="S48" s="26">
        <f t="shared" si="10"/>
        <v>40</v>
      </c>
      <c r="T48" s="25">
        <f>SUMIF(A:A,210002,T:T)</f>
        <v>0.1102975352367479</v>
      </c>
      <c r="U48" s="26">
        <f t="shared" si="11"/>
        <v>36</v>
      </c>
      <c r="V48" s="27">
        <f t="shared" si="12"/>
        <v>76</v>
      </c>
      <c r="W48" s="28">
        <f t="shared" si="13"/>
        <v>4</v>
      </c>
      <c r="X48" s="27">
        <f t="array" ref="X48">MAX(IF($AW$8:$AW$53=AW48,$W$8:$W$53))</f>
        <v>9</v>
      </c>
      <c r="Y48" s="29">
        <f t="shared" si="14"/>
        <v>0.13333333333333333</v>
      </c>
      <c r="Z48" s="30">
        <f t="shared" si="15"/>
        <v>361533.82833735569</v>
      </c>
      <c r="AA48" s="34">
        <f>VLOOKUP($A48,PAU!$1:$1048576,9,FALSE)</f>
        <v>181459.7</v>
      </c>
      <c r="AB48" s="35">
        <f>VLOOKUP($A48,PAU!$1:$1048576,30,FALSE)</f>
        <v>2.4208540848299777E-3</v>
      </c>
      <c r="AC48" s="30">
        <f t="shared" si="16"/>
        <v>1</v>
      </c>
      <c r="AD48" s="30">
        <f t="shared" si="31"/>
        <v>4906877.0852408754</v>
      </c>
      <c r="AE48" s="30">
        <f t="shared" si="18"/>
        <v>654250.27803211671</v>
      </c>
      <c r="AF48" s="33">
        <f t="shared" si="19"/>
        <v>327125.13901605835</v>
      </c>
      <c r="AG48" s="32">
        <f t="shared" si="20"/>
        <v>688658.96735341405</v>
      </c>
      <c r="AH48" s="31">
        <f>VLOOKUP($A48,'[2]Excess Capacity'!$A$1:$IV$65536,3,FALSE)</f>
        <v>36964</v>
      </c>
      <c r="AI48" s="31">
        <f>VLOOKUP($A48,'[2]Excess Capacity'!$A$1:$IV$65536,4,FALSE)</f>
        <v>210</v>
      </c>
      <c r="AJ48" s="31">
        <f t="shared" si="21"/>
        <v>37174</v>
      </c>
      <c r="AK48" s="31">
        <f>VLOOKUP($A48,'[2]Excess Capacity'!$A$1:$IV$65536,6,FALSE)</f>
        <v>35908</v>
      </c>
      <c r="AL48" s="31">
        <f>VLOOKUP($A48,'[2]Excess Capacity'!$A$1:$IV$65536,7,FALSE)</f>
        <v>0</v>
      </c>
      <c r="AM48" s="31">
        <f>VLOOKUP($A48,'[2]Excess Capacity'!$A$1:$IV$65536,8,FALSE)</f>
        <v>163</v>
      </c>
      <c r="AN48" s="31">
        <f t="shared" si="22"/>
        <v>36071</v>
      </c>
      <c r="AO48" s="36">
        <f t="shared" si="23"/>
        <v>-1103</v>
      </c>
      <c r="AP48" s="87">
        <v>1201.4025549134587</v>
      </c>
      <c r="AQ48" s="86">
        <f t="shared" si="24"/>
        <v>-1325147.018069545</v>
      </c>
      <c r="AR48" s="86">
        <f t="shared" si="29"/>
        <v>3498673.0997857223</v>
      </c>
      <c r="AS48" s="95">
        <f t="shared" si="25"/>
        <v>-636488.05071613099</v>
      </c>
      <c r="AT48" s="115">
        <f t="shared" si="26"/>
        <v>-0.16188919823236114</v>
      </c>
      <c r="AU48" s="136">
        <f>VLOOKUP(A48,[3]Sheet2!$B:$D,3,FALSE)</f>
        <v>1.0908060537691864</v>
      </c>
      <c r="AV48" s="38">
        <f t="shared" si="27"/>
        <v>-694285.01887290459</v>
      </c>
      <c r="AW48" s="27">
        <f t="shared" si="28"/>
        <v>5</v>
      </c>
      <c r="AX48" s="38"/>
    </row>
    <row r="49" spans="1:50" s="37" customFormat="1" x14ac:dyDescent="0.55000000000000004">
      <c r="A49" s="23">
        <v>210060</v>
      </c>
      <c r="B49" s="24" t="s">
        <v>90</v>
      </c>
      <c r="C49" s="32">
        <v>51953334.988091335</v>
      </c>
      <c r="D49" s="149">
        <f t="shared" si="30"/>
        <v>25976667.494045667</v>
      </c>
      <c r="E49" s="95">
        <f t="shared" si="1"/>
        <v>1039066.6997618267</v>
      </c>
      <c r="F49" s="96">
        <f t="shared" si="2"/>
        <v>25976667.494045667</v>
      </c>
      <c r="G49" s="95">
        <f t="shared" si="3"/>
        <v>602609.97340086789</v>
      </c>
      <c r="H49" s="105">
        <f>((IFERROR(VLOOKUP($A49,'Regular Peer Group Pivot'!$1:$1048576,13,FALSE),VLOOKUP($A49,'AMC Peer Group Pivot'!$1:$1048576,13,FALSE))*1000))</f>
        <v>43086297.494711816</v>
      </c>
      <c r="I49" s="57">
        <f>IFERROR(VLOOKUP(A49,'Regular Peer Group Pivot'!$1:$1048576,16,FALSE),VLOOKUP(A49,'AMC Peer Group Pivot'!$1:$1048576,16,FALSE))</f>
        <v>3.1460158305929332E-2</v>
      </c>
      <c r="J49" s="105">
        <f t="shared" si="4"/>
        <v>1355501.7400000002</v>
      </c>
      <c r="K49" s="105">
        <f t="shared" si="5"/>
        <v>2997178.4131626948</v>
      </c>
      <c r="L49" s="112">
        <f t="shared" si="6"/>
        <v>6.7009035596237498E-2</v>
      </c>
      <c r="M49" s="58">
        <v>3</v>
      </c>
      <c r="N49" s="59">
        <f>IFERROR(VLOOKUP(M49,'Regular Peer Group Pivot'!$1:$1048576,16,FALSE),VLOOKUP(M49,'AMC Peer Group Pivot'!$1:$1048576,16,FALSE))</f>
        <v>9.0115883593839347E-2</v>
      </c>
      <c r="O49" s="59">
        <f t="shared" si="7"/>
        <v>7.8562459595038422E-2</v>
      </c>
      <c r="P49" s="59">
        <f t="shared" si="8"/>
        <v>4.710230128910909E-2</v>
      </c>
      <c r="Q49" s="61">
        <f t="shared" si="9"/>
        <v>2029463.7660281023</v>
      </c>
      <c r="R49" s="25">
        <f>VLOOKUP(A49,'[1]ICC Calculation'!$A$1:$IV$65536,26,FALSE)</f>
        <v>-6.3454377755822744E-3</v>
      </c>
      <c r="S49" s="26">
        <f t="shared" si="10"/>
        <v>4</v>
      </c>
      <c r="T49" s="25">
        <v>0.10416879567855886</v>
      </c>
      <c r="U49" s="26">
        <f t="shared" si="11"/>
        <v>33</v>
      </c>
      <c r="V49" s="27">
        <f t="shared" si="12"/>
        <v>37</v>
      </c>
      <c r="W49" s="28">
        <f t="shared" si="13"/>
        <v>4</v>
      </c>
      <c r="X49" s="27">
        <f t="array" ref="X49">MAX(IF($AW$8:$AW$53=AW49,$W$8:$W$53))</f>
        <v>9</v>
      </c>
      <c r="Y49" s="29">
        <f t="shared" si="14"/>
        <v>0.73333333333333328</v>
      </c>
      <c r="Z49" s="30">
        <f t="shared" si="15"/>
        <v>1488273.4284206082</v>
      </c>
      <c r="AA49" s="34">
        <f>VLOOKUP($A49,PAU!$1:$1048576,9,FALSE)</f>
        <v>8222189.7799999993</v>
      </c>
      <c r="AB49" s="35">
        <f>VLOOKUP($A49,PAU!$1:$1048576,30,FALSE)</f>
        <v>0.32417946092120109</v>
      </c>
      <c r="AC49" s="30">
        <f t="shared" si="16"/>
        <v>5</v>
      </c>
      <c r="AD49" s="30">
        <f t="shared" si="31"/>
        <v>-1660334.5495790113</v>
      </c>
      <c r="AE49" s="30">
        <f t="shared" si="18"/>
        <v>-2103090.4294667477</v>
      </c>
      <c r="AF49" s="33">
        <f t="shared" si="19"/>
        <v>0</v>
      </c>
      <c r="AG49" s="32">
        <f t="shared" si="20"/>
        <v>1488273.4284206082</v>
      </c>
      <c r="AH49" s="31">
        <f>VLOOKUP($A49,'[2]Excess Capacity'!$A$1:$IV$65536,3,FALSE)</f>
        <v>11082</v>
      </c>
      <c r="AI49" s="31">
        <f>VLOOKUP($A49,'[2]Excess Capacity'!$A$1:$IV$65536,4,FALSE)</f>
        <v>24</v>
      </c>
      <c r="AJ49" s="31">
        <f t="shared" si="21"/>
        <v>11106</v>
      </c>
      <c r="AK49" s="31">
        <f>VLOOKUP($A49,'[2]Excess Capacity'!$A$1:$IV$65536,6,FALSE)</f>
        <v>7245</v>
      </c>
      <c r="AL49" s="31">
        <f>VLOOKUP($A49,'[2]Excess Capacity'!$A$1:$IV$65536,7,FALSE)</f>
        <v>809</v>
      </c>
      <c r="AM49" s="31">
        <f>VLOOKUP($A49,'[2]Excess Capacity'!$A$1:$IV$65536,8,FALSE)</f>
        <v>9</v>
      </c>
      <c r="AN49" s="31">
        <f t="shared" si="22"/>
        <v>8063</v>
      </c>
      <c r="AO49" s="36">
        <f t="shared" si="23"/>
        <v>-3043</v>
      </c>
      <c r="AP49" s="87">
        <v>1201.4025549134587</v>
      </c>
      <c r="AQ49" s="86">
        <f t="shared" si="24"/>
        <v>-3655867.9746016548</v>
      </c>
      <c r="AR49" s="86">
        <f t="shared" si="29"/>
        <v>1460893.6811424342</v>
      </c>
      <c r="AS49" s="95">
        <f t="shared" si="25"/>
        <v>-2167594.5461810464</v>
      </c>
      <c r="AT49" s="115">
        <f t="shared" si="26"/>
        <v>-1.3203541121195135</v>
      </c>
      <c r="AU49" s="136">
        <f>VLOOKUP(A49,[3]Sheet2!$B:$D,3,FALSE)</f>
        <v>1.096862268780789</v>
      </c>
      <c r="AV49" s="38">
        <f t="shared" si="27"/>
        <v>-2377552.6717210072</v>
      </c>
      <c r="AW49" s="27">
        <f t="shared" si="28"/>
        <v>2</v>
      </c>
      <c r="AX49" s="38"/>
    </row>
    <row r="50" spans="1:50" s="37" customFormat="1" x14ac:dyDescent="0.55000000000000004">
      <c r="A50" s="23">
        <v>210061</v>
      </c>
      <c r="B50" s="24" t="s">
        <v>82</v>
      </c>
      <c r="C50" s="32">
        <v>110774946.98458833</v>
      </c>
      <c r="D50" s="149">
        <f t="shared" si="30"/>
        <v>55387473.492294163</v>
      </c>
      <c r="E50" s="95">
        <f t="shared" si="1"/>
        <v>2215498.9396917666</v>
      </c>
      <c r="F50" s="96">
        <f t="shared" si="2"/>
        <v>55387473.492294163</v>
      </c>
      <c r="G50" s="95">
        <f t="shared" si="3"/>
        <v>1284885.5202686528</v>
      </c>
      <c r="H50" s="105">
        <f>((IFERROR(VLOOKUP($A50,'Regular Peer Group Pivot'!$1:$1048576,13,FALSE),VLOOKUP($A50,'AMC Peer Group Pivot'!$1:$1048576,13,FALSE))*1000))</f>
        <v>80493526.714158118</v>
      </c>
      <c r="I50" s="57">
        <f>IFERROR(VLOOKUP(A50,'Regular Peer Group Pivot'!$1:$1048576,16,FALSE),VLOOKUP(A50,'AMC Peer Group Pivot'!$1:$1048576,16,FALSE))</f>
        <v>8.712501844904845E-2</v>
      </c>
      <c r="J50" s="105">
        <f t="shared" si="4"/>
        <v>7013000</v>
      </c>
      <c r="K50" s="105">
        <f t="shared" si="5"/>
        <v>10513384.45996042</v>
      </c>
      <c r="L50" s="112">
        <f t="shared" si="6"/>
        <v>0.1251684117693517</v>
      </c>
      <c r="M50" s="58">
        <v>3</v>
      </c>
      <c r="N50" s="59">
        <f>IFERROR(VLOOKUP(M50,'Regular Peer Group Pivot'!$1:$1048576,16,FALSE),VLOOKUP(M50,'AMC Peer Group Pivot'!$1:$1048576,16,FALSE))</f>
        <v>9.0115883593839347E-2</v>
      </c>
      <c r="O50" s="59">
        <f t="shared" si="7"/>
        <v>0.10764214768159552</v>
      </c>
      <c r="P50" s="59">
        <f t="shared" si="8"/>
        <v>2.0517129232547074E-2</v>
      </c>
      <c r="Q50" s="61">
        <f t="shared" si="9"/>
        <v>1651496.0899778623</v>
      </c>
      <c r="R50" s="25">
        <f>VLOOKUP(A50,'[1]ICC Calculation'!$A$1:$IV$65536,26,FALSE)</f>
        <v>-1.8843874022180795E-2</v>
      </c>
      <c r="S50" s="26">
        <f t="shared" si="10"/>
        <v>6</v>
      </c>
      <c r="T50" s="25">
        <v>5.0066777873932544E-2</v>
      </c>
      <c r="U50" s="26">
        <f t="shared" si="11"/>
        <v>9</v>
      </c>
      <c r="V50" s="27">
        <f t="shared" si="12"/>
        <v>15</v>
      </c>
      <c r="W50" s="28">
        <f t="shared" si="13"/>
        <v>2</v>
      </c>
      <c r="X50" s="27">
        <f t="array" ref="X50">MAX(IF($AW$8:$AW$53=AW50,$W$8:$W$53))</f>
        <v>9</v>
      </c>
      <c r="Y50" s="29">
        <f t="shared" si="14"/>
        <v>0.97777777777777786</v>
      </c>
      <c r="Z50" s="30">
        <f t="shared" si="15"/>
        <v>1614796.1768672434</v>
      </c>
      <c r="AA50" s="34">
        <f>VLOOKUP($A50,PAU!$1:$1048576,9,FALSE)</f>
        <v>10226072.040000001</v>
      </c>
      <c r="AB50" s="35">
        <f>VLOOKUP($A50,PAU!$1:$1048576,30,FALSE)</f>
        <v>0.2455572622182664</v>
      </c>
      <c r="AC50" s="30">
        <f t="shared" si="16"/>
        <v>4</v>
      </c>
      <c r="AD50" s="30">
        <f t="shared" si="31"/>
        <v>-1747853.0995470155</v>
      </c>
      <c r="AE50" s="30">
        <f t="shared" si="18"/>
        <v>-1786694.279536949</v>
      </c>
      <c r="AF50" s="33">
        <f t="shared" si="19"/>
        <v>0</v>
      </c>
      <c r="AG50" s="32">
        <f t="shared" si="20"/>
        <v>1614796.1768672434</v>
      </c>
      <c r="AH50" s="31">
        <f>VLOOKUP($A50,'[2]Excess Capacity'!$A$1:$IV$65536,3,FALSE)</f>
        <v>14050</v>
      </c>
      <c r="AI50" s="31">
        <f>VLOOKUP($A50,'[2]Excess Capacity'!$A$1:$IV$65536,4,FALSE)</f>
        <v>193</v>
      </c>
      <c r="AJ50" s="31">
        <f t="shared" si="21"/>
        <v>14243</v>
      </c>
      <c r="AK50" s="31">
        <f>VLOOKUP($A50,'[2]Excess Capacity'!$A$1:$IV$65536,6,FALSE)</f>
        <v>11310</v>
      </c>
      <c r="AL50" s="31">
        <f>VLOOKUP($A50,'[2]Excess Capacity'!$A$1:$IV$65536,7,FALSE)</f>
        <v>439</v>
      </c>
      <c r="AM50" s="31">
        <f>VLOOKUP($A50,'[2]Excess Capacity'!$A$1:$IV$65536,8,FALSE)</f>
        <v>110</v>
      </c>
      <c r="AN50" s="31">
        <f t="shared" si="22"/>
        <v>11859</v>
      </c>
      <c r="AO50" s="36">
        <f t="shared" si="23"/>
        <v>-2384</v>
      </c>
      <c r="AP50" s="87">
        <v>1201.4025549134587</v>
      </c>
      <c r="AQ50" s="86">
        <f t="shared" si="24"/>
        <v>-2864143.6909136856</v>
      </c>
      <c r="AR50" s="86">
        <f t="shared" si="29"/>
        <v>3114918.8038798235</v>
      </c>
      <c r="AS50" s="95">
        <f t="shared" si="25"/>
        <v>-1249347.5140464422</v>
      </c>
      <c r="AT50" s="115">
        <f t="shared" si="26"/>
        <v>-0.35691722676101961</v>
      </c>
      <c r="AU50" s="136">
        <f>VLOOKUP(A50,[3]Sheet2!$B:$D,3,FALSE)</f>
        <v>1.0953665287762928</v>
      </c>
      <c r="AV50" s="38">
        <f t="shared" si="27"/>
        <v>-1368493.4496963422</v>
      </c>
      <c r="AW50" s="27">
        <f t="shared" si="28"/>
        <v>1</v>
      </c>
      <c r="AX50" s="38"/>
    </row>
    <row r="51" spans="1:50" s="37" customFormat="1" x14ac:dyDescent="0.55000000000000004">
      <c r="A51" s="23">
        <v>210062</v>
      </c>
      <c r="B51" s="24" t="s">
        <v>109</v>
      </c>
      <c r="C51" s="32">
        <v>269113710.94910169</v>
      </c>
      <c r="D51" s="149">
        <f t="shared" si="30"/>
        <v>134556855.47455084</v>
      </c>
      <c r="E51" s="95">
        <f t="shared" si="1"/>
        <v>5382274.2189820334</v>
      </c>
      <c r="F51" s="96">
        <f t="shared" si="2"/>
        <v>134556855.47455084</v>
      </c>
      <c r="G51" s="95">
        <f t="shared" si="3"/>
        <v>3121466.7207412096</v>
      </c>
      <c r="H51" s="105">
        <f>((IFERROR(VLOOKUP($A51,'Regular Peer Group Pivot'!$1:$1048576,13,FALSE),VLOOKUP($A51,'AMC Peer Group Pivot'!$1:$1048576,13,FALSE))*1000))</f>
        <v>214662790.34177434</v>
      </c>
      <c r="I51" s="57">
        <f>IFERROR(VLOOKUP(A51,'Regular Peer Group Pivot'!$1:$1048576,16,FALSE),VLOOKUP(A51,'AMC Peer Group Pivot'!$1:$1048576,16,FALSE))</f>
        <v>8.4468549821556313E-2</v>
      </c>
      <c r="J51" s="105">
        <f t="shared" si="4"/>
        <v>18132254.600818463</v>
      </c>
      <c r="K51" s="105">
        <f t="shared" si="5"/>
        <v>26635995.540541705</v>
      </c>
      <c r="L51" s="112">
        <f t="shared" si="6"/>
        <v>0.11935479476957778</v>
      </c>
      <c r="M51" s="58">
        <v>3</v>
      </c>
      <c r="N51" s="59">
        <f>IFERROR(VLOOKUP(M51,'Regular Peer Group Pivot'!$1:$1048576,16,FALSE),VLOOKUP(M51,'AMC Peer Group Pivot'!$1:$1048576,16,FALSE))</f>
        <v>9.0115883593839347E-2</v>
      </c>
      <c r="O51" s="59">
        <f t="shared" si="7"/>
        <v>0.10473533918170856</v>
      </c>
      <c r="P51" s="59">
        <f t="shared" si="8"/>
        <v>2.0266789360152249E-2</v>
      </c>
      <c r="Q51" s="61">
        <f t="shared" si="9"/>
        <v>4350525.5553192655</v>
      </c>
      <c r="R51" s="25">
        <f>VLOOKUP(A51,'[1]ICC Calculation'!$A$1:$IV$65536,26,FALSE)</f>
        <v>-0.26473053635206556</v>
      </c>
      <c r="S51" s="26">
        <f t="shared" si="10"/>
        <v>42</v>
      </c>
      <c r="T51" s="25">
        <v>3.7913884716200164E-2</v>
      </c>
      <c r="U51" s="26">
        <f t="shared" si="11"/>
        <v>4</v>
      </c>
      <c r="V51" s="27">
        <f t="shared" si="12"/>
        <v>46</v>
      </c>
      <c r="W51" s="28">
        <f t="shared" si="13"/>
        <v>4</v>
      </c>
      <c r="X51" s="27">
        <f t="array" ref="X51">MAX(IF($AW$8:$AW$53=AW51,$W$8:$W$53))</f>
        <v>9</v>
      </c>
      <c r="Y51" s="29">
        <f t="shared" si="14"/>
        <v>0.53333333333333333</v>
      </c>
      <c r="Z51" s="30">
        <f t="shared" si="15"/>
        <v>2320280.2961702747</v>
      </c>
      <c r="AA51" s="34">
        <f>VLOOKUP($A51,PAU!$1:$1048576,9,FALSE)</f>
        <v>42343871.099999994</v>
      </c>
      <c r="AB51" s="35">
        <f>VLOOKUP($A51,PAU!$1:$1048576,30,FALSE)</f>
        <v>0.23863229766679944</v>
      </c>
      <c r="AC51" s="30">
        <f t="shared" si="16"/>
        <v>4</v>
      </c>
      <c r="AD51" s="30">
        <f t="shared" si="31"/>
        <v>-6218701.1911486313</v>
      </c>
      <c r="AE51" s="30">
        <f t="shared" si="18"/>
        <v>-9120761.7470179927</v>
      </c>
      <c r="AF51" s="33">
        <f t="shared" si="19"/>
        <v>0</v>
      </c>
      <c r="AG51" s="32">
        <f t="shared" si="20"/>
        <v>2320280.2961702747</v>
      </c>
      <c r="AH51" s="31">
        <f>VLOOKUP($A51,'[2]Excess Capacity'!$A$1:$IV$65536,3,FALSE)</f>
        <v>61035</v>
      </c>
      <c r="AI51" s="31">
        <f>VLOOKUP($A51,'[2]Excess Capacity'!$A$1:$IV$65536,4,FALSE)</f>
        <v>316</v>
      </c>
      <c r="AJ51" s="31">
        <f t="shared" si="21"/>
        <v>61351</v>
      </c>
      <c r="AK51" s="31">
        <f>VLOOKUP($A51,'[2]Excess Capacity'!$A$1:$IV$65536,6,FALSE)</f>
        <v>46499</v>
      </c>
      <c r="AL51" s="31">
        <f>VLOOKUP($A51,'[2]Excess Capacity'!$A$1:$IV$65536,7,FALSE)</f>
        <v>3255</v>
      </c>
      <c r="AM51" s="31">
        <f>VLOOKUP($A51,'[2]Excess Capacity'!$A$1:$IV$65536,8,FALSE)</f>
        <v>750</v>
      </c>
      <c r="AN51" s="31">
        <f t="shared" si="22"/>
        <v>50504</v>
      </c>
      <c r="AO51" s="36">
        <f t="shared" si="23"/>
        <v>-10847</v>
      </c>
      <c r="AP51" s="87">
        <v>1201.4025549134587</v>
      </c>
      <c r="AQ51" s="86">
        <f t="shared" si="24"/>
        <v>-13031613.513146287</v>
      </c>
      <c r="AR51" s="86">
        <f t="shared" si="29"/>
        <v>7567300.9235008806</v>
      </c>
      <c r="AS51" s="95">
        <f t="shared" si="25"/>
        <v>-10711333.216976013</v>
      </c>
      <c r="AT51" s="115">
        <f t="shared" si="26"/>
        <v>-1.259602484706527</v>
      </c>
      <c r="AU51" s="136">
        <f>VLOOKUP(A51,[3]Sheet2!$B:$D,3,FALSE)</f>
        <v>1.0939101007183893</v>
      </c>
      <c r="AV51" s="38">
        <f t="shared" si="27"/>
        <v>-11717235.59821046</v>
      </c>
      <c r="AW51" s="27">
        <f t="shared" si="28"/>
        <v>3</v>
      </c>
      <c r="AX51" s="38"/>
    </row>
    <row r="52" spans="1:50" s="37" customFormat="1" x14ac:dyDescent="0.55000000000000004">
      <c r="A52" s="23">
        <v>210063</v>
      </c>
      <c r="B52" s="24" t="s">
        <v>104</v>
      </c>
      <c r="C52" s="32">
        <v>425035971.58207083</v>
      </c>
      <c r="D52" s="149">
        <f t="shared" si="30"/>
        <v>212517985.79103541</v>
      </c>
      <c r="E52" s="95">
        <f t="shared" si="1"/>
        <v>8500719.4316414166</v>
      </c>
      <c r="F52" s="96">
        <f t="shared" si="2"/>
        <v>212517985.79103541</v>
      </c>
      <c r="G52" s="95">
        <f t="shared" si="3"/>
        <v>4930018.748328547</v>
      </c>
      <c r="H52" s="105">
        <f>((IFERROR(VLOOKUP($A52,'Regular Peer Group Pivot'!$1:$1048576,13,FALSE),VLOOKUP($A52,'AMC Peer Group Pivot'!$1:$1048576,13,FALSE))*1000))</f>
        <v>311529009.31557101</v>
      </c>
      <c r="I52" s="57">
        <f>IFERROR(VLOOKUP(A52,'Regular Peer Group Pivot'!$1:$1048576,16,FALSE),VLOOKUP(A52,'AMC Peer Group Pivot'!$1:$1048576,16,FALSE))</f>
        <v>9.5948627545000623E-2</v>
      </c>
      <c r="J52" s="105">
        <f t="shared" si="4"/>
        <v>29890780.884282753</v>
      </c>
      <c r="K52" s="105">
        <f t="shared" si="5"/>
        <v>43321519.064252712</v>
      </c>
      <c r="L52" s="112">
        <f t="shared" si="6"/>
        <v>0.13331349312685922</v>
      </c>
      <c r="M52" s="58">
        <v>3</v>
      </c>
      <c r="N52" s="59">
        <f>IFERROR(VLOOKUP(M52,'Regular Peer Group Pivot'!$1:$1048576,16,FALSE),VLOOKUP(M52,'AMC Peer Group Pivot'!$1:$1048576,16,FALSE))</f>
        <v>9.0115883593839347E-2</v>
      </c>
      <c r="O52" s="59">
        <f t="shared" si="7"/>
        <v>0.11171468836034928</v>
      </c>
      <c r="P52" s="59">
        <f t="shared" si="8"/>
        <v>1.5766060815348662E-2</v>
      </c>
      <c r="Q52" s="61">
        <f t="shared" si="9"/>
        <v>4911585.3066146122</v>
      </c>
      <c r="R52" s="25">
        <f>VLOOKUP(A52,'[1]ICC Calculation'!$A$1:$IV$65536,26,FALSE)</f>
        <v>-0.12146638354370598</v>
      </c>
      <c r="S52" s="26">
        <f t="shared" si="10"/>
        <v>20</v>
      </c>
      <c r="T52" s="25">
        <v>0.11156819110516625</v>
      </c>
      <c r="U52" s="26">
        <f t="shared" si="11"/>
        <v>39</v>
      </c>
      <c r="V52" s="27">
        <f t="shared" si="12"/>
        <v>59</v>
      </c>
      <c r="W52" s="28">
        <f t="shared" si="13"/>
        <v>1</v>
      </c>
      <c r="X52" s="27">
        <f t="array" ref="X52">MAX(IF($AW$8:$AW$53=AW52,$W$8:$W$53))</f>
        <v>9</v>
      </c>
      <c r="Y52" s="29">
        <f t="shared" si="14"/>
        <v>0.2</v>
      </c>
      <c r="Z52" s="30">
        <f t="shared" si="15"/>
        <v>982317.06132292247</v>
      </c>
      <c r="AA52" s="34">
        <f>VLOOKUP($A52,PAU!$1:$1048576,9,FALSE)</f>
        <v>32014872.289999995</v>
      </c>
      <c r="AB52" s="35">
        <f>VLOOKUP($A52,PAU!$1:$1048576,30,FALSE)</f>
        <v>0.1245805658749202</v>
      </c>
      <c r="AC52" s="30">
        <f t="shared" si="16"/>
        <v>1</v>
      </c>
      <c r="AD52" s="30">
        <f t="shared" si="31"/>
        <v>16822675.925412182</v>
      </c>
      <c r="AE52" s="30">
        <f t="shared" si="18"/>
        <v>3364535.1850824365</v>
      </c>
      <c r="AF52" s="33">
        <f t="shared" si="19"/>
        <v>1682267.5925412183</v>
      </c>
      <c r="AG52" s="32">
        <f t="shared" si="20"/>
        <v>2664584.6538641406</v>
      </c>
      <c r="AH52" s="31">
        <f>VLOOKUP($A52,'[2]Excess Capacity'!$A$1:$IV$65536,3,FALSE)</f>
        <v>72999</v>
      </c>
      <c r="AI52" s="31">
        <f>VLOOKUP($A52,'[2]Excess Capacity'!$A$1:$IV$65536,4,FALSE)</f>
        <v>381</v>
      </c>
      <c r="AJ52" s="31">
        <f t="shared" si="21"/>
        <v>73380</v>
      </c>
      <c r="AK52" s="31">
        <f>VLOOKUP($A52,'[2]Excess Capacity'!$A$1:$IV$65536,6,FALSE)</f>
        <v>57162</v>
      </c>
      <c r="AL52" s="31">
        <f>VLOOKUP($A52,'[2]Excess Capacity'!$A$1:$IV$65536,7,FALSE)</f>
        <v>1940</v>
      </c>
      <c r="AM52" s="31">
        <f>VLOOKUP($A52,'[2]Excess Capacity'!$A$1:$IV$65536,8,FALSE)</f>
        <v>473</v>
      </c>
      <c r="AN52" s="31">
        <f t="shared" si="22"/>
        <v>59575</v>
      </c>
      <c r="AO52" s="36">
        <f t="shared" si="23"/>
        <v>-13805</v>
      </c>
      <c r="AP52" s="87">
        <v>1201.4025549134587</v>
      </c>
      <c r="AQ52" s="86">
        <f t="shared" si="24"/>
        <v>-16585362.270580297</v>
      </c>
      <c r="AR52" s="86">
        <f t="shared" si="29"/>
        <v>11951732.5554714</v>
      </c>
      <c r="AS52" s="95">
        <f t="shared" si="25"/>
        <v>-13920777.616716158</v>
      </c>
      <c r="AT52" s="115">
        <f t="shared" si="26"/>
        <v>-1.0364864112589893</v>
      </c>
      <c r="AU52" s="136">
        <f>VLOOKUP(A52,[3]Sheet2!$B:$D,3,FALSE)</f>
        <v>1.0907090025928348</v>
      </c>
      <c r="AV52" s="38">
        <f t="shared" si="27"/>
        <v>-15183517.469645139</v>
      </c>
      <c r="AW52" s="27">
        <f t="shared" si="28"/>
        <v>5</v>
      </c>
      <c r="AX52" s="38"/>
    </row>
    <row r="53" spans="1:50" s="37" customFormat="1" x14ac:dyDescent="0.55000000000000004">
      <c r="A53" s="23">
        <v>990099</v>
      </c>
      <c r="B53" s="24" t="s">
        <v>50</v>
      </c>
      <c r="C53" s="32">
        <v>512842111.19585931</v>
      </c>
      <c r="D53" s="149">
        <f t="shared" si="30"/>
        <v>256421055.59792966</v>
      </c>
      <c r="E53" s="95">
        <f t="shared" si="1"/>
        <v>10256842.223917186</v>
      </c>
      <c r="F53" s="96">
        <f t="shared" si="2"/>
        <v>256421055.59792966</v>
      </c>
      <c r="G53" s="95">
        <f t="shared" si="3"/>
        <v>5948487.6390980538</v>
      </c>
      <c r="H53" s="105">
        <f>((IFERROR(VLOOKUP($A53,'Regular Peer Group Pivot'!$1:$1048576,13,FALSE),VLOOKUP($A53,'AMC Peer Group Pivot'!$1:$1048576,13,FALSE))*1000))</f>
        <v>469362312.59712511</v>
      </c>
      <c r="I53" s="57">
        <f>IFERROR(VLOOKUP(A53,'Regular Peer Group Pivot'!$1:$1048576,16,FALSE),VLOOKUP(A53,'AMC Peer Group Pivot'!$1:$1048576,16,FALSE))</f>
        <v>0.11017227991645523</v>
      </c>
      <c r="J53" s="105">
        <f t="shared" si="4"/>
        <v>51710716.085685231</v>
      </c>
      <c r="K53" s="105">
        <f t="shared" si="5"/>
        <v>67916045.948700473</v>
      </c>
      <c r="L53" s="112">
        <f t="shared" si="6"/>
        <v>0.13986938174999092</v>
      </c>
      <c r="M53" s="58">
        <v>1</v>
      </c>
      <c r="N53" s="59">
        <f>IFERROR(VLOOKUP(M53,'Regular Peer Group Pivot'!$1:$1048576,16,FALSE),VLOOKUP(M53,'AMC Peer Group Pivot'!$1:$1048576,16,FALSE))</f>
        <v>8.6831191177142525E-2</v>
      </c>
      <c r="O53" s="59">
        <f t="shared" si="7"/>
        <v>0.11335028646356672</v>
      </c>
      <c r="P53" s="59">
        <f t="shared" si="8"/>
        <v>3.1780065471114921E-3</v>
      </c>
      <c r="Q53" s="61">
        <f t="shared" si="9"/>
        <v>1491636.5024010544</v>
      </c>
      <c r="R53" s="25">
        <f>VLOOKUP(A53,'[1]ICC Calculation'!$A$1:$IV$65536,26,FALSE)</f>
        <v>-5.5806847381980385E-2</v>
      </c>
      <c r="S53" s="26">
        <f t="shared" si="10"/>
        <v>10</v>
      </c>
      <c r="T53" s="25">
        <v>7.6928093477734993E-2</v>
      </c>
      <c r="U53" s="26">
        <f t="shared" si="11"/>
        <v>21</v>
      </c>
      <c r="V53" s="27">
        <f t="shared" si="12"/>
        <v>31</v>
      </c>
      <c r="W53" s="28">
        <f t="shared" si="13"/>
        <v>9</v>
      </c>
      <c r="X53" s="27">
        <f t="array" ref="X53">MAX(IF($AW$8:$AW$53=AW53,$W$8:$W$53))</f>
        <v>9</v>
      </c>
      <c r="Y53" s="29">
        <f t="shared" si="14"/>
        <v>0.8222222222222223</v>
      </c>
      <c r="Z53" s="30">
        <f t="shared" si="15"/>
        <v>1226456.6797519783</v>
      </c>
      <c r="AA53" s="34">
        <f>VLOOKUP($A53,PAU!$1:$1048576,9,FALSE)</f>
        <v>67831397.409999996</v>
      </c>
      <c r="AB53" s="35">
        <f>VLOOKUP($A53,PAU!$1:$1048576,30,FALSE)</f>
        <v>0.15209684765935919</v>
      </c>
      <c r="AC53" s="30">
        <f t="shared" si="16"/>
        <v>1</v>
      </c>
      <c r="AD53" s="30">
        <f t="shared" si="31"/>
        <v>22963013.138138324</v>
      </c>
      <c r="AE53" s="30">
        <f t="shared" si="18"/>
        <v>18880699.691358179</v>
      </c>
      <c r="AF53" s="33">
        <f t="shared" si="19"/>
        <v>9440349.8456790894</v>
      </c>
      <c r="AG53" s="32">
        <f t="shared" si="20"/>
        <v>10666806.525431067</v>
      </c>
      <c r="AH53" s="31">
        <f>VLOOKUP($A53,'[2]Excess Capacity'!$A$1:$IV$65536,3,FALSE)</f>
        <v>105121</v>
      </c>
      <c r="AI53" s="31">
        <f>VLOOKUP($A53,'[2]Excess Capacity'!$A$1:$IV$65536,4,FALSE)</f>
        <v>1931</v>
      </c>
      <c r="AJ53" s="31">
        <f t="shared" si="21"/>
        <v>107052</v>
      </c>
      <c r="AK53" s="31">
        <f>VLOOKUP($A53,'[2]Excess Capacity'!$A$1:$IV$65536,6,FALSE)</f>
        <v>101691</v>
      </c>
      <c r="AL53" s="31">
        <f>VLOOKUP($A53,'[2]Excess Capacity'!$A$1:$IV$65536,7,FALSE)</f>
        <v>2917</v>
      </c>
      <c r="AM53" s="31">
        <f>VLOOKUP($A53,'[2]Excess Capacity'!$A$1:$IV$65536,8,FALSE)</f>
        <v>1420</v>
      </c>
      <c r="AN53" s="31">
        <f t="shared" si="22"/>
        <v>106028</v>
      </c>
      <c r="AO53" s="36">
        <f t="shared" si="23"/>
        <v>-1024</v>
      </c>
      <c r="AP53" s="87">
        <v>1201.4025549134587</v>
      </c>
      <c r="AQ53" s="86">
        <f t="shared" si="24"/>
        <v>-1230236.2162313818</v>
      </c>
      <c r="AR53" s="86">
        <f t="shared" si="29"/>
        <v>14420783.571285823</v>
      </c>
      <c r="AS53" s="95">
        <f t="shared" si="25"/>
        <v>9436570.3091996852</v>
      </c>
      <c r="AT53" s="115">
        <f t="shared" si="26"/>
        <v>0.58231275691193318</v>
      </c>
      <c r="AU53" s="136">
        <v>1.0903345654382657</v>
      </c>
      <c r="AV53" s="38">
        <f t="shared" si="27"/>
        <v>10289018.787308879</v>
      </c>
      <c r="AW53" s="27">
        <f t="shared" si="28"/>
        <v>1</v>
      </c>
      <c r="AX53" s="38"/>
    </row>
    <row r="54" spans="1:50" ht="15.3" x14ac:dyDescent="0.55000000000000004">
      <c r="B54"/>
      <c r="C54" s="19"/>
      <c r="I54" s="11"/>
      <c r="N54" s="19"/>
      <c r="O54" s="19"/>
      <c r="P54" s="40"/>
      <c r="Q54" s="19"/>
      <c r="Y54" s="39"/>
    </row>
    <row r="55" spans="1:50" hidden="1" x14ac:dyDescent="0.55000000000000004">
      <c r="B55" s="41"/>
      <c r="C55" s="19"/>
      <c r="I55" s="11"/>
      <c r="J55" s="44"/>
      <c r="K55" s="44"/>
      <c r="L55" s="111"/>
      <c r="M55" s="42"/>
      <c r="N55" s="19"/>
      <c r="O55" s="19"/>
      <c r="P55" s="19"/>
      <c r="Q55" s="19"/>
      <c r="Y55" s="39"/>
      <c r="Z55" s="43"/>
      <c r="AA55" s="43">
        <f>SUBTOTAL(9,AA8:AA53)</f>
        <v>1918360421.8600004</v>
      </c>
      <c r="AB55" s="11">
        <f>PAU!AD54</f>
        <v>0.20358630599913966</v>
      </c>
      <c r="AS55" s="6"/>
      <c r="AT55" s="6"/>
      <c r="AU55" s="6"/>
    </row>
    <row r="56" spans="1:50" ht="15.3" hidden="1" x14ac:dyDescent="0.55000000000000004">
      <c r="B56" s="41"/>
      <c r="C56" s="19"/>
      <c r="I56" s="44"/>
      <c r="J56" s="44"/>
      <c r="K56" s="44"/>
      <c r="L56" s="44"/>
      <c r="N56" s="19"/>
      <c r="O56" s="19"/>
      <c r="P56" s="40"/>
      <c r="Q56" s="19"/>
      <c r="Y56" s="39"/>
      <c r="AB56" s="45" t="s">
        <v>120</v>
      </c>
    </row>
    <row r="57" spans="1:50" hidden="1" x14ac:dyDescent="0.55000000000000004">
      <c r="A57" s="18">
        <v>0.2</v>
      </c>
      <c r="C57" s="52"/>
      <c r="D57" s="49"/>
      <c r="E57" s="49"/>
      <c r="F57" s="49"/>
      <c r="G57" s="49"/>
      <c r="H57" s="49"/>
      <c r="I57" s="50"/>
      <c r="J57" s="97"/>
      <c r="K57" s="97"/>
      <c r="L57" s="97"/>
      <c r="M57" s="36"/>
      <c r="N57" s="47"/>
      <c r="O57" s="52"/>
      <c r="P57" s="51"/>
      <c r="Q57" s="52"/>
      <c r="R57" s="46">
        <f>_xlfn.PERCENTILE.INC(R$8:R$53,$A57)</f>
        <v>-0.20614305822372481</v>
      </c>
      <c r="S57" s="36">
        <v>1</v>
      </c>
      <c r="T57" s="47">
        <f>_xlfn.PERCENTILE.INC(T$8:T$53,$A57)</f>
        <v>5.6656591438769111E-2</v>
      </c>
      <c r="U57" s="36">
        <f>S57</f>
        <v>1</v>
      </c>
      <c r="V57" s="15">
        <f>_xlfn.PERCENTILE.INC(V$8:V$53,$A57)</f>
        <v>31</v>
      </c>
      <c r="W57" s="48"/>
      <c r="X57" s="48"/>
      <c r="Y57" s="39"/>
      <c r="Z57" s="36"/>
      <c r="AA57" s="36"/>
      <c r="AB57" s="47">
        <f>_xlfn.PERCENTILE.INC(AB$8:AB$53,$A57)</f>
        <v>0.16569012928683904</v>
      </c>
      <c r="AC57" s="36">
        <v>1</v>
      </c>
      <c r="AD57" s="36">
        <v>1</v>
      </c>
      <c r="AE57" s="36"/>
      <c r="AF57" s="36"/>
      <c r="AG57" s="47"/>
      <c r="AH57" s="52"/>
      <c r="AI57" s="36"/>
      <c r="AJ57" s="36"/>
      <c r="AK57" s="85"/>
      <c r="AL57" s="36"/>
      <c r="AM57" s="36"/>
      <c r="AN57" s="36"/>
      <c r="AO57" s="36"/>
      <c r="AW57" s="48"/>
    </row>
    <row r="58" spans="1:50" hidden="1" x14ac:dyDescent="0.55000000000000004">
      <c r="A58" s="18">
        <v>0.4</v>
      </c>
      <c r="C58" s="52"/>
      <c r="D58" s="49"/>
      <c r="E58" s="49"/>
      <c r="F58" s="49"/>
      <c r="G58" s="49"/>
      <c r="H58" s="49"/>
      <c r="I58" s="47"/>
      <c r="J58" s="52"/>
      <c r="K58" s="52"/>
      <c r="L58" s="52"/>
      <c r="M58" s="36"/>
      <c r="N58" s="47"/>
      <c r="O58" s="52"/>
      <c r="P58" s="51"/>
      <c r="Q58" s="52"/>
      <c r="R58" s="46">
        <f>_xlfn.PERCENTILE.INC(R$8:R$53,$A58)</f>
        <v>-0.15240861741318013</v>
      </c>
      <c r="S58" s="36">
        <v>2</v>
      </c>
      <c r="T58" s="47">
        <f>_xlfn.PERCENTILE.INC(T$8:T$53,$A58)</f>
        <v>7.1470669787058183E-2</v>
      </c>
      <c r="U58" s="36">
        <f>S58</f>
        <v>2</v>
      </c>
      <c r="V58" s="15">
        <f>_xlfn.PERCENTILE.INC(V$8:V$53,$A58)</f>
        <v>43</v>
      </c>
      <c r="W58" s="48"/>
      <c r="X58" s="48"/>
      <c r="Y58" s="39"/>
      <c r="Z58" s="36"/>
      <c r="AA58" s="36"/>
      <c r="AB58" s="47">
        <f>_xlfn.PERCENTILE.INC(AB$8:AB$53,$A58)</f>
        <v>0.19641021926564589</v>
      </c>
      <c r="AC58" s="36">
        <v>2</v>
      </c>
      <c r="AD58" s="36">
        <v>2</v>
      </c>
      <c r="AE58" s="36"/>
      <c r="AF58" s="36"/>
      <c r="AG58" s="47"/>
      <c r="AH58" s="52"/>
      <c r="AI58" s="36"/>
      <c r="AJ58" s="36"/>
      <c r="AK58" s="85"/>
      <c r="AL58" s="36"/>
      <c r="AM58" s="36"/>
      <c r="AN58" s="36"/>
      <c r="AO58" s="36"/>
      <c r="AW58" s="48"/>
    </row>
    <row r="59" spans="1:50" hidden="1" x14ac:dyDescent="0.55000000000000004">
      <c r="A59" s="18">
        <v>0.6</v>
      </c>
      <c r="C59" s="52"/>
      <c r="D59" s="49"/>
      <c r="E59" s="49"/>
      <c r="F59" s="49"/>
      <c r="G59" s="49"/>
      <c r="H59" s="49"/>
      <c r="I59" s="47"/>
      <c r="J59" s="52"/>
      <c r="K59" s="52"/>
      <c r="L59" s="52"/>
      <c r="M59" s="36"/>
      <c r="N59" s="47"/>
      <c r="O59" s="52"/>
      <c r="P59" s="51"/>
      <c r="Q59" s="52"/>
      <c r="R59" s="46">
        <f>_xlfn.PERCENTILE.INC(R$8:R$53,$A59)</f>
        <v>-0.10765723415524431</v>
      </c>
      <c r="S59" s="36">
        <v>3</v>
      </c>
      <c r="T59" s="47">
        <f>_xlfn.PERCENTILE.INC(T$8:T$53,$A59)</f>
        <v>9.0066332615547529E-2</v>
      </c>
      <c r="U59" s="36">
        <f>S59</f>
        <v>3</v>
      </c>
      <c r="V59" s="15">
        <f>_xlfn.PERCENTILE.INC(V$8:V$53,$A59)</f>
        <v>51</v>
      </c>
      <c r="W59" s="48"/>
      <c r="X59" s="48"/>
      <c r="Y59" s="39"/>
      <c r="Z59" s="36"/>
      <c r="AA59" s="36"/>
      <c r="AB59" s="47">
        <f>_xlfn.PERCENTILE.INC(AB$8:AB$53,$A59)</f>
        <v>0.22892709327929556</v>
      </c>
      <c r="AC59" s="36">
        <v>3</v>
      </c>
      <c r="AD59" s="36">
        <v>3</v>
      </c>
      <c r="AE59" s="36"/>
      <c r="AF59" s="36"/>
      <c r="AG59" s="47"/>
      <c r="AH59" s="52"/>
      <c r="AI59" s="36"/>
      <c r="AJ59" s="36"/>
      <c r="AK59" s="85"/>
      <c r="AL59" s="36"/>
      <c r="AM59" s="36"/>
      <c r="AN59" s="36"/>
      <c r="AO59" s="36"/>
      <c r="AW59" s="48"/>
    </row>
    <row r="60" spans="1:50" hidden="1" x14ac:dyDescent="0.55000000000000004">
      <c r="A60" s="18">
        <v>0.8</v>
      </c>
      <c r="C60" s="52"/>
      <c r="D60" s="49"/>
      <c r="E60" s="49"/>
      <c r="F60" s="49"/>
      <c r="G60" s="49"/>
      <c r="H60" s="49"/>
      <c r="I60" s="47"/>
      <c r="J60" s="52"/>
      <c r="K60" s="52"/>
      <c r="L60" s="52"/>
      <c r="M60" s="36"/>
      <c r="N60" s="47"/>
      <c r="O60" s="52"/>
      <c r="P60" s="51"/>
      <c r="Q60" s="52"/>
      <c r="R60" s="46">
        <f>_xlfn.PERCENTILE.INC(R$8:R$53,$A60)</f>
        <v>-5.5806847381980385E-2</v>
      </c>
      <c r="S60" s="36">
        <v>4</v>
      </c>
      <c r="T60" s="47">
        <f>_xlfn.PERCENTILE.INC(T$8:T$53,$A60)</f>
        <v>0.1102975352367479</v>
      </c>
      <c r="U60" s="36">
        <f>S60</f>
        <v>4</v>
      </c>
      <c r="V60" s="15">
        <f>_xlfn.PERCENTILE.INC(V$8:V$53,$A60)</f>
        <v>57</v>
      </c>
      <c r="W60" s="48"/>
      <c r="X60" s="48"/>
      <c r="Y60" s="39"/>
      <c r="Z60" s="36"/>
      <c r="AA60" s="36"/>
      <c r="AB60" s="47">
        <f>_xlfn.PERCENTILE.INC(AB$8:AB$53,$A60)</f>
        <v>0.25964135247526043</v>
      </c>
      <c r="AC60" s="36">
        <v>4</v>
      </c>
      <c r="AD60" s="36">
        <v>4</v>
      </c>
      <c r="AE60" s="36"/>
      <c r="AF60" s="36"/>
      <c r="AG60" s="47"/>
      <c r="AH60" s="52"/>
      <c r="AI60" s="36"/>
      <c r="AJ60" s="36"/>
      <c r="AK60" s="85"/>
      <c r="AL60" s="36"/>
      <c r="AM60" s="36"/>
      <c r="AN60" s="36"/>
      <c r="AO60" s="36"/>
      <c r="AW60" s="48"/>
    </row>
    <row r="61" spans="1:50" hidden="1" x14ac:dyDescent="0.55000000000000004">
      <c r="A61" s="18">
        <v>1</v>
      </c>
      <c r="C61" s="52"/>
      <c r="D61" s="49"/>
      <c r="E61" s="49"/>
      <c r="F61" s="49"/>
      <c r="G61" s="49"/>
      <c r="H61" s="49"/>
      <c r="I61" s="47"/>
      <c r="J61" s="52"/>
      <c r="K61" s="52"/>
      <c r="L61" s="52"/>
      <c r="M61" s="36"/>
      <c r="N61" s="47"/>
      <c r="O61" s="52"/>
      <c r="P61" s="51"/>
      <c r="Q61" s="52"/>
      <c r="R61" s="46">
        <f>_xlfn.PERCENTILE.INC(R$8:R$53,$A61)</f>
        <v>1.4603732368277944E-2</v>
      </c>
      <c r="S61" s="36">
        <v>5</v>
      </c>
      <c r="T61" s="47">
        <f>_xlfn.PERCENTILE.INC(T$8:T$53,$A61)</f>
        <v>0.19959003094925465</v>
      </c>
      <c r="U61" s="36">
        <f>S61</f>
        <v>5</v>
      </c>
      <c r="V61" s="15">
        <f>_xlfn.PERCENTILE.INC(V$8:V$53,$A61)</f>
        <v>88</v>
      </c>
      <c r="W61" s="48"/>
      <c r="X61" s="48"/>
      <c r="Y61" s="39"/>
      <c r="Z61" s="36"/>
      <c r="AA61" s="36"/>
      <c r="AB61" s="47">
        <f>_xlfn.PERCENTILE.INC(AB$8:AB$53,$A61)</f>
        <v>0.41159030947557512</v>
      </c>
      <c r="AC61" s="36">
        <v>5</v>
      </c>
      <c r="AD61" s="36">
        <v>5</v>
      </c>
      <c r="AE61" s="36"/>
      <c r="AF61" s="36"/>
      <c r="AG61" s="47"/>
      <c r="AH61" s="52"/>
      <c r="AI61" s="36"/>
      <c r="AJ61" s="36"/>
      <c r="AK61" s="85"/>
      <c r="AL61" s="36"/>
      <c r="AM61" s="36"/>
      <c r="AN61" s="36"/>
      <c r="AO61" s="36"/>
      <c r="AW61" s="48"/>
    </row>
    <row r="62" spans="1:50" hidden="1" x14ac:dyDescent="0.55000000000000004">
      <c r="C62" s="53"/>
      <c r="D62" s="49"/>
      <c r="E62" s="49"/>
      <c r="F62" s="49"/>
      <c r="G62" s="49"/>
      <c r="H62" s="49"/>
      <c r="M62" s="36"/>
      <c r="N62" s="53"/>
      <c r="O62" s="53"/>
      <c r="P62" s="54"/>
      <c r="Q62" s="53"/>
      <c r="S62" s="36">
        <v>5</v>
      </c>
      <c r="U62" s="36">
        <v>1</v>
      </c>
      <c r="V62" s="49"/>
      <c r="W62" s="48"/>
      <c r="X62" s="48"/>
      <c r="Y62" s="39"/>
      <c r="Z62" s="36"/>
      <c r="AA62" s="36"/>
      <c r="AC62" s="36">
        <v>1</v>
      </c>
      <c r="AD62" s="36">
        <v>1</v>
      </c>
      <c r="AE62" s="36"/>
      <c r="AF62" s="36"/>
      <c r="AI62" s="36"/>
      <c r="AJ62" s="36"/>
      <c r="AL62" s="36"/>
      <c r="AM62" s="36"/>
      <c r="AN62" s="36"/>
      <c r="AO62" s="36"/>
      <c r="AW62" s="48">
        <v>1</v>
      </c>
    </row>
    <row r="63" spans="1:50" hidden="1" x14ac:dyDescent="0.55000000000000004">
      <c r="C63" s="53"/>
      <c r="D63" s="49"/>
      <c r="E63" s="49"/>
      <c r="F63" s="49"/>
      <c r="G63" s="49"/>
      <c r="H63" s="49"/>
      <c r="M63" s="36"/>
      <c r="N63" s="53"/>
      <c r="O63" s="53"/>
      <c r="P63" s="54"/>
      <c r="Q63" s="53"/>
      <c r="S63" s="36">
        <v>4</v>
      </c>
      <c r="U63" s="36">
        <v>2</v>
      </c>
      <c r="V63" s="55"/>
      <c r="W63" s="48"/>
      <c r="X63" s="48"/>
      <c r="Y63" s="39"/>
      <c r="Z63" s="36"/>
      <c r="AA63" s="36"/>
      <c r="AC63" s="36">
        <v>2</v>
      </c>
      <c r="AD63" s="36">
        <v>2</v>
      </c>
      <c r="AE63" s="36"/>
      <c r="AF63" s="36"/>
      <c r="AI63" s="36"/>
      <c r="AJ63" s="36"/>
      <c r="AL63" s="36"/>
      <c r="AM63" s="36"/>
      <c r="AN63" s="36"/>
      <c r="AO63" s="36"/>
      <c r="AW63" s="48">
        <v>2</v>
      </c>
    </row>
    <row r="64" spans="1:50" hidden="1" x14ac:dyDescent="0.55000000000000004">
      <c r="D64" s="49"/>
      <c r="E64" s="49"/>
      <c r="F64" s="49"/>
      <c r="G64" s="49"/>
      <c r="H64" s="49"/>
      <c r="M64" s="36"/>
      <c r="S64" s="36">
        <v>3</v>
      </c>
      <c r="U64" s="36">
        <v>3</v>
      </c>
      <c r="V64" s="49"/>
      <c r="W64" s="48"/>
      <c r="X64" s="48"/>
      <c r="Z64" s="36"/>
      <c r="AA64" s="36"/>
      <c r="AC64" s="36">
        <v>3</v>
      </c>
      <c r="AD64" s="36">
        <v>3</v>
      </c>
      <c r="AE64" s="36"/>
      <c r="AF64" s="36"/>
      <c r="AI64" s="36"/>
      <c r="AJ64" s="36"/>
      <c r="AL64" s="36"/>
      <c r="AM64" s="36"/>
      <c r="AN64" s="36"/>
      <c r="AO64" s="36"/>
      <c r="AW64" s="48">
        <v>3</v>
      </c>
    </row>
    <row r="65" spans="4:49" hidden="1" x14ac:dyDescent="0.55000000000000004">
      <c r="D65" s="49"/>
      <c r="E65" s="49"/>
      <c r="F65" s="49"/>
      <c r="G65" s="49"/>
      <c r="H65" s="49"/>
      <c r="M65" s="36"/>
      <c r="S65" s="36">
        <v>2</v>
      </c>
      <c r="U65" s="36">
        <v>4</v>
      </c>
      <c r="V65" s="49"/>
      <c r="W65" s="48"/>
      <c r="X65" s="48"/>
      <c r="Z65" s="36"/>
      <c r="AA65" s="36"/>
      <c r="AC65" s="36">
        <v>4</v>
      </c>
      <c r="AD65" s="36">
        <v>4</v>
      </c>
      <c r="AE65" s="36"/>
      <c r="AF65" s="36"/>
      <c r="AI65" s="36"/>
      <c r="AJ65" s="36"/>
      <c r="AL65" s="36"/>
      <c r="AM65" s="36"/>
      <c r="AN65" s="36"/>
      <c r="AO65" s="36"/>
      <c r="AW65" s="48">
        <v>4</v>
      </c>
    </row>
    <row r="66" spans="4:49" hidden="1" x14ac:dyDescent="0.55000000000000004">
      <c r="D66" s="49"/>
      <c r="E66" s="49"/>
      <c r="F66" s="49"/>
      <c r="G66" s="49"/>
      <c r="H66" s="49"/>
      <c r="M66" s="36"/>
      <c r="S66" s="36">
        <v>1</v>
      </c>
      <c r="U66" s="36">
        <v>5</v>
      </c>
      <c r="V66" s="49"/>
      <c r="W66" s="48"/>
      <c r="X66" s="48"/>
      <c r="Z66" s="36"/>
      <c r="AA66" s="36"/>
      <c r="AC66" s="36">
        <v>5</v>
      </c>
      <c r="AD66" s="36">
        <v>5</v>
      </c>
      <c r="AE66" s="36"/>
      <c r="AF66" s="36"/>
      <c r="AI66" s="36"/>
      <c r="AJ66" s="36"/>
      <c r="AL66" s="36"/>
      <c r="AM66" s="36"/>
      <c r="AN66" s="36"/>
      <c r="AO66" s="36"/>
      <c r="AW66" s="48">
        <v>5</v>
      </c>
    </row>
    <row r="67" spans="4:49" x14ac:dyDescent="0.55000000000000004">
      <c r="J67" s="44"/>
      <c r="K67" s="44"/>
      <c r="L67" s="44"/>
      <c r="M67" s="56"/>
      <c r="Z67" s="84"/>
      <c r="AS67" s="93"/>
      <c r="AT67" s="93"/>
      <c r="AU67" s="93"/>
    </row>
    <row r="68" spans="4:49" x14ac:dyDescent="0.55000000000000004">
      <c r="F68" s="106"/>
      <c r="I68" s="19"/>
      <c r="J68" s="44"/>
      <c r="K68" s="44"/>
      <c r="L68" s="44"/>
      <c r="M68" s="60"/>
      <c r="R68" s="19"/>
      <c r="S68" s="8"/>
      <c r="T68" s="19"/>
      <c r="AB68" s="113"/>
      <c r="AS68" s="94"/>
      <c r="AT68" s="94"/>
      <c r="AU68" s="94"/>
    </row>
    <row r="69" spans="4:49" x14ac:dyDescent="0.55000000000000004">
      <c r="I69" s="19"/>
      <c r="J69" s="44"/>
      <c r="K69" s="44"/>
      <c r="L69" s="44"/>
      <c r="R69" s="19"/>
      <c r="S69" s="8"/>
      <c r="T69" s="19"/>
    </row>
    <row r="70" spans="4:49" x14ac:dyDescent="0.55000000000000004">
      <c r="F70" s="106"/>
      <c r="I70" s="19"/>
      <c r="J70" s="11"/>
      <c r="K70" s="11"/>
      <c r="L70" s="11"/>
      <c r="R70" s="19"/>
      <c r="S70" s="8"/>
      <c r="T70" s="19"/>
    </row>
    <row r="71" spans="4:49" x14ac:dyDescent="0.55000000000000004">
      <c r="F71" s="106"/>
      <c r="I71" s="6"/>
      <c r="J71" s="6"/>
      <c r="K71" s="6"/>
      <c r="L71" s="6"/>
      <c r="R71" s="19"/>
      <c r="S71" s="8"/>
      <c r="T71" s="19"/>
      <c r="AA71" s="114"/>
      <c r="AB71" s="114"/>
    </row>
    <row r="72" spans="4:49" x14ac:dyDescent="0.55000000000000004">
      <c r="F72" s="106"/>
    </row>
    <row r="73" spans="4:49" x14ac:dyDescent="0.55000000000000004">
      <c r="F73" s="106"/>
      <c r="AA73" s="114"/>
    </row>
    <row r="74" spans="4:49" x14ac:dyDescent="0.55000000000000004">
      <c r="F74" s="106"/>
      <c r="AA74" s="114"/>
    </row>
    <row r="75" spans="4:49" x14ac:dyDescent="0.55000000000000004">
      <c r="F75" s="106"/>
    </row>
    <row r="77" spans="4:49" x14ac:dyDescent="0.55000000000000004">
      <c r="F77" s="107"/>
    </row>
  </sheetData>
  <autoFilter ref="A7:AV53" xr:uid="{00000000-0009-0000-0000-000001000000}">
    <sortState xmlns:xlrd2="http://schemas.microsoft.com/office/spreadsheetml/2017/richdata2" ref="A8:BE53">
      <sortCondition ref="A7:A53"/>
    </sortState>
  </autoFilter>
  <mergeCells count="7">
    <mergeCell ref="AT5:AV5"/>
    <mergeCell ref="B1:C1"/>
    <mergeCell ref="D5:G5"/>
    <mergeCell ref="H5:Q5"/>
    <mergeCell ref="R5:Z5"/>
    <mergeCell ref="AA5:AG5"/>
    <mergeCell ref="AH5:AS5"/>
  </mergeCells>
  <conditionalFormatting sqref="C8:G53">
    <cfRule type="expression" dxfId="39" priority="21">
      <formula>C8=3</formula>
    </cfRule>
    <cfRule type="expression" dxfId="38" priority="22">
      <formula>C8=4</formula>
    </cfRule>
    <cfRule type="expression" dxfId="37" priority="23">
      <formula>C8=1</formula>
    </cfRule>
    <cfRule type="expression" dxfId="36" priority="24">
      <formula>C8=5</formula>
    </cfRule>
  </conditionalFormatting>
  <conditionalFormatting sqref="N8:Q53">
    <cfRule type="expression" dxfId="35" priority="58">
      <formula>N8=4</formula>
    </cfRule>
    <cfRule type="expression" dxfId="34" priority="57">
      <formula>N8=3</formula>
    </cfRule>
    <cfRule type="expression" dxfId="33" priority="59">
      <formula>N8=1</formula>
    </cfRule>
    <cfRule type="expression" dxfId="32" priority="60">
      <formula>N8=5</formula>
    </cfRule>
  </conditionalFormatting>
  <conditionalFormatting sqref="V8:V53">
    <cfRule type="expression" dxfId="31" priority="68">
      <formula>AW8=5</formula>
    </cfRule>
    <cfRule type="expression" dxfId="30" priority="65">
      <formula>AW8=3</formula>
    </cfRule>
    <cfRule type="expression" dxfId="29" priority="66">
      <formula>AW8=4</formula>
    </cfRule>
    <cfRule type="expression" dxfId="28" priority="67">
      <formula>AW8=1</formula>
    </cfRule>
  </conditionalFormatting>
  <conditionalFormatting sqref="Z8:AC53">
    <cfRule type="expression" dxfId="27" priority="56">
      <formula>Z8=5</formula>
    </cfRule>
    <cfRule type="expression" dxfId="26" priority="55">
      <formula>Z8=1</formula>
    </cfRule>
    <cfRule type="expression" dxfId="25" priority="54">
      <formula>Z8=4</formula>
    </cfRule>
    <cfRule type="expression" dxfId="24" priority="53">
      <formula>Z8=3</formula>
    </cfRule>
  </conditionalFormatting>
  <conditionalFormatting sqref="AD8:AD53 AF8:AF53 AO8:AO53">
    <cfRule type="cellIs" dxfId="23" priority="52" operator="equal">
      <formula>1</formula>
    </cfRule>
    <cfRule type="cellIs" dxfId="22" priority="51" operator="equal">
      <formula>3</formula>
    </cfRule>
    <cfRule type="cellIs" dxfId="21" priority="50" operator="equal">
      <formula>4</formula>
    </cfRule>
    <cfRule type="cellIs" dxfId="20" priority="49" operator="equal">
      <formula>4</formula>
    </cfRule>
    <cfRule type="cellIs" dxfId="19" priority="48" operator="equal">
      <formula>5</formula>
    </cfRule>
  </conditionalFormatting>
  <conditionalFormatting sqref="AE8:AE53">
    <cfRule type="expression" dxfId="18" priority="13">
      <formula>AE8=3</formula>
    </cfRule>
    <cfRule type="expression" dxfId="17" priority="14">
      <formula>AE8=4</formula>
    </cfRule>
    <cfRule type="expression" dxfId="16" priority="15">
      <formula>AE8=1</formula>
    </cfRule>
    <cfRule type="expression" dxfId="15" priority="16">
      <formula>AE8=5</formula>
    </cfRule>
  </conditionalFormatting>
  <conditionalFormatting sqref="AG8:AN53">
    <cfRule type="expression" dxfId="14" priority="47">
      <formula>AG8=4</formula>
    </cfRule>
    <cfRule type="expression" dxfId="13" priority="45">
      <formula>AG8=2</formula>
    </cfRule>
    <cfRule type="expression" dxfId="12" priority="46">
      <formula>AG8=1</formula>
    </cfRule>
  </conditionalFormatting>
  <conditionalFormatting sqref="AS8:AS53">
    <cfRule type="expression" dxfId="11" priority="11">
      <formula>AS8=1</formula>
    </cfRule>
    <cfRule type="expression" dxfId="10" priority="10">
      <formula>AS8=4</formula>
    </cfRule>
    <cfRule type="expression" dxfId="9" priority="9">
      <formula>AS8=3</formula>
    </cfRule>
    <cfRule type="expression" dxfId="8" priority="12">
      <formula>AS8=5</formula>
    </cfRule>
  </conditionalFormatting>
  <conditionalFormatting sqref="AU8:AU53">
    <cfRule type="expression" dxfId="7" priority="8">
      <formula>AU8=5</formula>
    </cfRule>
    <cfRule type="expression" dxfId="6" priority="7">
      <formula>AU8=1</formula>
    </cfRule>
    <cfRule type="expression" dxfId="5" priority="6">
      <formula>AU8=4</formula>
    </cfRule>
    <cfRule type="expression" dxfId="4" priority="5">
      <formula>AU8=3</formula>
    </cfRule>
  </conditionalFormatting>
  <conditionalFormatting sqref="AW8:AW53">
    <cfRule type="expression" dxfId="3" priority="44">
      <formula>AW8=5</formula>
    </cfRule>
    <cfRule type="expression" dxfId="2" priority="43">
      <formula>AW8=1</formula>
    </cfRule>
    <cfRule type="expression" dxfId="1" priority="42">
      <formula>AW8=4</formula>
    </cfRule>
    <cfRule type="expression" dxfId="0" priority="41">
      <formula>AW8=3</formula>
    </cfRule>
  </conditionalFormatting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U97"/>
  <sheetViews>
    <sheetView workbookViewId="0">
      <selection activeCell="P16" sqref="P16"/>
    </sheetView>
  </sheetViews>
  <sheetFormatPr defaultRowHeight="14.4" x14ac:dyDescent="0.55000000000000004"/>
  <cols>
    <col min="1" max="1" width="13.15625" bestFit="1" customWidth="1"/>
    <col min="2" max="2" width="19.41796875" style="4" bestFit="1" customWidth="1"/>
    <col min="3" max="4" width="9" style="4" bestFit="1" customWidth="1"/>
    <col min="5" max="5" width="23.578125" style="4" bestFit="1" customWidth="1"/>
    <col min="6" max="7" width="8" style="4" customWidth="1"/>
    <col min="8" max="8" width="17.41796875" style="4" bestFit="1" customWidth="1"/>
    <col min="9" max="9" width="9" style="4" bestFit="1" customWidth="1"/>
    <col min="10" max="10" width="9" style="4" customWidth="1"/>
    <col min="11" max="11" width="18.26171875" style="4" bestFit="1" customWidth="1"/>
    <col min="12" max="13" width="10.578125" style="4" customWidth="1"/>
    <col min="14" max="14" width="23.83984375" style="9" customWidth="1"/>
    <col min="15" max="15" width="6.15625" style="9" bestFit="1" customWidth="1"/>
    <col min="16" max="16" width="7.15625" style="9" customWidth="1"/>
    <col min="17" max="17" width="23" style="4" customWidth="1"/>
    <col min="18" max="18" width="27.15625" style="8" bestFit="1" customWidth="1"/>
    <col min="19" max="19" width="20.83984375" style="8" bestFit="1" customWidth="1"/>
    <col min="20" max="20" width="21.83984375" style="8" bestFit="1" customWidth="1"/>
    <col min="21" max="21" width="28.83984375" style="10" bestFit="1" customWidth="1"/>
    <col min="22" max="22" width="24.41796875" bestFit="1" customWidth="1"/>
    <col min="23" max="23" width="28.578125" bestFit="1" customWidth="1"/>
    <col min="24" max="24" width="22.41796875" bestFit="1" customWidth="1"/>
    <col min="25" max="25" width="23.26171875" bestFit="1" customWidth="1"/>
    <col min="26" max="26" width="20.83984375" bestFit="1" customWidth="1"/>
  </cols>
  <sheetData>
    <row r="2" spans="1:21" x14ac:dyDescent="0.55000000000000004">
      <c r="M2" s="10"/>
    </row>
    <row r="3" spans="1:21" x14ac:dyDescent="0.55000000000000004">
      <c r="B3" s="1" t="s">
        <v>56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</row>
    <row r="4" spans="1:21" x14ac:dyDescent="0.55000000000000004">
      <c r="B4" s="6" t="s">
        <v>53</v>
      </c>
      <c r="C4" s="6"/>
      <c r="D4" s="6"/>
      <c r="E4" s="6" t="s">
        <v>54</v>
      </c>
      <c r="F4" s="6"/>
      <c r="G4" s="6"/>
      <c r="H4" s="6" t="s">
        <v>55</v>
      </c>
      <c r="I4" s="6"/>
      <c r="J4" s="6"/>
      <c r="K4" s="6" t="s">
        <v>60</v>
      </c>
      <c r="L4" s="6"/>
      <c r="M4" s="6"/>
      <c r="N4" t="s">
        <v>63</v>
      </c>
      <c r="O4"/>
      <c r="P4"/>
      <c r="Q4" s="5" t="s">
        <v>57</v>
      </c>
      <c r="R4" s="5" t="s">
        <v>58</v>
      </c>
      <c r="S4" s="5" t="s">
        <v>59</v>
      </c>
      <c r="T4" s="5" t="s">
        <v>61</v>
      </c>
      <c r="U4" s="5" t="s">
        <v>64</v>
      </c>
    </row>
    <row r="5" spans="1:21" s="5" customFormat="1" x14ac:dyDescent="0.55000000000000004">
      <c r="A5" s="7" t="s">
        <v>51</v>
      </c>
      <c r="B5" s="5">
        <v>2016</v>
      </c>
      <c r="C5" s="5">
        <v>2017</v>
      </c>
      <c r="D5" s="5">
        <v>2018</v>
      </c>
      <c r="E5" s="5">
        <v>2016</v>
      </c>
      <c r="F5" s="5">
        <v>2017</v>
      </c>
      <c r="G5" s="5">
        <v>2018</v>
      </c>
      <c r="H5" s="5">
        <v>2016</v>
      </c>
      <c r="I5" s="5">
        <v>2017</v>
      </c>
      <c r="J5" s="5">
        <v>2018</v>
      </c>
      <c r="K5" s="5">
        <v>2016</v>
      </c>
      <c r="L5" s="5">
        <v>2017</v>
      </c>
      <c r="M5" s="5">
        <v>2018</v>
      </c>
      <c r="N5" s="5">
        <v>2016</v>
      </c>
      <c r="O5" s="5">
        <v>2017</v>
      </c>
      <c r="P5" s="5">
        <v>2018</v>
      </c>
    </row>
    <row r="6" spans="1:21" x14ac:dyDescent="0.55000000000000004">
      <c r="A6" s="2">
        <v>1</v>
      </c>
      <c r="B6" s="6">
        <v>155045.22962375899</v>
      </c>
      <c r="C6" s="6">
        <v>163113.04442878399</v>
      </c>
      <c r="D6" s="6">
        <v>172307.94243500195</v>
      </c>
      <c r="E6" s="6">
        <v>18637.245993483</v>
      </c>
      <c r="F6" s="6">
        <v>21608.954837720998</v>
      </c>
      <c r="G6" s="6">
        <v>20450.156112424909</v>
      </c>
      <c r="H6" s="6">
        <v>35606.977368667998</v>
      </c>
      <c r="I6" s="6">
        <v>38807.684508847</v>
      </c>
      <c r="J6" s="6">
        <v>42387.290054877682</v>
      </c>
      <c r="K6" s="6">
        <v>2352923.6253830651</v>
      </c>
      <c r="L6" s="6">
        <v>2427623.081358782</v>
      </c>
      <c r="M6" s="6">
        <v>2472558.8763591223</v>
      </c>
      <c r="N6" s="12">
        <v>8.1027792375278684E-2</v>
      </c>
      <c r="O6" s="12">
        <v>8.3176309571341089E-2</v>
      </c>
      <c r="P6" s="12">
        <v>8.6831191177142525E-2</v>
      </c>
      <c r="Q6" s="6">
        <v>490466.21648754494</v>
      </c>
      <c r="R6" s="6">
        <v>60696.356943628911</v>
      </c>
      <c r="S6" s="6">
        <v>116801.95193239269</v>
      </c>
      <c r="T6" s="6">
        <v>7253105.583100968</v>
      </c>
      <c r="U6" s="11">
        <v>8.3725262435833489E-2</v>
      </c>
    </row>
    <row r="7" spans="1:21" x14ac:dyDescent="0.55000000000000004">
      <c r="A7" s="3">
        <v>210011</v>
      </c>
      <c r="B7" s="6">
        <v>17646.350630000001</v>
      </c>
      <c r="C7" s="6">
        <v>17289.56134</v>
      </c>
      <c r="D7" s="6">
        <v>18048.454859999983</v>
      </c>
      <c r="E7" s="6">
        <v>2618.93824</v>
      </c>
      <c r="F7" s="6">
        <v>2783.4445799999999</v>
      </c>
      <c r="G7" s="6">
        <v>2606.88942</v>
      </c>
      <c r="H7" s="6">
        <v>2388.0035499999999</v>
      </c>
      <c r="I7" s="6">
        <v>2640.0939699999999</v>
      </c>
      <c r="J7" s="6">
        <v>2704.7761299999997</v>
      </c>
      <c r="K7" s="6">
        <v>312539.16685799998</v>
      </c>
      <c r="L7" s="6">
        <v>310077.53606000001</v>
      </c>
      <c r="M7" s="6">
        <v>318614.83469159732</v>
      </c>
      <c r="N7" s="12">
        <v>6.4101899232048801E-2</v>
      </c>
      <c r="O7" s="12">
        <v>6.4273134917273114E-2</v>
      </c>
      <c r="P7" s="12">
        <v>6.5135796360794168E-2</v>
      </c>
      <c r="Q7" s="6">
        <v>52984.366829999984</v>
      </c>
      <c r="R7" s="6">
        <v>8009.2722400000002</v>
      </c>
      <c r="S7" s="6">
        <v>7732.8736499999995</v>
      </c>
      <c r="T7" s="6">
        <v>941231.53760959744</v>
      </c>
      <c r="U7" s="11">
        <v>6.4508293712937814E-2</v>
      </c>
    </row>
    <row r="8" spans="1:21" x14ac:dyDescent="0.55000000000000004">
      <c r="A8" s="3">
        <v>210015</v>
      </c>
      <c r="B8" s="6">
        <v>22259.529171573999</v>
      </c>
      <c r="C8" s="6">
        <v>22591.371142082</v>
      </c>
      <c r="D8" s="6">
        <v>22670.113153599927</v>
      </c>
      <c r="E8" s="6">
        <v>3413.2032539470001</v>
      </c>
      <c r="F8" s="6">
        <v>4108.4184834529997</v>
      </c>
      <c r="G8" s="6">
        <v>4410.4791103323041</v>
      </c>
      <c r="H8" s="6">
        <v>7488.6571620000004</v>
      </c>
      <c r="I8" s="6">
        <v>7642.1740099999997</v>
      </c>
      <c r="J8" s="6">
        <v>7387.812218911834</v>
      </c>
      <c r="K8" s="6">
        <v>385528.86720085802</v>
      </c>
      <c r="L8" s="6">
        <v>392688.39300726802</v>
      </c>
      <c r="M8" s="6">
        <v>396609.41027179698</v>
      </c>
      <c r="N8" s="12">
        <v>7.7162020446254642E-2</v>
      </c>
      <c r="O8" s="12">
        <v>7.6991186117187901E-2</v>
      </c>
      <c r="P8" s="12">
        <v>7.5787221871294025E-2</v>
      </c>
      <c r="Q8" s="6">
        <v>67521.013467255922</v>
      </c>
      <c r="R8" s="6">
        <v>11932.100847732305</v>
      </c>
      <c r="S8" s="6">
        <v>22518.643390911835</v>
      </c>
      <c r="T8" s="6">
        <v>1174826.670479923</v>
      </c>
      <c r="U8" s="11">
        <v>7.6640800826717759E-2</v>
      </c>
    </row>
    <row r="9" spans="1:21" x14ac:dyDescent="0.55000000000000004">
      <c r="A9" s="3">
        <v>210022</v>
      </c>
      <c r="B9" s="6">
        <v>14383.11031</v>
      </c>
      <c r="C9" s="6">
        <v>12026.027400000001</v>
      </c>
      <c r="D9" s="6">
        <v>14925.9</v>
      </c>
      <c r="E9" s="6">
        <v>1255.1036295649999</v>
      </c>
      <c r="F9" s="6">
        <v>1716.1</v>
      </c>
      <c r="G9" s="6">
        <v>1571.3</v>
      </c>
      <c r="H9" s="6">
        <v>588.69863999999995</v>
      </c>
      <c r="I9" s="6">
        <v>2405.1466</v>
      </c>
      <c r="J9" s="6">
        <v>3556.7</v>
      </c>
      <c r="K9" s="6">
        <v>236670.66137956499</v>
      </c>
      <c r="L9" s="6">
        <v>250216.33106</v>
      </c>
      <c r="M9" s="6">
        <v>261990.87737999996</v>
      </c>
      <c r="N9" s="12">
        <v>6.326009680595214E-2</v>
      </c>
      <c r="O9" s="12">
        <v>5.7674788607381164E-2</v>
      </c>
      <c r="P9" s="12">
        <v>7.0546731187102529E-2</v>
      </c>
      <c r="Q9" s="6">
        <v>41335.037710000004</v>
      </c>
      <c r="R9" s="6">
        <v>4542.5036295649998</v>
      </c>
      <c r="S9" s="6">
        <v>6550.5452399999995</v>
      </c>
      <c r="T9" s="6">
        <v>748877.86981956498</v>
      </c>
      <c r="U9" s="11">
        <v>6.3943113930630083E-2</v>
      </c>
    </row>
    <row r="10" spans="1:21" x14ac:dyDescent="0.55000000000000004">
      <c r="A10" s="3">
        <v>210043</v>
      </c>
      <c r="B10" s="6">
        <v>23103.133333333</v>
      </c>
      <c r="C10" s="6">
        <v>26379.633333333</v>
      </c>
      <c r="D10" s="6">
        <v>26376.80908333333</v>
      </c>
      <c r="E10" s="6">
        <v>2239.9</v>
      </c>
      <c r="F10" s="6">
        <v>1515</v>
      </c>
      <c r="G10" s="6">
        <v>1219.1008999999999</v>
      </c>
      <c r="H10" s="6">
        <v>6003.1</v>
      </c>
      <c r="I10" s="6">
        <v>5657</v>
      </c>
      <c r="J10" s="6">
        <v>5351.3711700000003</v>
      </c>
      <c r="K10" s="6">
        <v>322713.45220454701</v>
      </c>
      <c r="L10" s="6">
        <v>326029.85589127499</v>
      </c>
      <c r="M10" s="6">
        <v>336518.73637333332</v>
      </c>
      <c r="N10" s="12">
        <v>9.0192191042858846E-2</v>
      </c>
      <c r="O10" s="12">
        <v>9.8262882231302875E-2</v>
      </c>
      <c r="P10" s="12">
        <v>9.4283547463859904E-2</v>
      </c>
      <c r="Q10" s="6">
        <v>75859.575749999334</v>
      </c>
      <c r="R10" s="6">
        <v>4974.0009</v>
      </c>
      <c r="S10" s="6">
        <v>17011.471170000001</v>
      </c>
      <c r="T10" s="6">
        <v>985262.04446915537</v>
      </c>
      <c r="U10" s="11">
        <v>9.4260250297205847E-2</v>
      </c>
    </row>
    <row r="11" spans="1:21" x14ac:dyDescent="0.55000000000000004">
      <c r="A11" s="3">
        <v>210044</v>
      </c>
      <c r="B11" s="6">
        <v>24360.14</v>
      </c>
      <c r="C11" s="6">
        <v>29088.587510000001</v>
      </c>
      <c r="D11" s="6">
        <v>34742.061999999998</v>
      </c>
      <c r="E11" s="6">
        <v>2349.1999999999998</v>
      </c>
      <c r="F11" s="6">
        <v>3097.587</v>
      </c>
      <c r="G11" s="6">
        <v>3169.75</v>
      </c>
      <c r="H11" s="6">
        <v>5576.8</v>
      </c>
      <c r="I11" s="6">
        <v>4508.1440000000002</v>
      </c>
      <c r="J11" s="6">
        <v>6559.9120000000003</v>
      </c>
      <c r="K11" s="6">
        <v>341360.54</v>
      </c>
      <c r="L11" s="6">
        <v>357450.441029432</v>
      </c>
      <c r="M11" s="6">
        <v>372374.52490789304</v>
      </c>
      <c r="N11" s="12">
        <v>8.7698888688188745E-2</v>
      </c>
      <c r="O11" s="12">
        <v>9.3989900846796509E-2</v>
      </c>
      <c r="P11" s="12">
        <v>0.1109151438601125</v>
      </c>
      <c r="Q11" s="6">
        <v>88190.789510000002</v>
      </c>
      <c r="R11" s="6">
        <v>8616.5370000000003</v>
      </c>
      <c r="S11" s="6">
        <v>16644.856</v>
      </c>
      <c r="T11" s="6">
        <v>1071185.5059373251</v>
      </c>
      <c r="U11" s="11">
        <v>9.7868805103244111E-2</v>
      </c>
    </row>
    <row r="12" spans="1:21" x14ac:dyDescent="0.55000000000000004">
      <c r="A12" s="3">
        <v>210056</v>
      </c>
      <c r="B12" s="6">
        <v>11698.694429698</v>
      </c>
      <c r="C12" s="6">
        <v>11723.254038169</v>
      </c>
      <c r="D12" s="6">
        <v>11363.609846372148</v>
      </c>
      <c r="E12" s="6">
        <v>3125.982819971</v>
      </c>
      <c r="F12" s="6">
        <v>3377.0057142679998</v>
      </c>
      <c r="G12" s="6">
        <v>3147.2662820926075</v>
      </c>
      <c r="H12" s="6">
        <v>1878.3847899360001</v>
      </c>
      <c r="I12" s="6">
        <v>1939.295923527</v>
      </c>
      <c r="J12" s="6">
        <v>1964.6033419771684</v>
      </c>
      <c r="K12" s="6">
        <v>213937.85288554401</v>
      </c>
      <c r="L12" s="6">
        <v>217911.40419593599</v>
      </c>
      <c r="M12" s="6">
        <v>210839.35131585255</v>
      </c>
      <c r="N12" s="12">
        <v>6.3462725443438422E-2</v>
      </c>
      <c r="O12" s="12">
        <v>6.2697728061131025E-2</v>
      </c>
      <c r="P12" s="12">
        <v>6.3215017050506347E-2</v>
      </c>
      <c r="Q12" s="6">
        <v>34785.558314239148</v>
      </c>
      <c r="R12" s="6">
        <v>9650.2548163316078</v>
      </c>
      <c r="S12" s="6">
        <v>5782.2840554401682</v>
      </c>
      <c r="T12" s="6">
        <v>642688.60839733249</v>
      </c>
      <c r="U12" s="11">
        <v>6.3122080957437585E-2</v>
      </c>
    </row>
    <row r="13" spans="1:21" x14ac:dyDescent="0.55000000000000004">
      <c r="A13" s="3">
        <v>210058</v>
      </c>
      <c r="B13" s="6">
        <v>5654.0127091539998</v>
      </c>
      <c r="C13" s="6">
        <v>6535.8658800000003</v>
      </c>
      <c r="D13" s="6">
        <v>6658.4805600000009</v>
      </c>
      <c r="E13" s="6">
        <v>290.51805000000002</v>
      </c>
      <c r="F13" s="6">
        <v>291.39906000000002</v>
      </c>
      <c r="G13" s="6">
        <v>299.47040000000004</v>
      </c>
      <c r="H13" s="6">
        <v>761.54799675100003</v>
      </c>
      <c r="I13" s="6">
        <v>722</v>
      </c>
      <c r="J13" s="6">
        <v>673.91204000000005</v>
      </c>
      <c r="K13" s="6">
        <v>100941.366225905</v>
      </c>
      <c r="L13" s="6">
        <v>103671.463184362</v>
      </c>
      <c r="M13" s="6">
        <v>106248.82882152408</v>
      </c>
      <c r="N13" s="12">
        <v>6.3557300101794612E-2</v>
      </c>
      <c r="O13" s="12">
        <v>7.0008328782754078E-2</v>
      </c>
      <c r="P13" s="12">
        <v>6.9011514586357417E-2</v>
      </c>
      <c r="Q13" s="6">
        <v>18848.359149153999</v>
      </c>
      <c r="R13" s="6">
        <v>881.38751000000013</v>
      </c>
      <c r="S13" s="6">
        <v>2157.4600367510002</v>
      </c>
      <c r="T13" s="6">
        <v>310861.65823179111</v>
      </c>
      <c r="U13" s="11">
        <v>6.7572885332298535E-2</v>
      </c>
    </row>
    <row r="14" spans="1:21" x14ac:dyDescent="0.55000000000000004">
      <c r="A14" s="3">
        <v>990099</v>
      </c>
      <c r="B14" s="6">
        <v>35940.259040000004</v>
      </c>
      <c r="C14" s="6">
        <v>37478.7437852</v>
      </c>
      <c r="D14" s="6">
        <v>37522.512931696547</v>
      </c>
      <c r="E14" s="6">
        <v>3344.4</v>
      </c>
      <c r="F14" s="6">
        <v>4720</v>
      </c>
      <c r="G14" s="6">
        <v>4025.9</v>
      </c>
      <c r="H14" s="6">
        <v>10921.785229981</v>
      </c>
      <c r="I14" s="6">
        <v>13293.83000532</v>
      </c>
      <c r="J14" s="6">
        <v>14188.203153988685</v>
      </c>
      <c r="K14" s="6">
        <v>439231.71862864599</v>
      </c>
      <c r="L14" s="6">
        <v>469577.65693050897</v>
      </c>
      <c r="M14" s="6">
        <v>469362.31259712513</v>
      </c>
      <c r="N14" s="12">
        <v>0.10669093847842331</v>
      </c>
      <c r="O14" s="12">
        <v>0.10812391314017235</v>
      </c>
      <c r="P14" s="11">
        <v>0.11017227991645523</v>
      </c>
      <c r="Q14" s="6">
        <v>110941.51575689655</v>
      </c>
      <c r="R14" s="6">
        <v>12090.3</v>
      </c>
      <c r="S14" s="6">
        <v>38403.818389289685</v>
      </c>
      <c r="T14" s="6">
        <v>1378171.68815628</v>
      </c>
      <c r="U14" s="11">
        <v>0.10836482524610605</v>
      </c>
    </row>
    <row r="15" spans="1:21" x14ac:dyDescent="0.55000000000000004">
      <c r="A15" s="2">
        <v>3</v>
      </c>
      <c r="B15" s="6">
        <v>306576.29430179601</v>
      </c>
      <c r="C15" s="6">
        <v>320348.49334770901</v>
      </c>
      <c r="D15" s="6">
        <v>328388.25456509698</v>
      </c>
      <c r="E15" s="6">
        <v>38313.618482803002</v>
      </c>
      <c r="F15" s="6">
        <v>37419.438675389996</v>
      </c>
      <c r="G15" s="6">
        <v>39570.850868847345</v>
      </c>
      <c r="H15" s="6">
        <v>117405.57277073701</v>
      </c>
      <c r="I15" s="6">
        <v>115235.24317666501</v>
      </c>
      <c r="J15" s="6">
        <v>114130.97168534077</v>
      </c>
      <c r="K15" s="6">
        <v>4784801.2476145485</v>
      </c>
      <c r="L15" s="6">
        <v>4907068.8964270083</v>
      </c>
      <c r="M15" s="6">
        <v>4910557.4800210921</v>
      </c>
      <c r="N15" s="12">
        <v>8.8610131357892488E-2</v>
      </c>
      <c r="O15" s="12">
        <v>8.8766582601180977E-2</v>
      </c>
      <c r="P15" s="11">
        <v>9.0115883593839347E-2</v>
      </c>
      <c r="Q15" s="6">
        <v>955313.042214602</v>
      </c>
      <c r="R15" s="6">
        <v>115303.90802704035</v>
      </c>
      <c r="S15" s="6">
        <v>346771.78763274278</v>
      </c>
      <c r="T15" s="6">
        <v>14602427.624062655</v>
      </c>
      <c r="U15" s="11">
        <v>8.9169065813529541E-2</v>
      </c>
    </row>
    <row r="16" spans="1:21" x14ac:dyDescent="0.55000000000000004">
      <c r="A16" s="3">
        <v>210001</v>
      </c>
      <c r="B16" s="6">
        <v>16973.740000000002</v>
      </c>
      <c r="C16" s="6">
        <v>17629.28428</v>
      </c>
      <c r="D16" s="6">
        <v>18057.099999999999</v>
      </c>
      <c r="E16" s="6">
        <v>2294.6120000000001</v>
      </c>
      <c r="F16" s="6">
        <v>2014.41356</v>
      </c>
      <c r="G16" s="6">
        <v>1215.8</v>
      </c>
      <c r="H16" s="6">
        <v>12266.32</v>
      </c>
      <c r="I16" s="6">
        <v>11874.437760000001</v>
      </c>
      <c r="J16" s="6">
        <v>11651.8</v>
      </c>
      <c r="K16" s="6">
        <v>247821.196</v>
      </c>
      <c r="L16" s="6">
        <v>252744.95715999999</v>
      </c>
      <c r="M16" s="6">
        <v>253102.19999999995</v>
      </c>
      <c r="N16" s="12">
        <v>0.11798853557304276</v>
      </c>
      <c r="O16" s="12">
        <v>0.11673317787038059</v>
      </c>
      <c r="P16" s="11">
        <v>0.1173790666379036</v>
      </c>
      <c r="Q16" s="6">
        <v>52660.124279999996</v>
      </c>
      <c r="R16" s="6">
        <v>5524.8255600000002</v>
      </c>
      <c r="S16" s="6">
        <v>35792.557759999996</v>
      </c>
      <c r="T16" s="6">
        <v>753668.35315999994</v>
      </c>
      <c r="U16" s="11">
        <v>0.11736287143958389</v>
      </c>
    </row>
    <row r="17" spans="1:21" x14ac:dyDescent="0.55000000000000004">
      <c r="A17" s="3">
        <v>210005</v>
      </c>
      <c r="B17" s="6">
        <v>20119.519840000001</v>
      </c>
      <c r="C17" s="6">
        <v>19314.898529999999</v>
      </c>
      <c r="D17" s="6">
        <v>18482.832799999996</v>
      </c>
      <c r="E17" s="6">
        <v>777.73054000000002</v>
      </c>
      <c r="F17" s="6">
        <v>774.43209000000002</v>
      </c>
      <c r="G17" s="6">
        <v>189.75861000000009</v>
      </c>
      <c r="H17" s="6">
        <v>4298.6116754710001</v>
      </c>
      <c r="I17" s="6">
        <v>4035.9085314260001</v>
      </c>
      <c r="J17" s="6">
        <v>4537.0870172957348</v>
      </c>
      <c r="K17" s="6">
        <v>278175.23588163703</v>
      </c>
      <c r="L17" s="6">
        <v>253327.61973304101</v>
      </c>
      <c r="M17" s="6">
        <v>253917.29326275023</v>
      </c>
      <c r="N17" s="12">
        <v>8.7779673981694284E-2</v>
      </c>
      <c r="O17" s="12">
        <v>9.2176317316024589E-2</v>
      </c>
      <c r="P17" s="11">
        <v>9.0659125739321056E-2</v>
      </c>
      <c r="Q17" s="6">
        <v>57917.251169999996</v>
      </c>
      <c r="R17" s="6">
        <v>1741.9212400000001</v>
      </c>
      <c r="S17" s="6">
        <v>12871.607224192734</v>
      </c>
      <c r="T17" s="6">
        <v>785420.14887742826</v>
      </c>
      <c r="U17" s="11">
        <v>9.0128650882420849E-2</v>
      </c>
    </row>
    <row r="18" spans="1:21" x14ac:dyDescent="0.55000000000000004">
      <c r="A18" s="3">
        <v>210006</v>
      </c>
      <c r="B18" s="6">
        <v>4771</v>
      </c>
      <c r="C18" s="6">
        <v>4437.1099999999997</v>
      </c>
      <c r="D18" s="6">
        <v>4334.6890000000003</v>
      </c>
      <c r="E18" s="6">
        <v>576.4</v>
      </c>
      <c r="F18" s="6">
        <v>409</v>
      </c>
      <c r="G18" s="6">
        <v>1252.4000000000001</v>
      </c>
      <c r="H18" s="6">
        <v>1259</v>
      </c>
      <c r="I18" s="6">
        <v>1249.384</v>
      </c>
      <c r="J18" s="6">
        <v>983.77</v>
      </c>
      <c r="K18" s="6">
        <v>80295.005999999994</v>
      </c>
      <c r="L18" s="6">
        <v>80697.100000000006</v>
      </c>
      <c r="M18" s="6">
        <v>83338.100000000035</v>
      </c>
      <c r="N18" s="12">
        <v>7.5098070233658124E-2</v>
      </c>
      <c r="O18" s="12">
        <v>7.0467141941903733E-2</v>
      </c>
      <c r="P18" s="11">
        <v>6.3817857618544208E-2</v>
      </c>
      <c r="Q18" s="6">
        <v>13542.799000000001</v>
      </c>
      <c r="R18" s="6">
        <v>2237.8000000000002</v>
      </c>
      <c r="S18" s="6">
        <v>3492.154</v>
      </c>
      <c r="T18" s="6">
        <v>244330.20600000003</v>
      </c>
      <c r="U18" s="11">
        <v>6.972102745249599E-2</v>
      </c>
    </row>
    <row r="19" spans="1:21" x14ac:dyDescent="0.55000000000000004">
      <c r="A19" s="3">
        <v>210010</v>
      </c>
      <c r="B19" s="6">
        <v>2425.1080000000002</v>
      </c>
      <c r="C19" s="6">
        <v>2918.3510000000001</v>
      </c>
      <c r="D19" s="6">
        <v>2833.9716159147788</v>
      </c>
      <c r="E19" s="6">
        <v>277.03699999999998</v>
      </c>
      <c r="F19" s="6">
        <v>173.03303</v>
      </c>
      <c r="G19" s="6">
        <v>215.86318000000003</v>
      </c>
      <c r="H19" s="6">
        <v>155.29499999999999</v>
      </c>
      <c r="I19" s="6">
        <v>160.12299999999999</v>
      </c>
      <c r="J19" s="6">
        <v>193.18</v>
      </c>
      <c r="K19" s="6">
        <v>36427.923000000003</v>
      </c>
      <c r="L19" s="6">
        <v>40362.845800000003</v>
      </c>
      <c r="M19" s="6">
        <v>38031.016407558804</v>
      </c>
      <c r="N19" s="12">
        <v>7.0835853035046775E-2</v>
      </c>
      <c r="O19" s="12">
        <v>7.6269993826847557E-2</v>
      </c>
      <c r="P19" s="11">
        <v>7.9596915934992504E-2</v>
      </c>
      <c r="Q19" s="6">
        <v>8177.43061591478</v>
      </c>
      <c r="R19" s="6">
        <v>665.93321000000003</v>
      </c>
      <c r="S19" s="6">
        <v>508.59800000000001</v>
      </c>
      <c r="T19" s="6">
        <v>114821.7852075588</v>
      </c>
      <c r="U19" s="11">
        <v>7.5647914724661258E-2</v>
      </c>
    </row>
    <row r="20" spans="1:21" x14ac:dyDescent="0.55000000000000004">
      <c r="A20" s="3">
        <v>210016</v>
      </c>
      <c r="B20" s="6">
        <v>8172.0140000000001</v>
      </c>
      <c r="C20" s="6">
        <v>8799.1939999999995</v>
      </c>
      <c r="D20" s="6">
        <v>9266.121000000001</v>
      </c>
      <c r="E20" s="6">
        <v>1016.91</v>
      </c>
      <c r="F20" s="6">
        <v>1111.8130000000001</v>
      </c>
      <c r="G20" s="6">
        <v>911.42800000000011</v>
      </c>
      <c r="H20" s="6">
        <v>2355</v>
      </c>
      <c r="I20" s="6">
        <v>1581.6</v>
      </c>
      <c r="J20" s="6">
        <v>2500.1999999999998</v>
      </c>
      <c r="K20" s="6">
        <v>204234.17267999999</v>
      </c>
      <c r="L20" s="6">
        <v>205395.36824000001</v>
      </c>
      <c r="M20" s="6">
        <v>212891.46531</v>
      </c>
      <c r="N20" s="12">
        <v>5.1543842354403784E-2</v>
      </c>
      <c r="O20" s="12">
        <v>5.0540545723846454E-2</v>
      </c>
      <c r="P20" s="11">
        <v>5.5269106175142232E-2</v>
      </c>
      <c r="Q20" s="6">
        <v>26237.328999999998</v>
      </c>
      <c r="R20" s="6">
        <v>3040.1509999999998</v>
      </c>
      <c r="S20" s="6">
        <v>6436.7999999999993</v>
      </c>
      <c r="T20" s="6">
        <v>622521.00622999994</v>
      </c>
      <c r="U20" s="11">
        <v>5.2486789478599603E-2</v>
      </c>
    </row>
    <row r="21" spans="1:21" x14ac:dyDescent="0.55000000000000004">
      <c r="A21" s="3">
        <v>210017</v>
      </c>
      <c r="B21" s="6">
        <v>2833.3320083049998</v>
      </c>
      <c r="C21" s="6">
        <v>3344.9125018039999</v>
      </c>
      <c r="D21" s="6">
        <v>3766.3223368783006</v>
      </c>
      <c r="E21" s="6">
        <v>9.7100601829999995</v>
      </c>
      <c r="F21" s="6">
        <v>34.318319735999999</v>
      </c>
      <c r="G21" s="6">
        <v>46.594340004812402</v>
      </c>
      <c r="H21" s="6">
        <v>138.738</v>
      </c>
      <c r="I21" s="6">
        <v>139.25170789699999</v>
      </c>
      <c r="J21" s="6">
        <v>156.11669784138508</v>
      </c>
      <c r="K21" s="6">
        <v>39247.254159985998</v>
      </c>
      <c r="L21" s="6">
        <v>43427.726034861</v>
      </c>
      <c r="M21" s="6">
        <v>47330.010325858813</v>
      </c>
      <c r="N21" s="12">
        <v>7.5726826549184001E-2</v>
      </c>
      <c r="O21" s="12">
        <v>8.0229027117471818E-2</v>
      </c>
      <c r="P21" s="11">
        <v>8.2874248446479976E-2</v>
      </c>
      <c r="Q21" s="6">
        <v>9944.5668469872999</v>
      </c>
      <c r="R21" s="6">
        <v>90.622719923812411</v>
      </c>
      <c r="S21" s="6">
        <v>434.10640573838509</v>
      </c>
      <c r="T21" s="6">
        <v>130004.99052070582</v>
      </c>
      <c r="U21" s="11">
        <v>7.9832883423599649E-2</v>
      </c>
    </row>
    <row r="22" spans="1:21" x14ac:dyDescent="0.55000000000000004">
      <c r="A22" s="3">
        <v>210018</v>
      </c>
      <c r="B22" s="6">
        <v>10646.445858134</v>
      </c>
      <c r="C22" s="6">
        <v>10671.539621878999</v>
      </c>
      <c r="D22" s="6">
        <v>10547.611450950491</v>
      </c>
      <c r="E22" s="6">
        <v>725.48452549700005</v>
      </c>
      <c r="F22" s="6">
        <v>625.57521116800001</v>
      </c>
      <c r="G22" s="6">
        <v>257.07134220733542</v>
      </c>
      <c r="H22" s="6">
        <v>1305.8923</v>
      </c>
      <c r="I22" s="6">
        <v>1224.70696</v>
      </c>
      <c r="J22" s="6">
        <v>1180.7819547198708</v>
      </c>
      <c r="K22" s="6">
        <v>136647.49548472499</v>
      </c>
      <c r="L22" s="6">
        <v>141184.71542134701</v>
      </c>
      <c r="M22" s="6">
        <v>135512.71171169318</v>
      </c>
      <c r="N22" s="12">
        <v>8.7468402664358236E-2</v>
      </c>
      <c r="O22" s="12">
        <v>8.4260159085749714E-2</v>
      </c>
      <c r="P22" s="11">
        <v>8.6548289511192311E-2</v>
      </c>
      <c r="Q22" s="6">
        <v>31865.596930963489</v>
      </c>
      <c r="R22" s="6">
        <v>1608.1310788723354</v>
      </c>
      <c r="S22" s="6">
        <v>3711.3812147198705</v>
      </c>
      <c r="T22" s="6">
        <v>413344.92261776514</v>
      </c>
      <c r="U22" s="11">
        <v>8.6070920916047317E-2</v>
      </c>
    </row>
    <row r="23" spans="1:21" x14ac:dyDescent="0.55000000000000004">
      <c r="A23" s="3">
        <v>210019</v>
      </c>
      <c r="B23" s="6">
        <v>22363.8</v>
      </c>
      <c r="C23" s="6">
        <v>26141.200000000001</v>
      </c>
      <c r="D23" s="6">
        <v>28666.3</v>
      </c>
      <c r="E23" s="6">
        <v>1557.9</v>
      </c>
      <c r="F23" s="6">
        <v>1713.3</v>
      </c>
      <c r="G23" s="6">
        <v>1823.5</v>
      </c>
      <c r="H23" s="6">
        <v>4886.5</v>
      </c>
      <c r="I23" s="6">
        <v>5319.8</v>
      </c>
      <c r="J23" s="6">
        <v>5215</v>
      </c>
      <c r="K23" s="6">
        <v>329763.09999999998</v>
      </c>
      <c r="L23" s="6">
        <v>350623</v>
      </c>
      <c r="M23" s="6">
        <v>336127.3</v>
      </c>
      <c r="N23" s="12">
        <v>8.2635989290493692E-2</v>
      </c>
      <c r="O23" s="12">
        <v>8.9728854068329797E-2</v>
      </c>
      <c r="P23" s="11">
        <v>0.10079901275498897</v>
      </c>
      <c r="Q23" s="6">
        <v>77171.3</v>
      </c>
      <c r="R23" s="6">
        <v>5094.7</v>
      </c>
      <c r="S23" s="6">
        <v>15421.3</v>
      </c>
      <c r="T23" s="6">
        <v>1016513.3999999999</v>
      </c>
      <c r="U23" s="11">
        <v>9.1088420477290322E-2</v>
      </c>
    </row>
    <row r="24" spans="1:21" x14ac:dyDescent="0.55000000000000004">
      <c r="A24" s="3">
        <v>210023</v>
      </c>
      <c r="B24" s="6">
        <v>27686.333569999999</v>
      </c>
      <c r="C24" s="6">
        <v>27994.498695127</v>
      </c>
      <c r="D24" s="6">
        <v>28192.2</v>
      </c>
      <c r="E24" s="6">
        <v>4921.7</v>
      </c>
      <c r="F24" s="6">
        <v>5732.5500883220002</v>
      </c>
      <c r="G24" s="6">
        <v>8767.9</v>
      </c>
      <c r="H24" s="6">
        <v>12121.5</v>
      </c>
      <c r="I24" s="6">
        <v>12252.196847169</v>
      </c>
      <c r="J24" s="6">
        <v>11219.2</v>
      </c>
      <c r="K24" s="6">
        <v>451531.23181783903</v>
      </c>
      <c r="L24" s="6">
        <v>477719.12035751698</v>
      </c>
      <c r="M24" s="6">
        <v>490791.24029583234</v>
      </c>
      <c r="N24" s="12">
        <v>8.8161860719436685E-2</v>
      </c>
      <c r="O24" s="12">
        <v>8.4247612932419474E-2</v>
      </c>
      <c r="P24" s="11">
        <v>8.0301759208750642E-2</v>
      </c>
      <c r="Q24" s="6">
        <v>83873.032265126996</v>
      </c>
      <c r="R24" s="6">
        <v>19422.150088322</v>
      </c>
      <c r="S24" s="6">
        <v>35592.896847169002</v>
      </c>
      <c r="T24" s="6">
        <v>1420041.5924711884</v>
      </c>
      <c r="U24" s="11">
        <v>8.4128471831869861E-2</v>
      </c>
    </row>
    <row r="25" spans="1:21" x14ac:dyDescent="0.55000000000000004">
      <c r="A25" s="3">
        <v>210027</v>
      </c>
      <c r="B25" s="6">
        <v>23798.799999999999</v>
      </c>
      <c r="C25" s="6">
        <v>23259.8</v>
      </c>
      <c r="D25" s="6">
        <v>22676.400000000001</v>
      </c>
      <c r="E25" s="6">
        <v>2409.4</v>
      </c>
      <c r="F25" s="6">
        <v>2023.6</v>
      </c>
      <c r="G25" s="6">
        <v>2092.6999999999998</v>
      </c>
      <c r="H25" s="6">
        <v>11949.3</v>
      </c>
      <c r="I25" s="6">
        <v>11387.8</v>
      </c>
      <c r="J25" s="6">
        <v>10798.1</v>
      </c>
      <c r="K25" s="6">
        <v>237078.72064000001</v>
      </c>
      <c r="L25" s="6">
        <v>243710.7</v>
      </c>
      <c r="M25" s="6">
        <v>243235.97888999997</v>
      </c>
      <c r="N25" s="12">
        <v>0.15078578078832675</v>
      </c>
      <c r="O25" s="12">
        <v>0.14216692168214196</v>
      </c>
      <c r="P25" s="11">
        <v>0.13762149889485867</v>
      </c>
      <c r="Q25" s="6">
        <v>69735</v>
      </c>
      <c r="R25" s="6">
        <v>6525.7</v>
      </c>
      <c r="S25" s="6">
        <v>34135.199999999997</v>
      </c>
      <c r="T25" s="6">
        <v>724025.39953000005</v>
      </c>
      <c r="U25" s="11">
        <v>0.14346209410253724</v>
      </c>
    </row>
    <row r="26" spans="1:21" x14ac:dyDescent="0.55000000000000004">
      <c r="A26" s="3">
        <v>210028</v>
      </c>
      <c r="B26" s="6">
        <v>7356.6857130349999</v>
      </c>
      <c r="C26" s="6">
        <v>8263.1438814949997</v>
      </c>
      <c r="D26" s="6">
        <v>8262.3919236014044</v>
      </c>
      <c r="E26" s="6">
        <v>848.12400412199997</v>
      </c>
      <c r="F26" s="6">
        <v>1073.646480574</v>
      </c>
      <c r="G26" s="6">
        <v>1033.6736875606662</v>
      </c>
      <c r="H26" s="6">
        <v>816.22059999999999</v>
      </c>
      <c r="I26" s="6">
        <v>757.08295999999996</v>
      </c>
      <c r="J26" s="6">
        <v>726.36320999999998</v>
      </c>
      <c r="K26" s="6">
        <v>130856.639958449</v>
      </c>
      <c r="L26" s="6">
        <v>150392.67862219299</v>
      </c>
      <c r="M26" s="6">
        <v>142378.61044053364</v>
      </c>
      <c r="N26" s="12">
        <v>6.2456947661426641E-2</v>
      </c>
      <c r="O26" s="12">
        <v>5.9977832193248211E-2</v>
      </c>
      <c r="P26" s="12">
        <v>6.3132763452243973E-2</v>
      </c>
      <c r="Q26" s="6">
        <v>23882.221518131402</v>
      </c>
      <c r="R26" s="6">
        <v>2955.4441722566662</v>
      </c>
      <c r="S26" s="6">
        <v>2299.6667699999998</v>
      </c>
      <c r="T26" s="6">
        <v>423627.9290211756</v>
      </c>
      <c r="U26" s="11">
        <v>6.1803971113582233E-2</v>
      </c>
    </row>
    <row r="27" spans="1:21" x14ac:dyDescent="0.55000000000000004">
      <c r="A27" s="3">
        <v>210030</v>
      </c>
      <c r="B27" s="6">
        <v>3634.0027574269998</v>
      </c>
      <c r="C27" s="6">
        <v>3733.5220181760001</v>
      </c>
      <c r="D27" s="6">
        <v>3595.8461178777839</v>
      </c>
      <c r="E27" s="6">
        <v>113.2</v>
      </c>
      <c r="F27" s="6">
        <v>119.43736</v>
      </c>
      <c r="G27" s="6">
        <v>74.501089999999962</v>
      </c>
      <c r="H27" s="6">
        <v>193</v>
      </c>
      <c r="I27" s="6">
        <v>187.06229999999999</v>
      </c>
      <c r="J27" s="6">
        <v>136.61150000000001</v>
      </c>
      <c r="K27" s="6">
        <v>42567.688396808</v>
      </c>
      <c r="L27" s="6">
        <v>41001.662400453999</v>
      </c>
      <c r="M27" s="6">
        <v>40471.707732355731</v>
      </c>
      <c r="N27" s="12">
        <v>8.9903936566918988E-2</v>
      </c>
      <c r="O27" s="12">
        <v>9.5620130712860768E-2</v>
      </c>
      <c r="P27" s="12">
        <v>9.2223872601595536E-2</v>
      </c>
      <c r="Q27" s="6">
        <v>10963.370893480784</v>
      </c>
      <c r="R27" s="6">
        <v>307.13844999999998</v>
      </c>
      <c r="S27" s="6">
        <v>516.67380000000003</v>
      </c>
      <c r="T27" s="6">
        <v>124041.05852961773</v>
      </c>
      <c r="U27" s="11">
        <v>9.2550360578708316E-2</v>
      </c>
    </row>
    <row r="28" spans="1:21" x14ac:dyDescent="0.55000000000000004">
      <c r="A28" s="3">
        <v>210032</v>
      </c>
      <c r="B28" s="6">
        <v>11055.6</v>
      </c>
      <c r="C28" s="6">
        <v>11122.6</v>
      </c>
      <c r="D28" s="6">
        <v>11873</v>
      </c>
      <c r="E28" s="6">
        <v>797.6</v>
      </c>
      <c r="F28" s="6">
        <v>638.29999999999995</v>
      </c>
      <c r="G28" s="6">
        <v>608.20000000000005</v>
      </c>
      <c r="H28" s="6">
        <v>1842.6</v>
      </c>
      <c r="I28" s="6">
        <v>1777.1</v>
      </c>
      <c r="J28" s="6">
        <v>1881.5</v>
      </c>
      <c r="K28" s="6">
        <v>121512.4</v>
      </c>
      <c r="L28" s="6">
        <v>123418.3</v>
      </c>
      <c r="M28" s="6">
        <v>127785.2</v>
      </c>
      <c r="N28" s="12">
        <v>0.10614719156234262</v>
      </c>
      <c r="O28" s="12">
        <v>0.10452015624911379</v>
      </c>
      <c r="P28" s="12">
        <v>0.10763766069936112</v>
      </c>
      <c r="Q28" s="6">
        <v>34051.199999999997</v>
      </c>
      <c r="R28" s="6">
        <v>2044.1000000000001</v>
      </c>
      <c r="S28" s="6">
        <v>5501.2</v>
      </c>
      <c r="T28" s="6">
        <v>372715.9</v>
      </c>
      <c r="U28" s="11">
        <v>0.10611943305879892</v>
      </c>
    </row>
    <row r="29" spans="1:21" x14ac:dyDescent="0.55000000000000004">
      <c r="A29" s="3">
        <v>210033</v>
      </c>
      <c r="B29" s="6">
        <v>14977.7</v>
      </c>
      <c r="C29" s="6">
        <v>13103.1</v>
      </c>
      <c r="D29" s="6">
        <v>12532.572</v>
      </c>
      <c r="E29" s="6">
        <v>3723.9</v>
      </c>
      <c r="F29" s="6">
        <v>4194.2</v>
      </c>
      <c r="G29" s="6">
        <v>3913.3029999999999</v>
      </c>
      <c r="H29" s="6">
        <v>5694.7</v>
      </c>
      <c r="I29" s="6">
        <v>6327.7</v>
      </c>
      <c r="J29" s="6">
        <v>7204.2660000000005</v>
      </c>
      <c r="K29" s="6">
        <v>199462.258</v>
      </c>
      <c r="L29" s="6">
        <v>181791.952671768</v>
      </c>
      <c r="M29" s="6">
        <v>179887.65855999998</v>
      </c>
      <c r="N29" s="12">
        <v>0.10364065967808307</v>
      </c>
      <c r="O29" s="12">
        <v>0.10688481923665244</v>
      </c>
      <c r="P29" s="12">
        <v>0.10971757683652848</v>
      </c>
      <c r="Q29" s="6">
        <v>40613.372000000003</v>
      </c>
      <c r="R29" s="6">
        <v>11831.403</v>
      </c>
      <c r="S29" s="6">
        <v>19226.666000000001</v>
      </c>
      <c r="T29" s="6">
        <v>561141.86923176795</v>
      </c>
      <c r="U29" s="11">
        <v>0.10663976666350719</v>
      </c>
    </row>
    <row r="30" spans="1:21" x14ac:dyDescent="0.55000000000000004">
      <c r="A30" s="3">
        <v>210035</v>
      </c>
      <c r="B30" s="6">
        <v>4628.1959399999996</v>
      </c>
      <c r="C30" s="6">
        <v>5543.35448</v>
      </c>
      <c r="D30" s="6">
        <v>5892.0348300000005</v>
      </c>
      <c r="E30" s="6">
        <v>904.97457999999995</v>
      </c>
      <c r="F30" s="6">
        <v>682.97950000000003</v>
      </c>
      <c r="G30" s="6">
        <v>823.94868000000019</v>
      </c>
      <c r="H30" s="6">
        <v>1874.20317</v>
      </c>
      <c r="I30" s="6">
        <v>1887.3936799999999</v>
      </c>
      <c r="J30" s="6">
        <v>1749.5144100000002</v>
      </c>
      <c r="K30" s="6">
        <v>109027.756859414</v>
      </c>
      <c r="L30" s="6">
        <v>111584.661823849</v>
      </c>
      <c r="M30" s="6">
        <v>113933.07404497603</v>
      </c>
      <c r="N30" s="12">
        <v>5.9639850413363338E-2</v>
      </c>
      <c r="O30" s="12">
        <v>6.6592917328820778E-2</v>
      </c>
      <c r="P30" s="12">
        <v>6.7070508753089855E-2</v>
      </c>
      <c r="Q30" s="6">
        <v>16063.58525</v>
      </c>
      <c r="R30" s="6">
        <v>2411.9027599999999</v>
      </c>
      <c r="S30" s="6">
        <v>5511.1112599999997</v>
      </c>
      <c r="T30" s="6">
        <v>334545.49272823904</v>
      </c>
      <c r="U30" s="11">
        <v>6.4489574598829674E-2</v>
      </c>
    </row>
    <row r="31" spans="1:21" x14ac:dyDescent="0.55000000000000004">
      <c r="A31" s="3">
        <v>210037</v>
      </c>
      <c r="B31" s="6">
        <v>8982.8610000000008</v>
      </c>
      <c r="C31" s="6">
        <v>11890.835999999999</v>
      </c>
      <c r="D31" s="6">
        <v>12220.862359999996</v>
      </c>
      <c r="E31" s="6">
        <v>858.77300000000002</v>
      </c>
      <c r="F31" s="6">
        <v>375.16568000000001</v>
      </c>
      <c r="G31" s="6">
        <v>314.07208000000003</v>
      </c>
      <c r="H31" s="6">
        <v>2838.4</v>
      </c>
      <c r="I31" s="6">
        <v>2106.7449999999999</v>
      </c>
      <c r="J31" s="6">
        <v>2160.7600000000002</v>
      </c>
      <c r="K31" s="6">
        <v>146753.32399999999</v>
      </c>
      <c r="L31" s="6">
        <v>158069.63816999999</v>
      </c>
      <c r="M31" s="6">
        <v>156724.7810701108</v>
      </c>
      <c r="N31" s="12">
        <v>8.0551913086479743E-2</v>
      </c>
      <c r="O31" s="12">
        <v>8.8553255147873156E-2</v>
      </c>
      <c r="P31" s="12">
        <v>9.1763550485142356E-2</v>
      </c>
      <c r="Q31" s="6">
        <v>33094.559359999999</v>
      </c>
      <c r="R31" s="6">
        <v>1548.0107600000001</v>
      </c>
      <c r="S31" s="6">
        <v>7105.9050000000007</v>
      </c>
      <c r="T31" s="6">
        <v>461547.74324011075</v>
      </c>
      <c r="U31" s="11">
        <v>8.7099254516529029E-2</v>
      </c>
    </row>
    <row r="32" spans="1:21" x14ac:dyDescent="0.55000000000000004">
      <c r="A32" s="3">
        <v>210039</v>
      </c>
      <c r="B32" s="6">
        <v>8404.0392551669993</v>
      </c>
      <c r="C32" s="6">
        <v>9668.6007868640008</v>
      </c>
      <c r="D32" s="6">
        <v>10899.197279722744</v>
      </c>
      <c r="E32" s="6">
        <v>1843.3865900000001</v>
      </c>
      <c r="F32" s="6">
        <v>1762.5289600000001</v>
      </c>
      <c r="G32" s="6">
        <v>1865.0152399999995</v>
      </c>
      <c r="H32" s="6">
        <v>2311.112845266</v>
      </c>
      <c r="I32" s="6">
        <v>2437.1413601730001</v>
      </c>
      <c r="J32" s="6">
        <v>2477.5455203885494</v>
      </c>
      <c r="K32" s="6">
        <v>111787.05307937101</v>
      </c>
      <c r="L32" s="6">
        <v>115443.141057963</v>
      </c>
      <c r="M32" s="6">
        <v>115202.02381054671</v>
      </c>
      <c r="N32" s="12">
        <v>9.5853247807015984E-2</v>
      </c>
      <c r="O32" s="12">
        <v>0.10486324294449692</v>
      </c>
      <c r="P32" s="12">
        <v>0.1161155191345402</v>
      </c>
      <c r="Q32" s="6">
        <v>28971.837321753745</v>
      </c>
      <c r="R32" s="6">
        <v>5470.9307899999994</v>
      </c>
      <c r="S32" s="6">
        <v>7225.7997258275491</v>
      </c>
      <c r="T32" s="6">
        <v>342432.21794788074</v>
      </c>
      <c r="U32" s="11">
        <v>0.1057074514323027</v>
      </c>
    </row>
    <row r="33" spans="1:21" x14ac:dyDescent="0.55000000000000004">
      <c r="A33" s="3">
        <v>210040</v>
      </c>
      <c r="B33" s="6">
        <v>12707.17727</v>
      </c>
      <c r="C33" s="6">
        <v>12857.866</v>
      </c>
      <c r="D33" s="6">
        <v>13272.137569693368</v>
      </c>
      <c r="E33" s="6">
        <v>2408.0127000000002</v>
      </c>
      <c r="F33" s="6">
        <v>2709.1</v>
      </c>
      <c r="G33" s="6">
        <v>2345.2000999999996</v>
      </c>
      <c r="H33" s="6">
        <v>5374.9000299999998</v>
      </c>
      <c r="I33" s="6">
        <v>5200</v>
      </c>
      <c r="J33" s="6">
        <v>4245.4004299999997</v>
      </c>
      <c r="K33" s="6">
        <v>181171.17724380901</v>
      </c>
      <c r="L33" s="6">
        <v>182564.91254001</v>
      </c>
      <c r="M33" s="6">
        <v>188597.85638969345</v>
      </c>
      <c r="N33" s="12">
        <v>9.9806589409452556E-2</v>
      </c>
      <c r="O33" s="12">
        <v>9.8912029418810318E-2</v>
      </c>
      <c r="P33" s="12">
        <v>9.28830175222006E-2</v>
      </c>
      <c r="Q33" s="6">
        <v>38837.18083969337</v>
      </c>
      <c r="R33" s="6">
        <v>7462.3127999999997</v>
      </c>
      <c r="S33" s="6">
        <v>14820.30046</v>
      </c>
      <c r="T33" s="6">
        <v>552333.94617351249</v>
      </c>
      <c r="U33" s="11">
        <v>9.7146810677533807E-2</v>
      </c>
    </row>
    <row r="34" spans="1:21" x14ac:dyDescent="0.55000000000000004">
      <c r="A34" s="3">
        <v>210045</v>
      </c>
      <c r="B34" s="6">
        <v>841.2</v>
      </c>
      <c r="C34" s="6">
        <v>785.1</v>
      </c>
      <c r="D34" s="6">
        <v>668.7</v>
      </c>
      <c r="E34" s="6">
        <v>478.6</v>
      </c>
      <c r="F34" s="6">
        <v>450.9</v>
      </c>
      <c r="G34" s="6">
        <v>431</v>
      </c>
      <c r="H34" s="6">
        <v>90.9</v>
      </c>
      <c r="I34" s="6">
        <v>91.1</v>
      </c>
      <c r="J34" s="6">
        <v>86.1</v>
      </c>
      <c r="K34" s="6">
        <v>14666.428739477</v>
      </c>
      <c r="L34" s="6">
        <v>14801.907815015</v>
      </c>
      <c r="M34" s="6">
        <v>15791.553407320269</v>
      </c>
      <c r="N34" s="12">
        <v>6.3553303708564463E-2</v>
      </c>
      <c r="O34" s="12">
        <v>5.9195072077883507E-2</v>
      </c>
      <c r="P34" s="12">
        <v>4.7797704287287406E-2</v>
      </c>
      <c r="Q34" s="6">
        <v>2295</v>
      </c>
      <c r="R34" s="6">
        <v>1360.5</v>
      </c>
      <c r="S34" s="6">
        <v>268.10000000000002</v>
      </c>
      <c r="T34" s="6">
        <v>45259.889961812267</v>
      </c>
      <c r="U34" s="11">
        <v>5.6630716560791432E-2</v>
      </c>
    </row>
    <row r="35" spans="1:21" x14ac:dyDescent="0.55000000000000004">
      <c r="A35" s="3">
        <v>210048</v>
      </c>
      <c r="B35" s="6">
        <v>13527.394</v>
      </c>
      <c r="C35" s="6">
        <v>12791.679</v>
      </c>
      <c r="D35" s="6">
        <v>12832.641</v>
      </c>
      <c r="E35" s="6">
        <v>1164.5740000000001</v>
      </c>
      <c r="F35" s="6">
        <v>1185.2570000000001</v>
      </c>
      <c r="G35" s="6">
        <v>1091.586</v>
      </c>
      <c r="H35" s="6">
        <v>7886.5640000000003</v>
      </c>
      <c r="I35" s="6">
        <v>9264.3580000000002</v>
      </c>
      <c r="J35" s="6">
        <v>10224.862999999999</v>
      </c>
      <c r="K35" s="6">
        <v>242053.37599999999</v>
      </c>
      <c r="L35" s="6">
        <v>247289.799</v>
      </c>
      <c r="M35" s="6">
        <v>249730.78000000009</v>
      </c>
      <c r="N35" s="12">
        <v>8.8467917092798568E-2</v>
      </c>
      <c r="O35" s="12">
        <v>8.9191050699183913E-2</v>
      </c>
      <c r="P35" s="12">
        <v>9.232944373136541E-2</v>
      </c>
      <c r="Q35" s="6">
        <v>39151.714</v>
      </c>
      <c r="R35" s="6">
        <v>3441.4170000000004</v>
      </c>
      <c r="S35" s="6">
        <v>27375.784999999996</v>
      </c>
      <c r="T35" s="6">
        <v>739073.95500000007</v>
      </c>
      <c r="U35" s="11">
        <v>9.001467112990065E-2</v>
      </c>
    </row>
    <row r="36" spans="1:21" x14ac:dyDescent="0.55000000000000004">
      <c r="A36" s="3">
        <v>210049</v>
      </c>
      <c r="B36" s="6">
        <v>13650.471</v>
      </c>
      <c r="C36" s="6">
        <v>16128.834450202001</v>
      </c>
      <c r="D36" s="6">
        <v>17250.968698389359</v>
      </c>
      <c r="E36" s="6">
        <v>850.5</v>
      </c>
      <c r="F36" s="6">
        <v>387.99200000000002</v>
      </c>
      <c r="G36" s="6">
        <v>603.69399999999996</v>
      </c>
      <c r="H36" s="6">
        <v>7321</v>
      </c>
      <c r="I36" s="6">
        <v>6905.8329999999996</v>
      </c>
      <c r="J36" s="6">
        <v>6740.9580000000005</v>
      </c>
      <c r="K36" s="6">
        <v>248188.771087734</v>
      </c>
      <c r="L36" s="6">
        <v>271742.557607772</v>
      </c>
      <c r="M36" s="6">
        <v>250715.05957581103</v>
      </c>
      <c r="N36" s="12">
        <v>8.449806535601341E-2</v>
      </c>
      <c r="O36" s="12">
        <v>8.4766507141843403E-2</v>
      </c>
      <c r="P36" s="12">
        <v>9.5693999151792872E-2</v>
      </c>
      <c r="Q36" s="6">
        <v>47030.274148591358</v>
      </c>
      <c r="R36" s="6">
        <v>1842.1859999999999</v>
      </c>
      <c r="S36" s="6">
        <v>20967.790999999997</v>
      </c>
      <c r="T36" s="6">
        <v>770646.388271317</v>
      </c>
      <c r="U36" s="11">
        <v>8.8235105209695311E-2</v>
      </c>
    </row>
    <row r="37" spans="1:21" x14ac:dyDescent="0.55000000000000004">
      <c r="A37" s="3">
        <v>210051</v>
      </c>
      <c r="B37" s="6">
        <v>8505.5793090509997</v>
      </c>
      <c r="C37" s="6">
        <v>8588.9377829959994</v>
      </c>
      <c r="D37" s="6">
        <v>8406.3333869675571</v>
      </c>
      <c r="E37" s="6">
        <v>1143.9000000000001</v>
      </c>
      <c r="F37" s="6">
        <v>1370</v>
      </c>
      <c r="G37" s="6">
        <v>1351.1</v>
      </c>
      <c r="H37" s="6">
        <v>7459.9030000000002</v>
      </c>
      <c r="I37" s="6">
        <v>5660.47</v>
      </c>
      <c r="J37" s="6">
        <v>4523.6949538127683</v>
      </c>
      <c r="K37" s="6">
        <v>179480.07932201101</v>
      </c>
      <c r="L37" s="6">
        <v>186006.52902580399</v>
      </c>
      <c r="M37" s="6">
        <v>185981.67122983653</v>
      </c>
      <c r="N37" s="12">
        <v>8.8954063143725337E-2</v>
      </c>
      <c r="O37" s="12">
        <v>7.6607030181285909E-2</v>
      </c>
      <c r="P37" s="12">
        <v>6.952313233491364E-2</v>
      </c>
      <c r="Q37" s="6">
        <v>25500.850479014553</v>
      </c>
      <c r="R37" s="6">
        <v>3865</v>
      </c>
      <c r="S37" s="6">
        <v>17644.067953812766</v>
      </c>
      <c r="T37" s="6">
        <v>551468.27957765153</v>
      </c>
      <c r="U37" s="11">
        <v>7.8236446284581165E-2</v>
      </c>
    </row>
    <row r="38" spans="1:21" x14ac:dyDescent="0.55000000000000004">
      <c r="A38" s="3">
        <v>210055</v>
      </c>
      <c r="B38" s="6">
        <v>3944.7326800000001</v>
      </c>
      <c r="C38" s="6">
        <v>3631.4562799999999</v>
      </c>
      <c r="D38" s="6">
        <v>4295.8161800000007</v>
      </c>
      <c r="E38" s="6">
        <v>468.73844000000003</v>
      </c>
      <c r="F38" s="6">
        <v>313.53269999999998</v>
      </c>
      <c r="G38" s="6">
        <v>235.65047000000004</v>
      </c>
      <c r="H38" s="6">
        <v>64.368170000000006</v>
      </c>
      <c r="I38" s="6">
        <v>50.968380000000003</v>
      </c>
      <c r="J38" s="6">
        <v>35.594781282457724</v>
      </c>
      <c r="K38" s="6">
        <v>85066.992440000002</v>
      </c>
      <c r="L38" s="6">
        <v>81820.566999999995</v>
      </c>
      <c r="M38" s="6">
        <v>78918.3</v>
      </c>
      <c r="N38" s="12">
        <v>4.712874800208465E-2</v>
      </c>
      <c r="O38" s="12">
        <v>4.5006100483268467E-2</v>
      </c>
      <c r="P38" s="12">
        <v>5.488474740690636E-2</v>
      </c>
      <c r="Q38" s="6">
        <v>11872.005140000001</v>
      </c>
      <c r="R38" s="6">
        <v>1017.9216100000001</v>
      </c>
      <c r="S38" s="6">
        <v>150.93133128245773</v>
      </c>
      <c r="T38" s="6">
        <v>245805.85943999997</v>
      </c>
      <c r="U38" s="11">
        <v>4.8912326576239326E-2</v>
      </c>
    </row>
    <row r="39" spans="1:21" x14ac:dyDescent="0.55000000000000004">
      <c r="A39" s="3">
        <v>210057</v>
      </c>
      <c r="B39" s="6">
        <v>19532.962</v>
      </c>
      <c r="C39" s="6">
        <v>19655.205999999998</v>
      </c>
      <c r="D39" s="6">
        <v>20230.631999999998</v>
      </c>
      <c r="E39" s="6">
        <v>4276.5159999999996</v>
      </c>
      <c r="F39" s="6">
        <v>4300.3360000000002</v>
      </c>
      <c r="G39" s="6">
        <v>4324.4719999999998</v>
      </c>
      <c r="H39" s="6">
        <v>6055.4</v>
      </c>
      <c r="I39" s="6">
        <v>6107.4</v>
      </c>
      <c r="J39" s="6">
        <v>6442.6</v>
      </c>
      <c r="K39" s="6">
        <v>302300.89357000001</v>
      </c>
      <c r="L39" s="6">
        <v>307385.31033000001</v>
      </c>
      <c r="M39" s="6">
        <v>320390.26368999999</v>
      </c>
      <c r="N39" s="12">
        <v>8.4645340269478314E-2</v>
      </c>
      <c r="O39" s="12">
        <v>8.3812092296609783E-2</v>
      </c>
      <c r="P39" s="12">
        <v>8.3252317635370512E-2</v>
      </c>
      <c r="Q39" s="6">
        <v>59418.799999999996</v>
      </c>
      <c r="R39" s="6">
        <v>12901.323999999999</v>
      </c>
      <c r="S39" s="6">
        <v>18605.400000000001</v>
      </c>
      <c r="T39" s="6">
        <v>930076.46759000001</v>
      </c>
      <c r="U39" s="11">
        <v>8.3890091534274722E-2</v>
      </c>
    </row>
    <row r="40" spans="1:21" x14ac:dyDescent="0.55000000000000004">
      <c r="A40" s="3">
        <v>210060</v>
      </c>
      <c r="B40" s="6">
        <v>956.1</v>
      </c>
      <c r="C40" s="6">
        <v>938.80000000000007</v>
      </c>
      <c r="D40" s="6">
        <v>905.80000000000007</v>
      </c>
      <c r="E40" s="6">
        <v>806.07799999999997</v>
      </c>
      <c r="F40" s="6">
        <v>531.03699999999992</v>
      </c>
      <c r="G40" s="6">
        <v>1367.0339399999998</v>
      </c>
      <c r="H40" s="6">
        <v>532.86199999999997</v>
      </c>
      <c r="I40" s="6">
        <v>501.78868</v>
      </c>
      <c r="J40" s="6">
        <v>449.70173999999997</v>
      </c>
      <c r="K40" s="6">
        <v>41672.697530204001</v>
      </c>
      <c r="L40" s="6">
        <v>40958.068017034908</v>
      </c>
      <c r="M40" s="6">
        <v>43086.29749471182</v>
      </c>
      <c r="N40" s="12">
        <v>3.5729916425996024E-2</v>
      </c>
      <c r="O40" s="12">
        <v>3.5172281060738594E-2</v>
      </c>
      <c r="P40" s="12">
        <v>3.1460158305929332E-2</v>
      </c>
      <c r="Q40" s="6">
        <v>2800.7000000000003</v>
      </c>
      <c r="R40" s="6">
        <v>2704.1489399999996</v>
      </c>
      <c r="S40" s="6">
        <v>1484.3524199999999</v>
      </c>
      <c r="T40" s="6">
        <v>125717.06304195072</v>
      </c>
      <c r="U40" s="11">
        <v>3.4084891233659459E-2</v>
      </c>
    </row>
    <row r="41" spans="1:21" x14ac:dyDescent="0.55000000000000004">
      <c r="A41" s="3">
        <v>210061</v>
      </c>
      <c r="B41" s="6">
        <v>6021</v>
      </c>
      <c r="C41" s="6">
        <v>6083.8</v>
      </c>
      <c r="D41" s="6">
        <v>5957.8</v>
      </c>
      <c r="E41" s="6">
        <v>520.20000000000005</v>
      </c>
      <c r="F41" s="6">
        <v>579.9</v>
      </c>
      <c r="G41" s="6">
        <v>584.20000000000005</v>
      </c>
      <c r="H41" s="6">
        <v>805.8</v>
      </c>
      <c r="I41" s="6">
        <v>825.5</v>
      </c>
      <c r="J41" s="6">
        <v>1055.2</v>
      </c>
      <c r="K41" s="6">
        <v>75484.545841029001</v>
      </c>
      <c r="L41" s="6">
        <v>77717.176377975004</v>
      </c>
      <c r="M41" s="6">
        <v>80493.526714158113</v>
      </c>
      <c r="N41" s="12">
        <v>9.0439704232668894E-2</v>
      </c>
      <c r="O41" s="12">
        <v>8.890312697925154E-2</v>
      </c>
      <c r="P41" s="12">
        <v>8.712501844904845E-2</v>
      </c>
      <c r="Q41" s="6">
        <v>18062.599999999999</v>
      </c>
      <c r="R41" s="6">
        <v>1684.3</v>
      </c>
      <c r="S41" s="6">
        <v>2686.5</v>
      </c>
      <c r="T41" s="6">
        <v>233695.24893316213</v>
      </c>
      <c r="U41" s="11">
        <v>8.878699971317916E-2</v>
      </c>
    </row>
    <row r="42" spans="1:21" x14ac:dyDescent="0.55000000000000004">
      <c r="A42" s="3">
        <v>210062</v>
      </c>
      <c r="B42" s="6">
        <v>11412.186023304001</v>
      </c>
      <c r="C42" s="6">
        <v>12352.292186995001</v>
      </c>
      <c r="D42" s="6">
        <v>11586.389800818466</v>
      </c>
      <c r="E42" s="6">
        <v>1035.3395130009999</v>
      </c>
      <c r="F42" s="6">
        <v>1407.3090355899999</v>
      </c>
      <c r="G42" s="6">
        <v>1430.9207690745322</v>
      </c>
      <c r="H42" s="6">
        <v>5822.8819800000001</v>
      </c>
      <c r="I42" s="6">
        <v>6302.7910099999999</v>
      </c>
      <c r="J42" s="6">
        <v>6545.8647999999994</v>
      </c>
      <c r="K42" s="6">
        <v>210251.91671708901</v>
      </c>
      <c r="L42" s="6">
        <v>212389.11538481299</v>
      </c>
      <c r="M42" s="6">
        <v>214662.79034177435</v>
      </c>
      <c r="N42" s="12">
        <v>8.1973416805969868E-2</v>
      </c>
      <c r="O42" s="12">
        <v>8.7834459704750692E-2</v>
      </c>
      <c r="P42" s="12">
        <v>8.4468549821556313E-2</v>
      </c>
      <c r="Q42" s="6">
        <v>35350.868011117462</v>
      </c>
      <c r="R42" s="6">
        <v>3873.5693176655323</v>
      </c>
      <c r="S42" s="6">
        <v>18671.537789999998</v>
      </c>
      <c r="T42" s="6">
        <v>637303.82244367641</v>
      </c>
      <c r="U42" s="11">
        <v>8.4767114049267844E-2</v>
      </c>
    </row>
    <row r="43" spans="1:21" x14ac:dyDescent="0.55000000000000004">
      <c r="A43" s="3">
        <v>210063</v>
      </c>
      <c r="B43" s="6">
        <v>16648.314077373001</v>
      </c>
      <c r="C43" s="6">
        <v>18698.575852171001</v>
      </c>
      <c r="D43" s="6">
        <v>20881.583214282753</v>
      </c>
      <c r="E43" s="6">
        <v>1504.31753</v>
      </c>
      <c r="F43" s="6">
        <v>725.78165999999999</v>
      </c>
      <c r="G43" s="6">
        <v>400.2643400000004</v>
      </c>
      <c r="H43" s="6">
        <v>9684.6</v>
      </c>
      <c r="I43" s="6">
        <v>9619.6</v>
      </c>
      <c r="J43" s="6">
        <v>9009.1976699999996</v>
      </c>
      <c r="K43" s="6">
        <v>301275.91316496697</v>
      </c>
      <c r="L43" s="6">
        <v>313497.76583559101</v>
      </c>
      <c r="M43" s="6">
        <v>311529.00931557099</v>
      </c>
      <c r="N43" s="12">
        <v>8.7404644469384188E-2</v>
      </c>
      <c r="O43" s="12">
        <v>9.0329753313208694E-2</v>
      </c>
      <c r="P43" s="12">
        <v>9.5948627545000623E-2</v>
      </c>
      <c r="Q43" s="6">
        <v>56228.473143826763</v>
      </c>
      <c r="R43" s="6">
        <v>2630.3635300000005</v>
      </c>
      <c r="S43" s="6">
        <v>28313.397669999998</v>
      </c>
      <c r="T43" s="6">
        <v>926302.68831612892</v>
      </c>
      <c r="U43" s="11">
        <v>9.1268083187268353E-2</v>
      </c>
    </row>
    <row r="44" spans="1:21" x14ac:dyDescent="0.55000000000000004">
      <c r="A44" s="2">
        <v>4</v>
      </c>
      <c r="B44" s="6">
        <v>144363.80370562198</v>
      </c>
      <c r="C44" s="6">
        <v>147956.16373796301</v>
      </c>
      <c r="D44" s="6">
        <v>151161.71684879943</v>
      </c>
      <c r="E44" s="6">
        <v>29350.790319413001</v>
      </c>
      <c r="F44" s="6">
        <v>32917.689438525995</v>
      </c>
      <c r="G44" s="6">
        <v>30442.573219463633</v>
      </c>
      <c r="H44" s="6">
        <v>46174.633140858998</v>
      </c>
      <c r="I44" s="6">
        <v>46549.906769173002</v>
      </c>
      <c r="J44" s="6">
        <v>45667.912477512655</v>
      </c>
      <c r="K44" s="6">
        <v>2450178.7011072063</v>
      </c>
      <c r="L44" s="6">
        <v>2519284.1664193282</v>
      </c>
      <c r="M44" s="6">
        <v>2585300.1122295992</v>
      </c>
      <c r="N44" s="12">
        <v>7.7765118421925281E-2</v>
      </c>
      <c r="O44" s="12">
        <v>7.7206880073234646E-2</v>
      </c>
      <c r="P44" s="12">
        <v>7.6134151077943316E-2</v>
      </c>
      <c r="Q44" s="6">
        <v>443481.68429238442</v>
      </c>
      <c r="R44" s="6">
        <v>92711.052977402636</v>
      </c>
      <c r="S44" s="6">
        <v>138392.45238754462</v>
      </c>
      <c r="T44" s="6">
        <v>7554762.9797561336</v>
      </c>
      <c r="U44" s="11">
        <v>7.7020832849306914E-2</v>
      </c>
    </row>
    <row r="45" spans="1:21" x14ac:dyDescent="0.55000000000000004">
      <c r="A45" s="3">
        <v>210003</v>
      </c>
      <c r="B45" s="6">
        <v>8839.07</v>
      </c>
      <c r="C45" s="6">
        <v>8904.9465600000003</v>
      </c>
      <c r="D45" s="6">
        <v>8890.4941600000002</v>
      </c>
      <c r="E45" s="6">
        <v>385.38249999999999</v>
      </c>
      <c r="F45" s="6">
        <v>307.34023999999999</v>
      </c>
      <c r="G45" s="6">
        <v>317.77562000000006</v>
      </c>
      <c r="H45" s="6">
        <v>86.366680000000002</v>
      </c>
      <c r="I45" s="6">
        <v>53.602679999999999</v>
      </c>
      <c r="J45" s="6">
        <v>66.818127245575553</v>
      </c>
      <c r="K45" s="6">
        <v>227352.247708068</v>
      </c>
      <c r="L45" s="6">
        <v>240080.73303999999</v>
      </c>
      <c r="M45" s="6">
        <v>240414.54907346723</v>
      </c>
      <c r="N45" s="12">
        <v>3.9258185348845634E-2</v>
      </c>
      <c r="O45" s="12">
        <v>3.7314736282929507E-2</v>
      </c>
      <c r="P45" s="12">
        <v>3.7257779621766358E-2</v>
      </c>
      <c r="Q45" s="6">
        <v>26634.510719999998</v>
      </c>
      <c r="R45" s="6">
        <v>1010.49836</v>
      </c>
      <c r="S45" s="6">
        <v>206.78748724557556</v>
      </c>
      <c r="T45" s="6">
        <v>707847.52982153522</v>
      </c>
      <c r="U45" s="11">
        <v>3.79196042599921E-2</v>
      </c>
    </row>
    <row r="46" spans="1:21" x14ac:dyDescent="0.55000000000000004">
      <c r="A46" s="3">
        <v>210008</v>
      </c>
      <c r="B46" s="6">
        <v>31484.52</v>
      </c>
      <c r="C46" s="6">
        <v>32902.813000000002</v>
      </c>
      <c r="D46" s="6">
        <v>33532.5</v>
      </c>
      <c r="E46" s="6">
        <v>4821.6400000000003</v>
      </c>
      <c r="F46" s="6">
        <v>4072.0920000000001</v>
      </c>
      <c r="G46" s="6">
        <v>2892.8</v>
      </c>
      <c r="H46" s="6">
        <v>16396.315999999999</v>
      </c>
      <c r="I46" s="6">
        <v>15560.8</v>
      </c>
      <c r="J46" s="6">
        <v>15801.7</v>
      </c>
      <c r="K46" s="6">
        <v>435680.49035634001</v>
      </c>
      <c r="L46" s="6">
        <v>435326.47533295798</v>
      </c>
      <c r="M46" s="6">
        <v>450635.70585682202</v>
      </c>
      <c r="N46" s="12">
        <v>0.10989896738510967</v>
      </c>
      <c r="O46" s="12">
        <v>0.11132705164080077</v>
      </c>
      <c r="P46" s="12">
        <v>0.10947689976363009</v>
      </c>
      <c r="Q46" s="6">
        <v>97919.832999999999</v>
      </c>
      <c r="R46" s="6">
        <v>11786.531999999999</v>
      </c>
      <c r="S46" s="6">
        <v>47758.815999999999</v>
      </c>
      <c r="T46" s="6">
        <v>1321642.67154612</v>
      </c>
      <c r="U46" s="11">
        <v>0.11022544303111691</v>
      </c>
    </row>
    <row r="47" spans="1:21" x14ac:dyDescent="0.55000000000000004">
      <c r="A47" s="3">
        <v>210012</v>
      </c>
      <c r="B47" s="6">
        <v>37096</v>
      </c>
      <c r="C47" s="6">
        <v>38050.400000000001</v>
      </c>
      <c r="D47" s="6">
        <v>37689.720849999998</v>
      </c>
      <c r="E47" s="6">
        <v>9522.9</v>
      </c>
      <c r="F47" s="6">
        <v>12696.4</v>
      </c>
      <c r="G47" s="6">
        <v>11056.5</v>
      </c>
      <c r="H47" s="6">
        <v>15612.2</v>
      </c>
      <c r="I47" s="6">
        <v>15338</v>
      </c>
      <c r="J47" s="6">
        <v>12446.7</v>
      </c>
      <c r="K47" s="6">
        <v>551295.4</v>
      </c>
      <c r="L47" s="6">
        <v>587087.82479894196</v>
      </c>
      <c r="M47" s="6">
        <v>596332.2098388382</v>
      </c>
      <c r="N47" s="12">
        <v>9.560790821037142E-2</v>
      </c>
      <c r="O47" s="12">
        <v>9.0937671920353236E-2</v>
      </c>
      <c r="P47" s="12">
        <v>8.4074648363450993E-2</v>
      </c>
      <c r="Q47" s="6">
        <v>112836.12084999999</v>
      </c>
      <c r="R47" s="6">
        <v>33275.800000000003</v>
      </c>
      <c r="S47" s="6">
        <v>43396.9</v>
      </c>
      <c r="T47" s="6">
        <v>1734715.4346377803</v>
      </c>
      <c r="U47" s="11">
        <v>9.0062622220584823E-2</v>
      </c>
    </row>
    <row r="48" spans="1:21" x14ac:dyDescent="0.55000000000000004">
      <c r="A48" s="3">
        <v>210013</v>
      </c>
      <c r="B48" s="6">
        <v>5275.2396284590004</v>
      </c>
      <c r="C48" s="6">
        <v>5723.7845640360001</v>
      </c>
      <c r="D48" s="6">
        <v>5588.5116011711816</v>
      </c>
      <c r="E48" s="6">
        <v>1225.0302200000001</v>
      </c>
      <c r="F48" s="6">
        <v>906.69051999999999</v>
      </c>
      <c r="G48" s="6">
        <v>714.19050000000004</v>
      </c>
      <c r="H48" s="6">
        <v>1609.06999</v>
      </c>
      <c r="I48" s="6">
        <v>1457.1594299999999</v>
      </c>
      <c r="J48" s="6">
        <v>1375.9032300000001</v>
      </c>
      <c r="K48" s="6">
        <v>78575.804082404997</v>
      </c>
      <c r="L48" s="6">
        <v>75753.271613894001</v>
      </c>
      <c r="M48" s="6">
        <v>73360.106304340661</v>
      </c>
      <c r="N48" s="12">
        <v>8.7613606998398666E-2</v>
      </c>
      <c r="O48" s="12">
        <v>9.4793846404898158E-2</v>
      </c>
      <c r="P48" s="12">
        <v>9.493463384961183E-2</v>
      </c>
      <c r="Q48" s="6">
        <v>16587.535793666182</v>
      </c>
      <c r="R48" s="6">
        <v>2845.9112400000004</v>
      </c>
      <c r="S48" s="6">
        <v>4442.1326499999996</v>
      </c>
      <c r="T48" s="6">
        <v>227689.18200063967</v>
      </c>
      <c r="U48" s="11">
        <v>9.2361298235096215E-2</v>
      </c>
    </row>
    <row r="49" spans="1:21" x14ac:dyDescent="0.55000000000000004">
      <c r="A49" s="3">
        <v>210024</v>
      </c>
      <c r="B49" s="6">
        <v>14181.528986604</v>
      </c>
      <c r="C49" s="6">
        <v>14113.826993331</v>
      </c>
      <c r="D49" s="6">
        <v>15108.87618261362</v>
      </c>
      <c r="E49" s="6">
        <v>2809.8657524690002</v>
      </c>
      <c r="F49" s="6">
        <v>5152.5499185259996</v>
      </c>
      <c r="G49" s="6">
        <v>4768.6537275579904</v>
      </c>
      <c r="H49" s="6">
        <v>2182.0367538589999</v>
      </c>
      <c r="I49" s="6">
        <v>2200.1402391729998</v>
      </c>
      <c r="J49" s="6">
        <v>2416.8407263950935</v>
      </c>
      <c r="K49" s="6">
        <v>320066.03524396702</v>
      </c>
      <c r="L49" s="6">
        <v>318141.20124588202</v>
      </c>
      <c r="M49" s="6">
        <v>342650.4317274043</v>
      </c>
      <c r="N49" s="12">
        <v>5.1125592654622166E-2</v>
      </c>
      <c r="O49" s="12">
        <v>5.1279014376686825E-2</v>
      </c>
      <c r="P49" s="12">
        <v>5.1147511534295406E-2</v>
      </c>
      <c r="Q49" s="6">
        <v>43404.232162548622</v>
      </c>
      <c r="R49" s="6">
        <v>12731.069398552991</v>
      </c>
      <c r="S49" s="6">
        <v>6799.0177194270927</v>
      </c>
      <c r="T49" s="6">
        <v>980857.66821725341</v>
      </c>
      <c r="U49" s="11">
        <v>5.1183012080868021E-2</v>
      </c>
    </row>
    <row r="50" spans="1:21" x14ac:dyDescent="0.55000000000000004">
      <c r="A50" s="3">
        <v>210029</v>
      </c>
      <c r="B50" s="6">
        <v>29260.6</v>
      </c>
      <c r="C50" s="6">
        <v>29167.5</v>
      </c>
      <c r="D50" s="6">
        <v>31305.227697312101</v>
      </c>
      <c r="E50" s="6">
        <v>8787.9</v>
      </c>
      <c r="F50" s="6">
        <v>8236</v>
      </c>
      <c r="G50" s="6">
        <v>9135.6532190743619</v>
      </c>
      <c r="H50" s="6">
        <v>7871.7</v>
      </c>
      <c r="I50" s="6">
        <v>9552.5</v>
      </c>
      <c r="J50" s="6">
        <v>11223.44007387198</v>
      </c>
      <c r="K50" s="6">
        <v>530778.6</v>
      </c>
      <c r="L50" s="6">
        <v>549111.4</v>
      </c>
      <c r="M50" s="6">
        <v>565882.69986891234</v>
      </c>
      <c r="N50" s="12">
        <v>6.9958170883302376E-2</v>
      </c>
      <c r="O50" s="12">
        <v>7.0513924861148394E-2</v>
      </c>
      <c r="P50" s="12">
        <v>7.5154564331151877E-2</v>
      </c>
      <c r="Q50" s="6">
        <v>89733.327697312096</v>
      </c>
      <c r="R50" s="6">
        <v>26159.553219074362</v>
      </c>
      <c r="S50" s="6">
        <v>28647.640073871982</v>
      </c>
      <c r="T50" s="6">
        <v>1645772.6998689123</v>
      </c>
      <c r="U50" s="11">
        <v>7.1930326575846873E-2</v>
      </c>
    </row>
    <row r="51" spans="1:21" x14ac:dyDescent="0.55000000000000004">
      <c r="A51" s="3">
        <v>210034</v>
      </c>
      <c r="B51" s="6">
        <v>6461.5021700220004</v>
      </c>
      <c r="C51" s="6">
        <v>7091.9312208769998</v>
      </c>
      <c r="D51" s="6">
        <v>7323.7195799397196</v>
      </c>
      <c r="E51" s="6">
        <v>394.12352694399999</v>
      </c>
      <c r="F51" s="6">
        <v>488.25114000000002</v>
      </c>
      <c r="G51" s="6">
        <v>252.40498283128267</v>
      </c>
      <c r="H51" s="6">
        <v>1231.791757</v>
      </c>
      <c r="I51" s="6">
        <v>1271.70442</v>
      </c>
      <c r="J51" s="6">
        <v>1293.5103200000001</v>
      </c>
      <c r="K51" s="6">
        <v>143567.28799330399</v>
      </c>
      <c r="L51" s="6">
        <v>143462.69795714499</v>
      </c>
      <c r="M51" s="6">
        <v>142342.04096347056</v>
      </c>
      <c r="N51" s="12">
        <v>5.3586677261611412E-2</v>
      </c>
      <c r="O51" s="12">
        <v>5.8298329530756324E-2</v>
      </c>
      <c r="P51" s="12">
        <v>6.0538895196473763E-2</v>
      </c>
      <c r="Q51" s="6">
        <v>20877.152970838721</v>
      </c>
      <c r="R51" s="6">
        <v>1134.7796497752827</v>
      </c>
      <c r="S51" s="6">
        <v>3797.0064970000003</v>
      </c>
      <c r="T51" s="6">
        <v>429372.0269139196</v>
      </c>
      <c r="U51" s="11">
        <v>5.7465689241990116E-2</v>
      </c>
    </row>
    <row r="52" spans="1:21" x14ac:dyDescent="0.55000000000000004">
      <c r="A52" s="3">
        <v>210038</v>
      </c>
      <c r="B52" s="6">
        <v>11765.342920536999</v>
      </c>
      <c r="C52" s="6">
        <v>12000.961399719001</v>
      </c>
      <c r="D52" s="6">
        <v>11722.666777762821</v>
      </c>
      <c r="E52" s="6">
        <v>1403.94832</v>
      </c>
      <c r="F52" s="6">
        <v>1058.36562</v>
      </c>
      <c r="G52" s="6">
        <v>1304.5951699999998</v>
      </c>
      <c r="H52" s="6">
        <v>1185.1519599999999</v>
      </c>
      <c r="I52" s="6">
        <v>1116</v>
      </c>
      <c r="J52" s="6">
        <v>1043</v>
      </c>
      <c r="K52" s="6">
        <v>162862.835723122</v>
      </c>
      <c r="L52" s="6">
        <v>170320.56243050701</v>
      </c>
      <c r="M52" s="6">
        <v>173682.36859634431</v>
      </c>
      <c r="N52" s="12">
        <v>7.9517802959993458E-2</v>
      </c>
      <c r="O52" s="12">
        <v>7.7013375323199101E-2</v>
      </c>
      <c r="P52" s="12">
        <v>7.3500073040986352E-2</v>
      </c>
      <c r="Q52" s="6">
        <v>35488.971098018825</v>
      </c>
      <c r="R52" s="6">
        <v>3766.9091099999996</v>
      </c>
      <c r="S52" s="6">
        <v>3344.1519600000001</v>
      </c>
      <c r="T52" s="6">
        <v>506865.76674997335</v>
      </c>
      <c r="U52" s="11">
        <v>7.6614215450013665E-2</v>
      </c>
    </row>
    <row r="53" spans="1:21" x14ac:dyDescent="0.55000000000000004">
      <c r="A53" s="2" t="s">
        <v>52</v>
      </c>
      <c r="B53" s="6">
        <v>605985.32763117692</v>
      </c>
      <c r="C53" s="6">
        <v>631417.70151445572</v>
      </c>
      <c r="D53" s="6">
        <v>651857.91384889861</v>
      </c>
      <c r="E53" s="6">
        <v>86301.654795698996</v>
      </c>
      <c r="F53" s="6">
        <v>91946.082951636985</v>
      </c>
      <c r="G53" s="6">
        <v>90463.580200735902</v>
      </c>
      <c r="H53" s="6">
        <v>199187.183280264</v>
      </c>
      <c r="I53" s="6">
        <v>200592.83445468501</v>
      </c>
      <c r="J53" s="6">
        <v>202186.17421773111</v>
      </c>
      <c r="K53" s="6">
        <v>9587903.574104825</v>
      </c>
      <c r="L53" s="6">
        <v>9853976.1442051176</v>
      </c>
      <c r="M53" s="6">
        <v>9968416.4686098136</v>
      </c>
      <c r="N53" s="12">
        <v>8.3977952499028535E-2</v>
      </c>
      <c r="O53" s="12">
        <v>8.4433991293801317E-2</v>
      </c>
      <c r="P53" s="12">
        <v>8.5675000714103791E-2</v>
      </c>
      <c r="Q53" s="6">
        <v>1889260.9429945315</v>
      </c>
      <c r="R53" s="6">
        <v>268711.31794807187</v>
      </c>
      <c r="S53" s="6">
        <v>601966.19195268012</v>
      </c>
      <c r="T53" s="6">
        <v>29410296.186919753</v>
      </c>
      <c r="U53" s="11">
        <v>8.4705951926291254E-2</v>
      </c>
    </row>
    <row r="54" spans="1:21" x14ac:dyDescent="0.55000000000000004"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spans="1:21" x14ac:dyDescent="0.55000000000000004"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  <row r="56" spans="1:21" x14ac:dyDescent="0.55000000000000004"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</row>
    <row r="57" spans="1:21" x14ac:dyDescent="0.55000000000000004"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</row>
    <row r="58" spans="1:21" x14ac:dyDescent="0.55000000000000004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</row>
    <row r="59" spans="1:21" x14ac:dyDescent="0.55000000000000004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</row>
    <row r="60" spans="1:21" x14ac:dyDescent="0.55000000000000004"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</row>
    <row r="61" spans="1:21" x14ac:dyDescent="0.55000000000000004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</row>
    <row r="62" spans="1:21" x14ac:dyDescent="0.55000000000000004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</row>
    <row r="63" spans="1:21" x14ac:dyDescent="0.55000000000000004"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</row>
    <row r="64" spans="1:21" x14ac:dyDescent="0.55000000000000004"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</row>
    <row r="65" spans="2:20" x14ac:dyDescent="0.55000000000000004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</row>
    <row r="66" spans="2:20" x14ac:dyDescent="0.55000000000000004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</row>
    <row r="67" spans="2:20" x14ac:dyDescent="0.55000000000000004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</row>
    <row r="68" spans="2:20" x14ac:dyDescent="0.55000000000000004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</row>
    <row r="69" spans="2:20" x14ac:dyDescent="0.55000000000000004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</row>
    <row r="70" spans="2:20" x14ac:dyDescent="0.55000000000000004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</row>
    <row r="71" spans="2:20" x14ac:dyDescent="0.55000000000000004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</row>
    <row r="72" spans="2:20" x14ac:dyDescent="0.55000000000000004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</row>
    <row r="73" spans="2:20" x14ac:dyDescent="0.55000000000000004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</row>
    <row r="74" spans="2:20" x14ac:dyDescent="0.55000000000000004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</row>
    <row r="75" spans="2:20" x14ac:dyDescent="0.55000000000000004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</row>
    <row r="76" spans="2:20" x14ac:dyDescent="0.55000000000000004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</row>
    <row r="77" spans="2:20" x14ac:dyDescent="0.55000000000000004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</row>
    <row r="78" spans="2:20" x14ac:dyDescent="0.55000000000000004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</row>
    <row r="79" spans="2:20" x14ac:dyDescent="0.55000000000000004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</row>
    <row r="80" spans="2:20" x14ac:dyDescent="0.55000000000000004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</row>
    <row r="81" spans="2:20" x14ac:dyDescent="0.55000000000000004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</row>
    <row r="82" spans="2:20" x14ac:dyDescent="0.55000000000000004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</row>
    <row r="83" spans="2:20" x14ac:dyDescent="0.55000000000000004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</row>
    <row r="84" spans="2:20" x14ac:dyDescent="0.55000000000000004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</row>
    <row r="85" spans="2:20" x14ac:dyDescent="0.55000000000000004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</row>
    <row r="86" spans="2:20" x14ac:dyDescent="0.55000000000000004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</row>
    <row r="87" spans="2:20" x14ac:dyDescent="0.55000000000000004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</row>
    <row r="88" spans="2:20" x14ac:dyDescent="0.55000000000000004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</row>
    <row r="89" spans="2:20" x14ac:dyDescent="0.55000000000000004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</row>
    <row r="90" spans="2:20" x14ac:dyDescent="0.55000000000000004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</row>
    <row r="91" spans="2:20" x14ac:dyDescent="0.55000000000000004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</row>
    <row r="92" spans="2:20" x14ac:dyDescent="0.55000000000000004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</row>
    <row r="93" spans="2:20" x14ac:dyDescent="0.55000000000000004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</row>
    <row r="94" spans="2:20" x14ac:dyDescent="0.55000000000000004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</row>
    <row r="95" spans="2:20" x14ac:dyDescent="0.55000000000000004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</row>
    <row r="96" spans="2:20" x14ac:dyDescent="0.55000000000000004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</row>
    <row r="97" spans="2:20" x14ac:dyDescent="0.55000000000000004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2:U97"/>
  <sheetViews>
    <sheetView workbookViewId="0">
      <selection activeCell="H27" sqref="H27"/>
    </sheetView>
  </sheetViews>
  <sheetFormatPr defaultRowHeight="14.4" x14ac:dyDescent="0.55000000000000004"/>
  <cols>
    <col min="1" max="1" width="13.15625" bestFit="1" customWidth="1"/>
    <col min="2" max="2" width="19.41796875" style="4" bestFit="1" customWidth="1"/>
    <col min="3" max="4" width="9" style="4" bestFit="1" customWidth="1"/>
    <col min="5" max="5" width="23.578125" style="4" bestFit="1" customWidth="1"/>
    <col min="6" max="7" width="8" style="4" customWidth="1"/>
    <col min="8" max="8" width="17.41796875" style="4" bestFit="1" customWidth="1"/>
    <col min="9" max="9" width="9" style="4" bestFit="1" customWidth="1"/>
    <col min="10" max="10" width="9" style="4" customWidth="1"/>
    <col min="11" max="11" width="18.26171875" style="4" bestFit="1" customWidth="1"/>
    <col min="12" max="13" width="10.578125" style="4" customWidth="1"/>
    <col min="14" max="14" width="23.83984375" style="9" customWidth="1"/>
    <col min="15" max="15" width="5.15625" style="9" customWidth="1"/>
    <col min="16" max="16" width="6.15625" style="9" customWidth="1"/>
    <col min="17" max="17" width="23" style="4" customWidth="1"/>
    <col min="18" max="18" width="27.15625" style="8" bestFit="1" customWidth="1"/>
    <col min="19" max="19" width="20.83984375" style="8" bestFit="1" customWidth="1"/>
    <col min="20" max="20" width="21.83984375" style="8" bestFit="1" customWidth="1"/>
    <col min="21" max="21" width="28.83984375" style="10" bestFit="1" customWidth="1"/>
    <col min="22" max="22" width="24.41796875" bestFit="1" customWidth="1"/>
    <col min="23" max="23" width="28.578125" bestFit="1" customWidth="1"/>
    <col min="24" max="24" width="22.41796875" bestFit="1" customWidth="1"/>
    <col min="25" max="25" width="23.26171875" bestFit="1" customWidth="1"/>
    <col min="26" max="26" width="20.83984375" bestFit="1" customWidth="1"/>
  </cols>
  <sheetData>
    <row r="2" spans="1:21" x14ac:dyDescent="0.55000000000000004">
      <c r="M2" s="10"/>
    </row>
    <row r="3" spans="1:21" x14ac:dyDescent="0.55000000000000004">
      <c r="B3" s="1" t="s">
        <v>56</v>
      </c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</row>
    <row r="4" spans="1:21" x14ac:dyDescent="0.55000000000000004">
      <c r="B4" s="6" t="s">
        <v>53</v>
      </c>
      <c r="C4" s="6"/>
      <c r="D4" s="6"/>
      <c r="E4" s="6" t="s">
        <v>54</v>
      </c>
      <c r="F4" s="6"/>
      <c r="G4" s="6"/>
      <c r="H4" s="6" t="s">
        <v>55</v>
      </c>
      <c r="I4" s="6"/>
      <c r="J4" s="6"/>
      <c r="K4" s="6" t="s">
        <v>60</v>
      </c>
      <c r="L4" s="6"/>
      <c r="M4" s="6"/>
      <c r="N4" t="s">
        <v>63</v>
      </c>
      <c r="O4"/>
      <c r="P4"/>
      <c r="Q4" s="5" t="s">
        <v>57</v>
      </c>
      <c r="R4" s="5" t="s">
        <v>58</v>
      </c>
      <c r="S4" s="5" t="s">
        <v>59</v>
      </c>
      <c r="T4" s="5" t="s">
        <v>61</v>
      </c>
      <c r="U4" s="5" t="s">
        <v>64</v>
      </c>
    </row>
    <row r="5" spans="1:21" s="5" customFormat="1" x14ac:dyDescent="0.55000000000000004">
      <c r="A5" s="1" t="s">
        <v>51</v>
      </c>
      <c r="B5" s="5">
        <v>2016</v>
      </c>
      <c r="C5" s="5">
        <v>2017</v>
      </c>
      <c r="D5" s="5">
        <v>2018</v>
      </c>
      <c r="E5" s="5">
        <v>2016</v>
      </c>
      <c r="F5" s="5">
        <v>2017</v>
      </c>
      <c r="G5" s="5">
        <v>2018</v>
      </c>
      <c r="H5" s="5">
        <v>2016</v>
      </c>
      <c r="I5" s="5">
        <v>2017</v>
      </c>
      <c r="J5" s="5">
        <v>2018</v>
      </c>
      <c r="K5" s="5">
        <v>2016</v>
      </c>
      <c r="L5" s="5">
        <v>2017</v>
      </c>
      <c r="M5" s="5">
        <v>2018</v>
      </c>
      <c r="N5" s="5">
        <v>2016</v>
      </c>
      <c r="O5" s="5">
        <v>2017</v>
      </c>
      <c r="P5" s="5">
        <v>2018</v>
      </c>
    </row>
    <row r="6" spans="1:21" x14ac:dyDescent="0.55000000000000004">
      <c r="A6" s="2">
        <v>5</v>
      </c>
      <c r="B6" s="6">
        <v>292446.23606066796</v>
      </c>
      <c r="C6" s="6">
        <v>292497.87283190503</v>
      </c>
      <c r="D6" s="6">
        <v>283283.74073205068</v>
      </c>
      <c r="E6" s="6">
        <v>45980.748252468999</v>
      </c>
      <c r="F6" s="6">
        <v>51781.890158525996</v>
      </c>
      <c r="G6" s="6">
        <v>47285.882566632354</v>
      </c>
      <c r="H6" s="6">
        <v>101776.56143385901</v>
      </c>
      <c r="I6" s="6">
        <v>103166.28516917299</v>
      </c>
      <c r="J6" s="6">
        <v>109743.29892751266</v>
      </c>
      <c r="K6" s="6">
        <v>4693506.3831903245</v>
      </c>
      <c r="L6" s="6">
        <v>4906034.623157816</v>
      </c>
      <c r="M6" s="6">
        <v>5036557.946748022</v>
      </c>
      <c r="N6" s="12">
        <v>8.3993237743625118E-2</v>
      </c>
      <c r="O6" s="12">
        <v>8.064846426754424E-2</v>
      </c>
      <c r="P6" s="12">
        <v>7.8034849159897182E-2</v>
      </c>
      <c r="Q6" s="6">
        <v>868227.84962462366</v>
      </c>
      <c r="R6" s="6">
        <v>145048.52097762737</v>
      </c>
      <c r="S6" s="6">
        <v>314686.14553054463</v>
      </c>
      <c r="T6" s="6">
        <v>14636098.953096164</v>
      </c>
      <c r="U6" s="11">
        <v>8.0821672424189986E-2</v>
      </c>
    </row>
    <row r="7" spans="1:21" x14ac:dyDescent="0.55000000000000004">
      <c r="A7" s="3">
        <v>210002</v>
      </c>
      <c r="B7" s="6">
        <v>74605.537074064006</v>
      </c>
      <c r="C7" s="6">
        <v>64691.127278574</v>
      </c>
      <c r="D7" s="6">
        <v>60255.921842124932</v>
      </c>
      <c r="E7" s="6">
        <v>11049.2</v>
      </c>
      <c r="F7" s="6">
        <v>11964</v>
      </c>
      <c r="G7" s="6">
        <v>10442.6</v>
      </c>
      <c r="H7" s="6">
        <v>29361.9</v>
      </c>
      <c r="I7" s="6">
        <v>24184.6</v>
      </c>
      <c r="J7" s="6">
        <v>25448</v>
      </c>
      <c r="K7" s="6">
        <v>1159018.3824082899</v>
      </c>
      <c r="L7" s="6">
        <v>1188774.2305529921</v>
      </c>
      <c r="M7" s="6">
        <v>1245985.0760814</v>
      </c>
      <c r="N7" s="12">
        <v>8.9703009591645275E-2</v>
      </c>
      <c r="O7" s="12">
        <v>7.4762494840783122E-2</v>
      </c>
      <c r="P7" s="12">
        <v>6.8784067712642408E-2</v>
      </c>
      <c r="Q7" s="6">
        <v>199552.58619476293</v>
      </c>
      <c r="R7" s="6">
        <v>33455.800000000003</v>
      </c>
      <c r="S7" s="6">
        <v>78994.5</v>
      </c>
      <c r="T7" s="6">
        <v>3593777.6890426818</v>
      </c>
      <c r="U7" s="11">
        <v>7.7508157236337819E-2</v>
      </c>
    </row>
    <row r="8" spans="1:21" x14ac:dyDescent="0.55000000000000004">
      <c r="A8" s="3">
        <v>210003</v>
      </c>
      <c r="B8" s="6">
        <v>8839.07</v>
      </c>
      <c r="C8" s="6">
        <v>8904.9465600000003</v>
      </c>
      <c r="D8" s="6">
        <v>8890.4941600000002</v>
      </c>
      <c r="E8" s="6">
        <v>385.38249999999999</v>
      </c>
      <c r="F8" s="6">
        <v>307.34023999999999</v>
      </c>
      <c r="G8" s="6">
        <v>317.77562000000006</v>
      </c>
      <c r="H8" s="6">
        <v>86.366680000000002</v>
      </c>
      <c r="I8" s="6">
        <v>53.602679999999999</v>
      </c>
      <c r="J8" s="6">
        <v>66.818127245575553</v>
      </c>
      <c r="K8" s="6">
        <v>227352.247708068</v>
      </c>
      <c r="L8" s="6">
        <v>240080.73303999999</v>
      </c>
      <c r="M8" s="6">
        <v>240414.54907346723</v>
      </c>
      <c r="N8" s="12">
        <v>3.9258185348845634E-2</v>
      </c>
      <c r="O8" s="12">
        <v>3.7314736282929507E-2</v>
      </c>
      <c r="P8" s="12">
        <v>3.7257779621766358E-2</v>
      </c>
      <c r="Q8" s="6">
        <v>26634.510719999998</v>
      </c>
      <c r="R8" s="6">
        <v>1010.49836</v>
      </c>
      <c r="S8" s="6">
        <v>206.78748724557556</v>
      </c>
      <c r="T8" s="6">
        <v>707847.52982153522</v>
      </c>
      <c r="U8" s="11">
        <v>3.79196042599921E-2</v>
      </c>
    </row>
    <row r="9" spans="1:21" x14ac:dyDescent="0.55000000000000004">
      <c r="A9" s="3">
        <v>210009</v>
      </c>
      <c r="B9" s="6">
        <v>128463.5</v>
      </c>
      <c r="C9" s="6">
        <v>137570.07200000001</v>
      </c>
      <c r="D9" s="6">
        <v>130033.5</v>
      </c>
      <c r="E9" s="6">
        <v>13425.5</v>
      </c>
      <c r="F9" s="6">
        <v>13425.6</v>
      </c>
      <c r="G9" s="6">
        <v>11564.7</v>
      </c>
      <c r="H9" s="6">
        <v>46662.358</v>
      </c>
      <c r="I9" s="6">
        <v>51837.44225</v>
      </c>
      <c r="J9" s="6">
        <v>58141.5</v>
      </c>
      <c r="K9" s="6">
        <v>1904995.71783</v>
      </c>
      <c r="L9" s="6">
        <v>2022839.2335199995</v>
      </c>
      <c r="M9" s="6">
        <v>2045292.980158</v>
      </c>
      <c r="N9" s="12">
        <v>9.1929790897109023E-2</v>
      </c>
      <c r="O9" s="12">
        <v>9.3634487166044653E-2</v>
      </c>
      <c r="P9" s="11">
        <v>9.2003933825394235E-2</v>
      </c>
      <c r="Q9" s="6">
        <v>396067.07200000004</v>
      </c>
      <c r="R9" s="6">
        <v>38415.800000000003</v>
      </c>
      <c r="S9" s="6">
        <v>156641.30025</v>
      </c>
      <c r="T9" s="6">
        <v>5973127.931508</v>
      </c>
      <c r="U9" s="11">
        <v>9.2532485255252359E-2</v>
      </c>
    </row>
    <row r="10" spans="1:21" x14ac:dyDescent="0.55000000000000004">
      <c r="A10" s="3">
        <v>210012</v>
      </c>
      <c r="B10" s="6">
        <v>37096</v>
      </c>
      <c r="C10" s="6">
        <v>38050.400000000001</v>
      </c>
      <c r="D10" s="6">
        <v>37689.720849999998</v>
      </c>
      <c r="E10" s="6">
        <v>9522.9</v>
      </c>
      <c r="F10" s="6">
        <v>12696.4</v>
      </c>
      <c r="G10" s="6">
        <v>11056.5</v>
      </c>
      <c r="H10" s="6">
        <v>15612.2</v>
      </c>
      <c r="I10" s="6">
        <v>15338</v>
      </c>
      <c r="J10" s="6">
        <v>12446.7</v>
      </c>
      <c r="K10" s="6">
        <v>551295.4</v>
      </c>
      <c r="L10" s="6">
        <v>587087.82479894196</v>
      </c>
      <c r="M10" s="6">
        <v>596332.2098388382</v>
      </c>
      <c r="N10" s="12">
        <v>9.560790821037142E-2</v>
      </c>
      <c r="O10" s="12">
        <v>9.0937671920353236E-2</v>
      </c>
      <c r="P10" s="12">
        <v>8.4074648363450993E-2</v>
      </c>
      <c r="Q10" s="6">
        <v>112836.12084999999</v>
      </c>
      <c r="R10" s="6">
        <v>33275.800000000003</v>
      </c>
      <c r="S10" s="6">
        <v>43396.9</v>
      </c>
      <c r="T10" s="6">
        <v>1734715.4346377803</v>
      </c>
      <c r="U10" s="11">
        <v>9.0062622220584823E-2</v>
      </c>
    </row>
    <row r="11" spans="1:21" x14ac:dyDescent="0.55000000000000004">
      <c r="A11" s="3">
        <v>210024</v>
      </c>
      <c r="B11" s="6">
        <v>14181.528986604</v>
      </c>
      <c r="C11" s="6">
        <v>14113.826993331</v>
      </c>
      <c r="D11" s="6">
        <v>15108.87618261362</v>
      </c>
      <c r="E11" s="6">
        <v>2809.8657524690002</v>
      </c>
      <c r="F11" s="6">
        <v>5152.5499185259996</v>
      </c>
      <c r="G11" s="6">
        <v>4768.6537275579904</v>
      </c>
      <c r="H11" s="6">
        <v>2182.0367538589999</v>
      </c>
      <c r="I11" s="6">
        <v>2200.1402391729998</v>
      </c>
      <c r="J11" s="6">
        <v>2416.8407263950935</v>
      </c>
      <c r="K11" s="6">
        <v>320066.03524396702</v>
      </c>
      <c r="L11" s="6">
        <v>318141.20124588202</v>
      </c>
      <c r="M11" s="6">
        <v>342650.4317274043</v>
      </c>
      <c r="N11" s="12">
        <v>5.1125592654622166E-2</v>
      </c>
      <c r="O11" s="12">
        <v>5.1279014376686825E-2</v>
      </c>
      <c r="P11" s="12">
        <v>5.1147511534295406E-2</v>
      </c>
      <c r="Q11" s="6">
        <v>43404.232162548622</v>
      </c>
      <c r="R11" s="6">
        <v>12731.069398552991</v>
      </c>
      <c r="S11" s="6">
        <v>6799.0177194270927</v>
      </c>
      <c r="T11" s="6">
        <v>980857.66821725341</v>
      </c>
      <c r="U11" s="11">
        <v>5.1183012080868021E-2</v>
      </c>
    </row>
    <row r="12" spans="1:21" x14ac:dyDescent="0.55000000000000004">
      <c r="A12" s="3">
        <v>210029</v>
      </c>
      <c r="B12" s="6">
        <v>29260.6</v>
      </c>
      <c r="C12" s="6">
        <v>29167.5</v>
      </c>
      <c r="D12" s="6">
        <v>31305.227697312101</v>
      </c>
      <c r="E12" s="6">
        <v>8787.9</v>
      </c>
      <c r="F12" s="6">
        <v>8236</v>
      </c>
      <c r="G12" s="6">
        <v>9135.6532190743619</v>
      </c>
      <c r="H12" s="6">
        <v>7871.7</v>
      </c>
      <c r="I12" s="6">
        <v>9552.5</v>
      </c>
      <c r="J12" s="6">
        <v>11223.44007387198</v>
      </c>
      <c r="K12" s="6">
        <v>530778.6</v>
      </c>
      <c r="L12" s="6">
        <v>549111.4</v>
      </c>
      <c r="M12" s="6">
        <v>565882.69986891234</v>
      </c>
      <c r="N12" s="12">
        <v>6.9958170883302376E-2</v>
      </c>
      <c r="O12" s="12">
        <v>7.0513924861148394E-2</v>
      </c>
      <c r="P12" s="12">
        <v>7.5154564331151877E-2</v>
      </c>
      <c r="Q12" s="6">
        <v>89733.327697312096</v>
      </c>
      <c r="R12" s="6">
        <v>26159.553219074362</v>
      </c>
      <c r="S12" s="6">
        <v>28647.640073871982</v>
      </c>
      <c r="T12" s="6">
        <v>1645772.6998689123</v>
      </c>
      <c r="U12" s="11">
        <v>7.1930326575846873E-2</v>
      </c>
    </row>
    <row r="13" spans="1:21" x14ac:dyDescent="0.55000000000000004">
      <c r="A13" s="2" t="s">
        <v>52</v>
      </c>
      <c r="B13" s="6">
        <v>292446.23606066796</v>
      </c>
      <c r="C13" s="6">
        <v>292497.87283190503</v>
      </c>
      <c r="D13" s="6">
        <v>283283.74073205068</v>
      </c>
      <c r="E13" s="6">
        <v>45980.748252468999</v>
      </c>
      <c r="F13" s="6">
        <v>51781.890158525996</v>
      </c>
      <c r="G13" s="6">
        <v>47285.882566632354</v>
      </c>
      <c r="H13" s="6">
        <v>101776.56143385901</v>
      </c>
      <c r="I13" s="6">
        <v>103166.28516917299</v>
      </c>
      <c r="J13" s="6">
        <v>109743.29892751266</v>
      </c>
      <c r="K13" s="6">
        <v>4693506.3831903245</v>
      </c>
      <c r="L13" s="6">
        <v>4906034.623157816</v>
      </c>
      <c r="M13" s="6">
        <v>5036557.946748022</v>
      </c>
      <c r="N13" s="12">
        <v>8.3993237743625118E-2</v>
      </c>
      <c r="O13" s="12">
        <v>8.064846426754424E-2</v>
      </c>
      <c r="P13" s="12">
        <v>7.8034849159897182E-2</v>
      </c>
      <c r="Q13" s="6">
        <v>868227.84962462366</v>
      </c>
      <c r="R13" s="6">
        <v>145048.52097762737</v>
      </c>
      <c r="S13" s="6">
        <v>314686.14553054463</v>
      </c>
      <c r="T13" s="6">
        <v>14636098.953096164</v>
      </c>
      <c r="U13" s="11">
        <v>8.0821672424189986E-2</v>
      </c>
    </row>
    <row r="14" spans="1:21" x14ac:dyDescent="0.55000000000000004"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</row>
    <row r="15" spans="1:21" x14ac:dyDescent="0.55000000000000004"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1" x14ac:dyDescent="0.55000000000000004"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customFormat="1" x14ac:dyDescent="0.55000000000000004"/>
    <row r="18" customFormat="1" x14ac:dyDescent="0.55000000000000004"/>
    <row r="19" customFormat="1" x14ac:dyDescent="0.55000000000000004"/>
    <row r="20" customFormat="1" x14ac:dyDescent="0.55000000000000004"/>
    <row r="21" customFormat="1" x14ac:dyDescent="0.55000000000000004"/>
    <row r="22" customFormat="1" x14ac:dyDescent="0.55000000000000004"/>
    <row r="23" customFormat="1" x14ac:dyDescent="0.55000000000000004"/>
    <row r="24" customFormat="1" x14ac:dyDescent="0.55000000000000004"/>
    <row r="25" customFormat="1" x14ac:dyDescent="0.55000000000000004"/>
    <row r="26" customFormat="1" x14ac:dyDescent="0.55000000000000004"/>
    <row r="27" customFormat="1" x14ac:dyDescent="0.55000000000000004"/>
    <row r="28" customFormat="1" x14ac:dyDescent="0.55000000000000004"/>
    <row r="29" customFormat="1" x14ac:dyDescent="0.55000000000000004"/>
    <row r="30" customFormat="1" x14ac:dyDescent="0.55000000000000004"/>
    <row r="31" customFormat="1" x14ac:dyDescent="0.55000000000000004"/>
    <row r="32" customFormat="1" x14ac:dyDescent="0.55000000000000004"/>
    <row r="33" customFormat="1" x14ac:dyDescent="0.55000000000000004"/>
    <row r="34" customFormat="1" x14ac:dyDescent="0.55000000000000004"/>
    <row r="35" customFormat="1" x14ac:dyDescent="0.55000000000000004"/>
    <row r="36" customFormat="1" x14ac:dyDescent="0.55000000000000004"/>
    <row r="37" customFormat="1" x14ac:dyDescent="0.55000000000000004"/>
    <row r="38" customFormat="1" x14ac:dyDescent="0.55000000000000004"/>
    <row r="39" customFormat="1" x14ac:dyDescent="0.55000000000000004"/>
    <row r="40" customFormat="1" x14ac:dyDescent="0.55000000000000004"/>
    <row r="41" customFormat="1" x14ac:dyDescent="0.55000000000000004"/>
    <row r="42" customFormat="1" x14ac:dyDescent="0.55000000000000004"/>
    <row r="43" customFormat="1" x14ac:dyDescent="0.55000000000000004"/>
    <row r="44" customFormat="1" x14ac:dyDescent="0.55000000000000004"/>
    <row r="45" customFormat="1" x14ac:dyDescent="0.55000000000000004"/>
    <row r="46" customFormat="1" x14ac:dyDescent="0.55000000000000004"/>
    <row r="47" customFormat="1" x14ac:dyDescent="0.55000000000000004"/>
    <row r="48" customFormat="1" x14ac:dyDescent="0.55000000000000004"/>
    <row r="49" customFormat="1" x14ac:dyDescent="0.55000000000000004"/>
    <row r="50" customFormat="1" x14ac:dyDescent="0.55000000000000004"/>
    <row r="51" customFormat="1" x14ac:dyDescent="0.55000000000000004"/>
    <row r="52" customFormat="1" x14ac:dyDescent="0.55000000000000004"/>
    <row r="53" customFormat="1" x14ac:dyDescent="0.55000000000000004"/>
    <row r="54" customFormat="1" x14ac:dyDescent="0.55000000000000004"/>
    <row r="55" customFormat="1" x14ac:dyDescent="0.55000000000000004"/>
    <row r="56" customFormat="1" x14ac:dyDescent="0.55000000000000004"/>
    <row r="57" customFormat="1" x14ac:dyDescent="0.55000000000000004"/>
    <row r="58" customFormat="1" x14ac:dyDescent="0.55000000000000004"/>
    <row r="59" customFormat="1" x14ac:dyDescent="0.55000000000000004"/>
    <row r="60" customFormat="1" x14ac:dyDescent="0.55000000000000004"/>
    <row r="61" customFormat="1" x14ac:dyDescent="0.55000000000000004"/>
    <row r="62" customFormat="1" x14ac:dyDescent="0.55000000000000004"/>
    <row r="63" customFormat="1" x14ac:dyDescent="0.55000000000000004"/>
    <row r="64" customFormat="1" x14ac:dyDescent="0.55000000000000004"/>
    <row r="65" spans="2:21" x14ac:dyDescent="0.55000000000000004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</row>
    <row r="66" spans="2:21" x14ac:dyDescent="0.55000000000000004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</row>
    <row r="67" spans="2:21" x14ac:dyDescent="0.55000000000000004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</row>
    <row r="68" spans="2:21" x14ac:dyDescent="0.55000000000000004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</row>
    <row r="69" spans="2:21" x14ac:dyDescent="0.55000000000000004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</row>
    <row r="70" spans="2:21" x14ac:dyDescent="0.55000000000000004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</row>
    <row r="71" spans="2:21" x14ac:dyDescent="0.55000000000000004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</row>
    <row r="72" spans="2:21" x14ac:dyDescent="0.55000000000000004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</row>
    <row r="73" spans="2:21" x14ac:dyDescent="0.55000000000000004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</row>
    <row r="74" spans="2:21" x14ac:dyDescent="0.55000000000000004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</row>
    <row r="75" spans="2:21" x14ac:dyDescent="0.55000000000000004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</row>
    <row r="76" spans="2:21" x14ac:dyDescent="0.55000000000000004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</row>
    <row r="77" spans="2:21" x14ac:dyDescent="0.55000000000000004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</row>
    <row r="78" spans="2:21" x14ac:dyDescent="0.55000000000000004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</row>
    <row r="79" spans="2:21" x14ac:dyDescent="0.55000000000000004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</row>
    <row r="80" spans="2:21" x14ac:dyDescent="0.55000000000000004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</row>
    <row r="81" spans="2:20" x14ac:dyDescent="0.55000000000000004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</row>
    <row r="82" spans="2:20" x14ac:dyDescent="0.55000000000000004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</row>
    <row r="83" spans="2:20" x14ac:dyDescent="0.55000000000000004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</row>
    <row r="84" spans="2:20" x14ac:dyDescent="0.55000000000000004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</row>
    <row r="85" spans="2:20" x14ac:dyDescent="0.55000000000000004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</row>
    <row r="86" spans="2:20" x14ac:dyDescent="0.55000000000000004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</row>
    <row r="87" spans="2:20" x14ac:dyDescent="0.55000000000000004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</row>
    <row r="88" spans="2:20" x14ac:dyDescent="0.55000000000000004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</row>
    <row r="89" spans="2:20" x14ac:dyDescent="0.55000000000000004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</row>
    <row r="90" spans="2:20" x14ac:dyDescent="0.55000000000000004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</row>
    <row r="91" spans="2:20" x14ac:dyDescent="0.55000000000000004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</row>
    <row r="92" spans="2:20" x14ac:dyDescent="0.55000000000000004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</row>
    <row r="93" spans="2:20" x14ac:dyDescent="0.55000000000000004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</row>
    <row r="94" spans="2:20" x14ac:dyDescent="0.55000000000000004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</row>
    <row r="95" spans="2:20" x14ac:dyDescent="0.55000000000000004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</row>
    <row r="96" spans="2:20" x14ac:dyDescent="0.55000000000000004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</row>
    <row r="97" spans="2:20" x14ac:dyDescent="0.55000000000000004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 filterMode="1"/>
  <dimension ref="A1:AT60"/>
  <sheetViews>
    <sheetView workbookViewId="0">
      <pane xSplit="2" ySplit="3" topLeftCell="S4" activePane="bottomRight" state="frozen"/>
      <selection pane="topRight" activeCell="C1" sqref="C1"/>
      <selection pane="bottomLeft" activeCell="A4" sqref="A4"/>
      <selection pane="bottomRight" activeCell="R2" sqref="R2:W2"/>
    </sheetView>
  </sheetViews>
  <sheetFormatPr defaultColWidth="15.41796875" defaultRowHeight="15.3" x14ac:dyDescent="0.55000000000000004"/>
  <cols>
    <col min="1" max="2" width="15.41796875" style="62"/>
    <col min="3" max="8" width="20.578125" style="4" bestFit="1" customWidth="1"/>
    <col min="9" max="9" width="20.578125" style="4" customWidth="1"/>
    <col min="10" max="10" width="15.41796875" style="62"/>
    <col min="11" max="15" width="20.578125" style="4" bestFit="1" customWidth="1"/>
    <col min="16" max="16" width="21.83984375" style="4" bestFit="1" customWidth="1"/>
    <col min="17" max="17" width="21.83984375" style="4" customWidth="1"/>
    <col min="18" max="23" width="21.83984375" style="118" bestFit="1" customWidth="1"/>
    <col min="24" max="30" width="15.41796875" style="62"/>
    <col min="31" max="31" width="15.41796875" style="76"/>
    <col min="32" max="46" width="15.41796875" style="123"/>
    <col min="47" max="261" width="15.41796875" style="62"/>
    <col min="262" max="267" width="20.578125" style="62" bestFit="1" customWidth="1"/>
    <col min="268" max="268" width="15.41796875" style="62"/>
    <col min="269" max="273" width="20.578125" style="62" bestFit="1" customWidth="1"/>
    <col min="274" max="280" width="21.83984375" style="62" bestFit="1" customWidth="1"/>
    <col min="281" max="517" width="15.41796875" style="62"/>
    <col min="518" max="523" width="20.578125" style="62" bestFit="1" customWidth="1"/>
    <col min="524" max="524" width="15.41796875" style="62"/>
    <col min="525" max="529" width="20.578125" style="62" bestFit="1" customWidth="1"/>
    <col min="530" max="536" width="21.83984375" style="62" bestFit="1" customWidth="1"/>
    <col min="537" max="773" width="15.41796875" style="62"/>
    <col min="774" max="779" width="20.578125" style="62" bestFit="1" customWidth="1"/>
    <col min="780" max="780" width="15.41796875" style="62"/>
    <col min="781" max="785" width="20.578125" style="62" bestFit="1" customWidth="1"/>
    <col min="786" max="792" width="21.83984375" style="62" bestFit="1" customWidth="1"/>
    <col min="793" max="1029" width="15.41796875" style="62"/>
    <col min="1030" max="1035" width="20.578125" style="62" bestFit="1" customWidth="1"/>
    <col min="1036" max="1036" width="15.41796875" style="62"/>
    <col min="1037" max="1041" width="20.578125" style="62" bestFit="1" customWidth="1"/>
    <col min="1042" max="1048" width="21.83984375" style="62" bestFit="1" customWidth="1"/>
    <col min="1049" max="1285" width="15.41796875" style="62"/>
    <col min="1286" max="1291" width="20.578125" style="62" bestFit="1" customWidth="1"/>
    <col min="1292" max="1292" width="15.41796875" style="62"/>
    <col min="1293" max="1297" width="20.578125" style="62" bestFit="1" customWidth="1"/>
    <col min="1298" max="1304" width="21.83984375" style="62" bestFit="1" customWidth="1"/>
    <col min="1305" max="1541" width="15.41796875" style="62"/>
    <col min="1542" max="1547" width="20.578125" style="62" bestFit="1" customWidth="1"/>
    <col min="1548" max="1548" width="15.41796875" style="62"/>
    <col min="1549" max="1553" width="20.578125" style="62" bestFit="1" customWidth="1"/>
    <col min="1554" max="1560" width="21.83984375" style="62" bestFit="1" customWidth="1"/>
    <col min="1561" max="1797" width="15.41796875" style="62"/>
    <col min="1798" max="1803" width="20.578125" style="62" bestFit="1" customWidth="1"/>
    <col min="1804" max="1804" width="15.41796875" style="62"/>
    <col min="1805" max="1809" width="20.578125" style="62" bestFit="1" customWidth="1"/>
    <col min="1810" max="1816" width="21.83984375" style="62" bestFit="1" customWidth="1"/>
    <col min="1817" max="2053" width="15.41796875" style="62"/>
    <col min="2054" max="2059" width="20.578125" style="62" bestFit="1" customWidth="1"/>
    <col min="2060" max="2060" width="15.41796875" style="62"/>
    <col min="2061" max="2065" width="20.578125" style="62" bestFit="1" customWidth="1"/>
    <col min="2066" max="2072" width="21.83984375" style="62" bestFit="1" customWidth="1"/>
    <col min="2073" max="2309" width="15.41796875" style="62"/>
    <col min="2310" max="2315" width="20.578125" style="62" bestFit="1" customWidth="1"/>
    <col min="2316" max="2316" width="15.41796875" style="62"/>
    <col min="2317" max="2321" width="20.578125" style="62" bestFit="1" customWidth="1"/>
    <col min="2322" max="2328" width="21.83984375" style="62" bestFit="1" customWidth="1"/>
    <col min="2329" max="2565" width="15.41796875" style="62"/>
    <col min="2566" max="2571" width="20.578125" style="62" bestFit="1" customWidth="1"/>
    <col min="2572" max="2572" width="15.41796875" style="62"/>
    <col min="2573" max="2577" width="20.578125" style="62" bestFit="1" customWidth="1"/>
    <col min="2578" max="2584" width="21.83984375" style="62" bestFit="1" customWidth="1"/>
    <col min="2585" max="2821" width="15.41796875" style="62"/>
    <col min="2822" max="2827" width="20.578125" style="62" bestFit="1" customWidth="1"/>
    <col min="2828" max="2828" width="15.41796875" style="62"/>
    <col min="2829" max="2833" width="20.578125" style="62" bestFit="1" customWidth="1"/>
    <col min="2834" max="2840" width="21.83984375" style="62" bestFit="1" customWidth="1"/>
    <col min="2841" max="3077" width="15.41796875" style="62"/>
    <col min="3078" max="3083" width="20.578125" style="62" bestFit="1" customWidth="1"/>
    <col min="3084" max="3084" width="15.41796875" style="62"/>
    <col min="3085" max="3089" width="20.578125" style="62" bestFit="1" customWidth="1"/>
    <col min="3090" max="3096" width="21.83984375" style="62" bestFit="1" customWidth="1"/>
    <col min="3097" max="3333" width="15.41796875" style="62"/>
    <col min="3334" max="3339" width="20.578125" style="62" bestFit="1" customWidth="1"/>
    <col min="3340" max="3340" width="15.41796875" style="62"/>
    <col min="3341" max="3345" width="20.578125" style="62" bestFit="1" customWidth="1"/>
    <col min="3346" max="3352" width="21.83984375" style="62" bestFit="1" customWidth="1"/>
    <col min="3353" max="3589" width="15.41796875" style="62"/>
    <col min="3590" max="3595" width="20.578125" style="62" bestFit="1" customWidth="1"/>
    <col min="3596" max="3596" width="15.41796875" style="62"/>
    <col min="3597" max="3601" width="20.578125" style="62" bestFit="1" customWidth="1"/>
    <col min="3602" max="3608" width="21.83984375" style="62" bestFit="1" customWidth="1"/>
    <col min="3609" max="3845" width="15.41796875" style="62"/>
    <col min="3846" max="3851" width="20.578125" style="62" bestFit="1" customWidth="1"/>
    <col min="3852" max="3852" width="15.41796875" style="62"/>
    <col min="3853" max="3857" width="20.578125" style="62" bestFit="1" customWidth="1"/>
    <col min="3858" max="3864" width="21.83984375" style="62" bestFit="1" customWidth="1"/>
    <col min="3865" max="4101" width="15.41796875" style="62"/>
    <col min="4102" max="4107" width="20.578125" style="62" bestFit="1" customWidth="1"/>
    <col min="4108" max="4108" width="15.41796875" style="62"/>
    <col min="4109" max="4113" width="20.578125" style="62" bestFit="1" customWidth="1"/>
    <col min="4114" max="4120" width="21.83984375" style="62" bestFit="1" customWidth="1"/>
    <col min="4121" max="4357" width="15.41796875" style="62"/>
    <col min="4358" max="4363" width="20.578125" style="62" bestFit="1" customWidth="1"/>
    <col min="4364" max="4364" width="15.41796875" style="62"/>
    <col min="4365" max="4369" width="20.578125" style="62" bestFit="1" customWidth="1"/>
    <col min="4370" max="4376" width="21.83984375" style="62" bestFit="1" customWidth="1"/>
    <col min="4377" max="4613" width="15.41796875" style="62"/>
    <col min="4614" max="4619" width="20.578125" style="62" bestFit="1" customWidth="1"/>
    <col min="4620" max="4620" width="15.41796875" style="62"/>
    <col min="4621" max="4625" width="20.578125" style="62" bestFit="1" customWidth="1"/>
    <col min="4626" max="4632" width="21.83984375" style="62" bestFit="1" customWidth="1"/>
    <col min="4633" max="4869" width="15.41796875" style="62"/>
    <col min="4870" max="4875" width="20.578125" style="62" bestFit="1" customWidth="1"/>
    <col min="4876" max="4876" width="15.41796875" style="62"/>
    <col min="4877" max="4881" width="20.578125" style="62" bestFit="1" customWidth="1"/>
    <col min="4882" max="4888" width="21.83984375" style="62" bestFit="1" customWidth="1"/>
    <col min="4889" max="5125" width="15.41796875" style="62"/>
    <col min="5126" max="5131" width="20.578125" style="62" bestFit="1" customWidth="1"/>
    <col min="5132" max="5132" width="15.41796875" style="62"/>
    <col min="5133" max="5137" width="20.578125" style="62" bestFit="1" customWidth="1"/>
    <col min="5138" max="5144" width="21.83984375" style="62" bestFit="1" customWidth="1"/>
    <col min="5145" max="5381" width="15.41796875" style="62"/>
    <col min="5382" max="5387" width="20.578125" style="62" bestFit="1" customWidth="1"/>
    <col min="5388" max="5388" width="15.41796875" style="62"/>
    <col min="5389" max="5393" width="20.578125" style="62" bestFit="1" customWidth="1"/>
    <col min="5394" max="5400" width="21.83984375" style="62" bestFit="1" customWidth="1"/>
    <col min="5401" max="5637" width="15.41796875" style="62"/>
    <col min="5638" max="5643" width="20.578125" style="62" bestFit="1" customWidth="1"/>
    <col min="5644" max="5644" width="15.41796875" style="62"/>
    <col min="5645" max="5649" width="20.578125" style="62" bestFit="1" customWidth="1"/>
    <col min="5650" max="5656" width="21.83984375" style="62" bestFit="1" customWidth="1"/>
    <col min="5657" max="5893" width="15.41796875" style="62"/>
    <col min="5894" max="5899" width="20.578125" style="62" bestFit="1" customWidth="1"/>
    <col min="5900" max="5900" width="15.41796875" style="62"/>
    <col min="5901" max="5905" width="20.578125" style="62" bestFit="1" customWidth="1"/>
    <col min="5906" max="5912" width="21.83984375" style="62" bestFit="1" customWidth="1"/>
    <col min="5913" max="6149" width="15.41796875" style="62"/>
    <col min="6150" max="6155" width="20.578125" style="62" bestFit="1" customWidth="1"/>
    <col min="6156" max="6156" width="15.41796875" style="62"/>
    <col min="6157" max="6161" width="20.578125" style="62" bestFit="1" customWidth="1"/>
    <col min="6162" max="6168" width="21.83984375" style="62" bestFit="1" customWidth="1"/>
    <col min="6169" max="6405" width="15.41796875" style="62"/>
    <col min="6406" max="6411" width="20.578125" style="62" bestFit="1" customWidth="1"/>
    <col min="6412" max="6412" width="15.41796875" style="62"/>
    <col min="6413" max="6417" width="20.578125" style="62" bestFit="1" customWidth="1"/>
    <col min="6418" max="6424" width="21.83984375" style="62" bestFit="1" customWidth="1"/>
    <col min="6425" max="6661" width="15.41796875" style="62"/>
    <col min="6662" max="6667" width="20.578125" style="62" bestFit="1" customWidth="1"/>
    <col min="6668" max="6668" width="15.41796875" style="62"/>
    <col min="6669" max="6673" width="20.578125" style="62" bestFit="1" customWidth="1"/>
    <col min="6674" max="6680" width="21.83984375" style="62" bestFit="1" customWidth="1"/>
    <col min="6681" max="6917" width="15.41796875" style="62"/>
    <col min="6918" max="6923" width="20.578125" style="62" bestFit="1" customWidth="1"/>
    <col min="6924" max="6924" width="15.41796875" style="62"/>
    <col min="6925" max="6929" width="20.578125" style="62" bestFit="1" customWidth="1"/>
    <col min="6930" max="6936" width="21.83984375" style="62" bestFit="1" customWidth="1"/>
    <col min="6937" max="7173" width="15.41796875" style="62"/>
    <col min="7174" max="7179" width="20.578125" style="62" bestFit="1" customWidth="1"/>
    <col min="7180" max="7180" width="15.41796875" style="62"/>
    <col min="7181" max="7185" width="20.578125" style="62" bestFit="1" customWidth="1"/>
    <col min="7186" max="7192" width="21.83984375" style="62" bestFit="1" customWidth="1"/>
    <col min="7193" max="7429" width="15.41796875" style="62"/>
    <col min="7430" max="7435" width="20.578125" style="62" bestFit="1" customWidth="1"/>
    <col min="7436" max="7436" width="15.41796875" style="62"/>
    <col min="7437" max="7441" width="20.578125" style="62" bestFit="1" customWidth="1"/>
    <col min="7442" max="7448" width="21.83984375" style="62" bestFit="1" customWidth="1"/>
    <col min="7449" max="7685" width="15.41796875" style="62"/>
    <col min="7686" max="7691" width="20.578125" style="62" bestFit="1" customWidth="1"/>
    <col min="7692" max="7692" width="15.41796875" style="62"/>
    <col min="7693" max="7697" width="20.578125" style="62" bestFit="1" customWidth="1"/>
    <col min="7698" max="7704" width="21.83984375" style="62" bestFit="1" customWidth="1"/>
    <col min="7705" max="7941" width="15.41796875" style="62"/>
    <col min="7942" max="7947" width="20.578125" style="62" bestFit="1" customWidth="1"/>
    <col min="7948" max="7948" width="15.41796875" style="62"/>
    <col min="7949" max="7953" width="20.578125" style="62" bestFit="1" customWidth="1"/>
    <col min="7954" max="7960" width="21.83984375" style="62" bestFit="1" customWidth="1"/>
    <col min="7961" max="8197" width="15.41796875" style="62"/>
    <col min="8198" max="8203" width="20.578125" style="62" bestFit="1" customWidth="1"/>
    <col min="8204" max="8204" width="15.41796875" style="62"/>
    <col min="8205" max="8209" width="20.578125" style="62" bestFit="1" customWidth="1"/>
    <col min="8210" max="8216" width="21.83984375" style="62" bestFit="1" customWidth="1"/>
    <col min="8217" max="8453" width="15.41796875" style="62"/>
    <col min="8454" max="8459" width="20.578125" style="62" bestFit="1" customWidth="1"/>
    <col min="8460" max="8460" width="15.41796875" style="62"/>
    <col min="8461" max="8465" width="20.578125" style="62" bestFit="1" customWidth="1"/>
    <col min="8466" max="8472" width="21.83984375" style="62" bestFit="1" customWidth="1"/>
    <col min="8473" max="8709" width="15.41796875" style="62"/>
    <col min="8710" max="8715" width="20.578125" style="62" bestFit="1" customWidth="1"/>
    <col min="8716" max="8716" width="15.41796875" style="62"/>
    <col min="8717" max="8721" width="20.578125" style="62" bestFit="1" customWidth="1"/>
    <col min="8722" max="8728" width="21.83984375" style="62" bestFit="1" customWidth="1"/>
    <col min="8729" max="8965" width="15.41796875" style="62"/>
    <col min="8966" max="8971" width="20.578125" style="62" bestFit="1" customWidth="1"/>
    <col min="8972" max="8972" width="15.41796875" style="62"/>
    <col min="8973" max="8977" width="20.578125" style="62" bestFit="1" customWidth="1"/>
    <col min="8978" max="8984" width="21.83984375" style="62" bestFit="1" customWidth="1"/>
    <col min="8985" max="9221" width="15.41796875" style="62"/>
    <col min="9222" max="9227" width="20.578125" style="62" bestFit="1" customWidth="1"/>
    <col min="9228" max="9228" width="15.41796875" style="62"/>
    <col min="9229" max="9233" width="20.578125" style="62" bestFit="1" customWidth="1"/>
    <col min="9234" max="9240" width="21.83984375" style="62" bestFit="1" customWidth="1"/>
    <col min="9241" max="9477" width="15.41796875" style="62"/>
    <col min="9478" max="9483" width="20.578125" style="62" bestFit="1" customWidth="1"/>
    <col min="9484" max="9484" width="15.41796875" style="62"/>
    <col min="9485" max="9489" width="20.578125" style="62" bestFit="1" customWidth="1"/>
    <col min="9490" max="9496" width="21.83984375" style="62" bestFit="1" customWidth="1"/>
    <col min="9497" max="9733" width="15.41796875" style="62"/>
    <col min="9734" max="9739" width="20.578125" style="62" bestFit="1" customWidth="1"/>
    <col min="9740" max="9740" width="15.41796875" style="62"/>
    <col min="9741" max="9745" width="20.578125" style="62" bestFit="1" customWidth="1"/>
    <col min="9746" max="9752" width="21.83984375" style="62" bestFit="1" customWidth="1"/>
    <col min="9753" max="9989" width="15.41796875" style="62"/>
    <col min="9990" max="9995" width="20.578125" style="62" bestFit="1" customWidth="1"/>
    <col min="9996" max="9996" width="15.41796875" style="62"/>
    <col min="9997" max="10001" width="20.578125" style="62" bestFit="1" customWidth="1"/>
    <col min="10002" max="10008" width="21.83984375" style="62" bestFit="1" customWidth="1"/>
    <col min="10009" max="10245" width="15.41796875" style="62"/>
    <col min="10246" max="10251" width="20.578125" style="62" bestFit="1" customWidth="1"/>
    <col min="10252" max="10252" width="15.41796875" style="62"/>
    <col min="10253" max="10257" width="20.578125" style="62" bestFit="1" customWidth="1"/>
    <col min="10258" max="10264" width="21.83984375" style="62" bestFit="1" customWidth="1"/>
    <col min="10265" max="10501" width="15.41796875" style="62"/>
    <col min="10502" max="10507" width="20.578125" style="62" bestFit="1" customWidth="1"/>
    <col min="10508" max="10508" width="15.41796875" style="62"/>
    <col min="10509" max="10513" width="20.578125" style="62" bestFit="1" customWidth="1"/>
    <col min="10514" max="10520" width="21.83984375" style="62" bestFit="1" customWidth="1"/>
    <col min="10521" max="10757" width="15.41796875" style="62"/>
    <col min="10758" max="10763" width="20.578125" style="62" bestFit="1" customWidth="1"/>
    <col min="10764" max="10764" width="15.41796875" style="62"/>
    <col min="10765" max="10769" width="20.578125" style="62" bestFit="1" customWidth="1"/>
    <col min="10770" max="10776" width="21.83984375" style="62" bestFit="1" customWidth="1"/>
    <col min="10777" max="11013" width="15.41796875" style="62"/>
    <col min="11014" max="11019" width="20.578125" style="62" bestFit="1" customWidth="1"/>
    <col min="11020" max="11020" width="15.41796875" style="62"/>
    <col min="11021" max="11025" width="20.578125" style="62" bestFit="1" customWidth="1"/>
    <col min="11026" max="11032" width="21.83984375" style="62" bestFit="1" customWidth="1"/>
    <col min="11033" max="11269" width="15.41796875" style="62"/>
    <col min="11270" max="11275" width="20.578125" style="62" bestFit="1" customWidth="1"/>
    <col min="11276" max="11276" width="15.41796875" style="62"/>
    <col min="11277" max="11281" width="20.578125" style="62" bestFit="1" customWidth="1"/>
    <col min="11282" max="11288" width="21.83984375" style="62" bestFit="1" customWidth="1"/>
    <col min="11289" max="11525" width="15.41796875" style="62"/>
    <col min="11526" max="11531" width="20.578125" style="62" bestFit="1" customWidth="1"/>
    <col min="11532" max="11532" width="15.41796875" style="62"/>
    <col min="11533" max="11537" width="20.578125" style="62" bestFit="1" customWidth="1"/>
    <col min="11538" max="11544" width="21.83984375" style="62" bestFit="1" customWidth="1"/>
    <col min="11545" max="11781" width="15.41796875" style="62"/>
    <col min="11782" max="11787" width="20.578125" style="62" bestFit="1" customWidth="1"/>
    <col min="11788" max="11788" width="15.41796875" style="62"/>
    <col min="11789" max="11793" width="20.578125" style="62" bestFit="1" customWidth="1"/>
    <col min="11794" max="11800" width="21.83984375" style="62" bestFit="1" customWidth="1"/>
    <col min="11801" max="12037" width="15.41796875" style="62"/>
    <col min="12038" max="12043" width="20.578125" style="62" bestFit="1" customWidth="1"/>
    <col min="12044" max="12044" width="15.41796875" style="62"/>
    <col min="12045" max="12049" width="20.578125" style="62" bestFit="1" customWidth="1"/>
    <col min="12050" max="12056" width="21.83984375" style="62" bestFit="1" customWidth="1"/>
    <col min="12057" max="12293" width="15.41796875" style="62"/>
    <col min="12294" max="12299" width="20.578125" style="62" bestFit="1" customWidth="1"/>
    <col min="12300" max="12300" width="15.41796875" style="62"/>
    <col min="12301" max="12305" width="20.578125" style="62" bestFit="1" customWidth="1"/>
    <col min="12306" max="12312" width="21.83984375" style="62" bestFit="1" customWidth="1"/>
    <col min="12313" max="12549" width="15.41796875" style="62"/>
    <col min="12550" max="12555" width="20.578125" style="62" bestFit="1" customWidth="1"/>
    <col min="12556" max="12556" width="15.41796875" style="62"/>
    <col min="12557" max="12561" width="20.578125" style="62" bestFit="1" customWidth="1"/>
    <col min="12562" max="12568" width="21.83984375" style="62" bestFit="1" customWidth="1"/>
    <col min="12569" max="12805" width="15.41796875" style="62"/>
    <col min="12806" max="12811" width="20.578125" style="62" bestFit="1" customWidth="1"/>
    <col min="12812" max="12812" width="15.41796875" style="62"/>
    <col min="12813" max="12817" width="20.578125" style="62" bestFit="1" customWidth="1"/>
    <col min="12818" max="12824" width="21.83984375" style="62" bestFit="1" customWidth="1"/>
    <col min="12825" max="13061" width="15.41796875" style="62"/>
    <col min="13062" max="13067" width="20.578125" style="62" bestFit="1" customWidth="1"/>
    <col min="13068" max="13068" width="15.41796875" style="62"/>
    <col min="13069" max="13073" width="20.578125" style="62" bestFit="1" customWidth="1"/>
    <col min="13074" max="13080" width="21.83984375" style="62" bestFit="1" customWidth="1"/>
    <col min="13081" max="13317" width="15.41796875" style="62"/>
    <col min="13318" max="13323" width="20.578125" style="62" bestFit="1" customWidth="1"/>
    <col min="13324" max="13324" width="15.41796875" style="62"/>
    <col min="13325" max="13329" width="20.578125" style="62" bestFit="1" customWidth="1"/>
    <col min="13330" max="13336" width="21.83984375" style="62" bestFit="1" customWidth="1"/>
    <col min="13337" max="13573" width="15.41796875" style="62"/>
    <col min="13574" max="13579" width="20.578125" style="62" bestFit="1" customWidth="1"/>
    <col min="13580" max="13580" width="15.41796875" style="62"/>
    <col min="13581" max="13585" width="20.578125" style="62" bestFit="1" customWidth="1"/>
    <col min="13586" max="13592" width="21.83984375" style="62" bestFit="1" customWidth="1"/>
    <col min="13593" max="13829" width="15.41796875" style="62"/>
    <col min="13830" max="13835" width="20.578125" style="62" bestFit="1" customWidth="1"/>
    <col min="13836" max="13836" width="15.41796875" style="62"/>
    <col min="13837" max="13841" width="20.578125" style="62" bestFit="1" customWidth="1"/>
    <col min="13842" max="13848" width="21.83984375" style="62" bestFit="1" customWidth="1"/>
    <col min="13849" max="14085" width="15.41796875" style="62"/>
    <col min="14086" max="14091" width="20.578125" style="62" bestFit="1" customWidth="1"/>
    <col min="14092" max="14092" width="15.41796875" style="62"/>
    <col min="14093" max="14097" width="20.578125" style="62" bestFit="1" customWidth="1"/>
    <col min="14098" max="14104" width="21.83984375" style="62" bestFit="1" customWidth="1"/>
    <col min="14105" max="14341" width="15.41796875" style="62"/>
    <col min="14342" max="14347" width="20.578125" style="62" bestFit="1" customWidth="1"/>
    <col min="14348" max="14348" width="15.41796875" style="62"/>
    <col min="14349" max="14353" width="20.578125" style="62" bestFit="1" customWidth="1"/>
    <col min="14354" max="14360" width="21.83984375" style="62" bestFit="1" customWidth="1"/>
    <col min="14361" max="14597" width="15.41796875" style="62"/>
    <col min="14598" max="14603" width="20.578125" style="62" bestFit="1" customWidth="1"/>
    <col min="14604" max="14604" width="15.41796875" style="62"/>
    <col min="14605" max="14609" width="20.578125" style="62" bestFit="1" customWidth="1"/>
    <col min="14610" max="14616" width="21.83984375" style="62" bestFit="1" customWidth="1"/>
    <col min="14617" max="14853" width="15.41796875" style="62"/>
    <col min="14854" max="14859" width="20.578125" style="62" bestFit="1" customWidth="1"/>
    <col min="14860" max="14860" width="15.41796875" style="62"/>
    <col min="14861" max="14865" width="20.578125" style="62" bestFit="1" customWidth="1"/>
    <col min="14866" max="14872" width="21.83984375" style="62" bestFit="1" customWidth="1"/>
    <col min="14873" max="15109" width="15.41796875" style="62"/>
    <col min="15110" max="15115" width="20.578125" style="62" bestFit="1" customWidth="1"/>
    <col min="15116" max="15116" width="15.41796875" style="62"/>
    <col min="15117" max="15121" width="20.578125" style="62" bestFit="1" customWidth="1"/>
    <col min="15122" max="15128" width="21.83984375" style="62" bestFit="1" customWidth="1"/>
    <col min="15129" max="15365" width="15.41796875" style="62"/>
    <col min="15366" max="15371" width="20.578125" style="62" bestFit="1" customWidth="1"/>
    <col min="15372" max="15372" width="15.41796875" style="62"/>
    <col min="15373" max="15377" width="20.578125" style="62" bestFit="1" customWidth="1"/>
    <col min="15378" max="15384" width="21.83984375" style="62" bestFit="1" customWidth="1"/>
    <col min="15385" max="15621" width="15.41796875" style="62"/>
    <col min="15622" max="15627" width="20.578125" style="62" bestFit="1" customWidth="1"/>
    <col min="15628" max="15628" width="15.41796875" style="62"/>
    <col min="15629" max="15633" width="20.578125" style="62" bestFit="1" customWidth="1"/>
    <col min="15634" max="15640" width="21.83984375" style="62" bestFit="1" customWidth="1"/>
    <col min="15641" max="15877" width="15.41796875" style="62"/>
    <col min="15878" max="15883" width="20.578125" style="62" bestFit="1" customWidth="1"/>
    <col min="15884" max="15884" width="15.41796875" style="62"/>
    <col min="15885" max="15889" width="20.578125" style="62" bestFit="1" customWidth="1"/>
    <col min="15890" max="15896" width="21.83984375" style="62" bestFit="1" customWidth="1"/>
    <col min="15897" max="16133" width="15.41796875" style="62"/>
    <col min="16134" max="16139" width="20.578125" style="62" bestFit="1" customWidth="1"/>
    <col min="16140" max="16140" width="15.41796875" style="62"/>
    <col min="16141" max="16145" width="20.578125" style="62" bestFit="1" customWidth="1"/>
    <col min="16146" max="16152" width="21.83984375" style="62" bestFit="1" customWidth="1"/>
    <col min="16153" max="16384" width="15.41796875" style="62"/>
  </cols>
  <sheetData>
    <row r="1" spans="1:46" x14ac:dyDescent="0.55000000000000004">
      <c r="A1" s="62">
        <v>1</v>
      </c>
      <c r="B1" s="62">
        <v>2</v>
      </c>
      <c r="C1" s="4">
        <v>3</v>
      </c>
      <c r="D1" s="4">
        <v>4</v>
      </c>
      <c r="E1" s="4">
        <v>5</v>
      </c>
      <c r="F1" s="4">
        <v>6</v>
      </c>
      <c r="G1" s="4">
        <v>7</v>
      </c>
      <c r="H1" s="4">
        <v>8</v>
      </c>
      <c r="I1" s="4">
        <v>9</v>
      </c>
      <c r="J1" s="4">
        <v>10</v>
      </c>
      <c r="K1" s="4">
        <v>11</v>
      </c>
      <c r="L1" s="4">
        <v>12</v>
      </c>
      <c r="M1" s="4">
        <v>13</v>
      </c>
      <c r="N1" s="4">
        <v>14</v>
      </c>
      <c r="O1" s="4">
        <v>15</v>
      </c>
      <c r="P1" s="4">
        <v>16</v>
      </c>
      <c r="Q1" s="4">
        <v>17</v>
      </c>
      <c r="R1" s="4">
        <v>18</v>
      </c>
      <c r="S1" s="4">
        <v>19</v>
      </c>
      <c r="T1" s="4">
        <v>20</v>
      </c>
      <c r="U1" s="4">
        <v>21</v>
      </c>
      <c r="V1" s="4">
        <v>22</v>
      </c>
      <c r="W1" s="4">
        <v>23</v>
      </c>
      <c r="X1" s="4">
        <v>24</v>
      </c>
      <c r="Y1" s="4">
        <v>25</v>
      </c>
      <c r="Z1" s="4">
        <v>26</v>
      </c>
      <c r="AA1" s="4">
        <v>27</v>
      </c>
      <c r="AB1" s="4">
        <v>28</v>
      </c>
      <c r="AC1" s="4">
        <v>29</v>
      </c>
      <c r="AD1" s="4">
        <v>30</v>
      </c>
      <c r="AE1" s="4">
        <v>31</v>
      </c>
      <c r="AF1" s="4">
        <v>32</v>
      </c>
      <c r="AG1" s="4">
        <v>33</v>
      </c>
      <c r="AH1" s="4">
        <v>34</v>
      </c>
      <c r="AI1" s="4">
        <v>35</v>
      </c>
      <c r="AJ1" s="4">
        <v>36</v>
      </c>
      <c r="AK1" s="4">
        <v>37</v>
      </c>
      <c r="AL1" s="4">
        <v>38</v>
      </c>
      <c r="AM1" s="4">
        <v>39</v>
      </c>
      <c r="AN1" s="4">
        <v>40</v>
      </c>
      <c r="AO1" s="4">
        <v>41</v>
      </c>
      <c r="AP1" s="4">
        <v>42</v>
      </c>
      <c r="AQ1" s="4">
        <v>43</v>
      </c>
      <c r="AR1" s="4">
        <v>44</v>
      </c>
      <c r="AS1" s="4">
        <v>45</v>
      </c>
    </row>
    <row r="2" spans="1:46" x14ac:dyDescent="0.55000000000000004">
      <c r="A2" s="63"/>
      <c r="B2" s="63"/>
      <c r="C2" s="163" t="s">
        <v>123</v>
      </c>
      <c r="D2" s="164"/>
      <c r="E2" s="164"/>
      <c r="F2" s="164"/>
      <c r="G2" s="164"/>
      <c r="H2" s="164"/>
      <c r="I2" s="164"/>
      <c r="J2" s="164"/>
      <c r="K2" s="165" t="s">
        <v>124</v>
      </c>
      <c r="L2" s="166"/>
      <c r="M2" s="166"/>
      <c r="N2" s="166"/>
      <c r="O2" s="166"/>
      <c r="P2" s="166"/>
      <c r="Q2" s="116"/>
      <c r="R2" s="167" t="s">
        <v>125</v>
      </c>
      <c r="S2" s="168"/>
      <c r="T2" s="168"/>
      <c r="U2" s="168"/>
      <c r="V2" s="168"/>
      <c r="W2" s="168"/>
      <c r="X2" s="163" t="s">
        <v>126</v>
      </c>
      <c r="Y2" s="164"/>
      <c r="Z2" s="164"/>
      <c r="AA2" s="164"/>
      <c r="AB2" s="164"/>
      <c r="AC2" s="164"/>
      <c r="AD2" s="164"/>
      <c r="AE2" s="164"/>
      <c r="AF2" s="169" t="s">
        <v>127</v>
      </c>
      <c r="AG2" s="170"/>
      <c r="AH2" s="170"/>
      <c r="AI2" s="170"/>
      <c r="AJ2" s="170"/>
      <c r="AK2" s="170"/>
      <c r="AL2" s="170"/>
      <c r="AM2" s="162" t="s">
        <v>128</v>
      </c>
      <c r="AN2" s="162"/>
      <c r="AO2" s="162"/>
      <c r="AP2" s="162"/>
      <c r="AQ2" s="162"/>
      <c r="AR2" s="162"/>
      <c r="AS2" s="123" t="s">
        <v>129</v>
      </c>
    </row>
    <row r="3" spans="1:46" ht="27" customHeight="1" x14ac:dyDescent="0.55000000000000004">
      <c r="A3" s="64" t="s">
        <v>130</v>
      </c>
      <c r="B3" s="64" t="s">
        <v>18</v>
      </c>
      <c r="C3" s="65" t="s">
        <v>131</v>
      </c>
      <c r="D3" s="65" t="s">
        <v>132</v>
      </c>
      <c r="E3" s="65" t="s">
        <v>133</v>
      </c>
      <c r="F3" s="65" t="s">
        <v>134</v>
      </c>
      <c r="G3" s="65" t="s">
        <v>135</v>
      </c>
      <c r="H3" s="65" t="s">
        <v>136</v>
      </c>
      <c r="I3" s="65" t="s">
        <v>195</v>
      </c>
      <c r="J3" s="66" t="s">
        <v>198</v>
      </c>
      <c r="K3" s="65" t="s">
        <v>137</v>
      </c>
      <c r="L3" s="65" t="s">
        <v>138</v>
      </c>
      <c r="M3" s="65" t="s">
        <v>139</v>
      </c>
      <c r="N3" s="65" t="s">
        <v>140</v>
      </c>
      <c r="O3" s="65" t="s">
        <v>141</v>
      </c>
      <c r="P3" s="65" t="s">
        <v>142</v>
      </c>
      <c r="Q3" s="65" t="s">
        <v>196</v>
      </c>
      <c r="R3" s="119" t="s">
        <v>137</v>
      </c>
      <c r="S3" s="119" t="s">
        <v>138</v>
      </c>
      <c r="T3" s="119" t="s">
        <v>139</v>
      </c>
      <c r="U3" s="119" t="s">
        <v>140</v>
      </c>
      <c r="V3" s="119" t="s">
        <v>141</v>
      </c>
      <c r="W3" s="119" t="s">
        <v>142</v>
      </c>
      <c r="X3" s="66" t="s">
        <v>137</v>
      </c>
      <c r="Y3" s="66" t="s">
        <v>138</v>
      </c>
      <c r="Z3" s="66" t="s">
        <v>139</v>
      </c>
      <c r="AA3" s="66" t="s">
        <v>140</v>
      </c>
      <c r="AB3" s="66" t="s">
        <v>141</v>
      </c>
      <c r="AC3" s="66" t="s">
        <v>142</v>
      </c>
      <c r="AD3" s="66" t="s">
        <v>196</v>
      </c>
      <c r="AE3" s="67" t="s">
        <v>202</v>
      </c>
      <c r="AF3" s="124" t="s">
        <v>137</v>
      </c>
      <c r="AG3" s="124" t="s">
        <v>138</v>
      </c>
      <c r="AH3" s="124" t="s">
        <v>139</v>
      </c>
      <c r="AI3" s="124" t="s">
        <v>140</v>
      </c>
      <c r="AJ3" s="124" t="s">
        <v>141</v>
      </c>
      <c r="AK3" s="124" t="s">
        <v>142</v>
      </c>
      <c r="AL3" s="124" t="s">
        <v>143</v>
      </c>
      <c r="AM3" s="125">
        <v>2013</v>
      </c>
      <c r="AN3" s="125">
        <v>2014</v>
      </c>
      <c r="AO3" s="125">
        <v>2015</v>
      </c>
      <c r="AP3" s="125">
        <v>2016</v>
      </c>
      <c r="AQ3" s="125">
        <v>2017</v>
      </c>
      <c r="AR3" s="123" t="s">
        <v>143</v>
      </c>
      <c r="AS3" s="126">
        <v>2017</v>
      </c>
    </row>
    <row r="4" spans="1:46" x14ac:dyDescent="0.55000000000000004">
      <c r="A4" s="68">
        <v>210043</v>
      </c>
      <c r="B4" s="69" t="s">
        <v>11</v>
      </c>
      <c r="C4" s="70">
        <v>58929046</v>
      </c>
      <c r="D4">
        <v>58885997.129999988</v>
      </c>
      <c r="E4">
        <v>61100247.789999999</v>
      </c>
      <c r="F4">
        <v>63241684.410000011</v>
      </c>
      <c r="G4">
        <v>61543502.159999989</v>
      </c>
      <c r="H4">
        <v>60483830.719999999</v>
      </c>
      <c r="I4">
        <v>61694944.870000005</v>
      </c>
      <c r="J4" s="71">
        <f t="shared" ref="J4:J48" si="0">I4/D4-1</f>
        <v>4.7701454962184364E-2</v>
      </c>
      <c r="K4" s="4">
        <v>114369106.54000013</v>
      </c>
      <c r="L4">
        <v>235006412.54000002</v>
      </c>
      <c r="M4">
        <v>245144548.58000004</v>
      </c>
      <c r="N4">
        <v>251209161.6099999</v>
      </c>
      <c r="O4">
        <v>253928066.95000008</v>
      </c>
      <c r="P4">
        <v>255701684.57000005</v>
      </c>
      <c r="Q4">
        <v>269496039.04999989</v>
      </c>
      <c r="R4" s="120">
        <v>374902108</v>
      </c>
      <c r="S4" s="118">
        <v>385265454.77000189</v>
      </c>
      <c r="T4" s="118">
        <v>398836349.08001125</v>
      </c>
      <c r="U4" s="118">
        <v>408705919.99002135</v>
      </c>
      <c r="V4" s="118">
        <v>413230602.75999308</v>
      </c>
      <c r="W4" s="118">
        <v>420614448.9700048</v>
      </c>
      <c r="X4" s="72">
        <f t="shared" ref="X4:X51" si="1">IFERROR(C4/K4,0)</f>
        <v>0.51525318141214826</v>
      </c>
      <c r="Y4" s="72">
        <f t="shared" ref="Y4:Y51" si="2">IFERROR(D4/L4,0)</f>
        <v>0.25057187373547568</v>
      </c>
      <c r="Z4" s="72">
        <f t="shared" ref="Z4:Z51" si="3">E4/M4</f>
        <v>0.24924171532234032</v>
      </c>
      <c r="AA4" s="72">
        <f t="shared" ref="AA4:AA51" si="4">F4/N4</f>
        <v>0.2517491161734865</v>
      </c>
      <c r="AB4" s="72">
        <f t="shared" ref="AB4:AB51" si="5">G4/O4</f>
        <v>0.24236589085726495</v>
      </c>
      <c r="AC4" s="72">
        <f t="shared" ref="AC4:AC51" si="6">H4/P4</f>
        <v>0.23654060324910431</v>
      </c>
      <c r="AD4" s="72">
        <f t="shared" ref="AD4:AD51" si="7">I4/Q4</f>
        <v>0.22892709327929556</v>
      </c>
      <c r="AE4" s="73">
        <f t="shared" ref="AE4:AE51" si="8">IFERROR(AD4-Y4,0)</f>
        <v>-2.1644780456180124E-2</v>
      </c>
      <c r="AF4" s="127">
        <f t="shared" ref="AF4:AF48" si="9">C4/R4</f>
        <v>0.15718515511787948</v>
      </c>
      <c r="AG4" s="127">
        <f t="shared" ref="AG4:AG48" si="10">D4/S4</f>
        <v>0.15284525617578174</v>
      </c>
      <c r="AH4" s="127">
        <f t="shared" ref="AH4:AH48" si="11">E4/T4</f>
        <v>0.15319628697569532</v>
      </c>
      <c r="AI4" s="127">
        <f t="shared" ref="AI4:AI48" si="12">F4/U4</f>
        <v>0.15473640414003317</v>
      </c>
      <c r="AJ4" s="127">
        <f t="shared" ref="AJ4:AJ48" si="13">G4/V4</f>
        <v>0.14893258570141485</v>
      </c>
      <c r="AK4" s="127">
        <f t="shared" ref="AK4:AK48" si="14">H4/W4</f>
        <v>0.14379874697151279</v>
      </c>
      <c r="AL4" s="128">
        <f t="shared" ref="AL4:AL51" si="15">AK4/AG4-1</f>
        <v>-5.9187373102799423E-2</v>
      </c>
      <c r="AM4" s="129">
        <v>17.685057749339705</v>
      </c>
      <c r="AN4" s="129">
        <v>17.821812290600857</v>
      </c>
      <c r="AO4" s="129">
        <v>17.936726069846383</v>
      </c>
      <c r="AP4" s="129">
        <v>17.818542149000077</v>
      </c>
      <c r="AQ4" s="129">
        <v>16.343282902865667</v>
      </c>
      <c r="AR4" s="130">
        <f t="shared" ref="AR4:AR22" si="16">AQ4/AM4-1</f>
        <v>-7.5870538026608147E-2</v>
      </c>
      <c r="AS4" s="131">
        <v>61.71196780836209</v>
      </c>
    </row>
    <row r="5" spans="1:46" hidden="1" x14ac:dyDescent="0.55000000000000004">
      <c r="A5" s="68">
        <v>210064</v>
      </c>
      <c r="B5" s="69" t="s">
        <v>16</v>
      </c>
      <c r="C5" s="70">
        <v>3587193</v>
      </c>
      <c r="D5">
        <v>3241218.42</v>
      </c>
      <c r="E5">
        <v>3894403.9700000007</v>
      </c>
      <c r="F5">
        <v>3964399.91</v>
      </c>
      <c r="G5">
        <v>4407679.6999999993</v>
      </c>
      <c r="H5">
        <v>4246862.1399999997</v>
      </c>
      <c r="I5">
        <v>4672717.01</v>
      </c>
      <c r="J5" s="71">
        <f t="shared" si="0"/>
        <v>0.44165446585361567</v>
      </c>
      <c r="K5" s="4">
        <v>24358431.420000002</v>
      </c>
      <c r="L5">
        <v>52408340.580000013</v>
      </c>
      <c r="M5">
        <v>54250441.219999999</v>
      </c>
      <c r="N5">
        <v>57916905.45000001</v>
      </c>
      <c r="O5">
        <v>55079044.779999986</v>
      </c>
      <c r="P5">
        <v>56189764.759999998</v>
      </c>
      <c r="Q5">
        <v>57815877.929999992</v>
      </c>
      <c r="R5" s="120">
        <v>51569130</v>
      </c>
      <c r="S5" s="138">
        <v>54951610</v>
      </c>
      <c r="T5" s="138">
        <v>55964935</v>
      </c>
      <c r="U5" s="118">
        <v>59964835.749999821</v>
      </c>
      <c r="V5" s="118">
        <v>57387715.310000032</v>
      </c>
      <c r="W5" s="118">
        <v>58285616.479999959</v>
      </c>
      <c r="X5" s="72">
        <f t="shared" si="1"/>
        <v>0.14726699507648344</v>
      </c>
      <c r="Y5" s="72">
        <f t="shared" si="2"/>
        <v>6.1845469330446774E-2</v>
      </c>
      <c r="Z5" s="72">
        <f t="shared" si="3"/>
        <v>7.1785664455836493E-2</v>
      </c>
      <c r="AA5" s="72">
        <f t="shared" si="4"/>
        <v>6.8449788178384097E-2</v>
      </c>
      <c r="AB5" s="72">
        <f t="shared" si="5"/>
        <v>8.0024621298452378E-2</v>
      </c>
      <c r="AC5" s="72">
        <f t="shared" si="6"/>
        <v>7.5580706880325435E-2</v>
      </c>
      <c r="AD5" s="72">
        <f t="shared" si="7"/>
        <v>8.0820653033366482E-2</v>
      </c>
      <c r="AE5" s="73">
        <f t="shared" si="8"/>
        <v>1.8975183702919708E-2</v>
      </c>
      <c r="AF5" s="127">
        <f t="shared" si="9"/>
        <v>6.9560859374590958E-2</v>
      </c>
      <c r="AG5" s="127">
        <f t="shared" si="10"/>
        <v>5.8983138437618113E-2</v>
      </c>
      <c r="AH5" s="127">
        <f t="shared" si="11"/>
        <v>6.9586500368489679E-2</v>
      </c>
      <c r="AI5" s="127">
        <f t="shared" si="12"/>
        <v>6.6112078194094148E-2</v>
      </c>
      <c r="AJ5" s="127">
        <f t="shared" si="13"/>
        <v>7.6805282736738326E-2</v>
      </c>
      <c r="AK5" s="127">
        <f t="shared" si="14"/>
        <v>7.2862953100226058E-2</v>
      </c>
      <c r="AL5" s="128">
        <f t="shared" si="15"/>
        <v>0.23531834741699176</v>
      </c>
      <c r="AM5" s="129">
        <v>10.884462974873413</v>
      </c>
      <c r="AN5" s="129">
        <v>10.728698052213465</v>
      </c>
      <c r="AO5" s="129">
        <v>10.707694154526399</v>
      </c>
      <c r="AP5" s="129">
        <v>10.76961389120676</v>
      </c>
      <c r="AQ5" s="129">
        <v>10.802957270114172</v>
      </c>
      <c r="AR5" s="130">
        <f t="shared" si="16"/>
        <v>-7.4882614739372189E-3</v>
      </c>
      <c r="AS5" s="131">
        <v>44.294781425510919</v>
      </c>
    </row>
    <row r="6" spans="1:46" hidden="1" x14ac:dyDescent="0.55000000000000004">
      <c r="A6" s="68">
        <v>210002</v>
      </c>
      <c r="B6" s="69" t="s">
        <v>0</v>
      </c>
      <c r="C6" s="70">
        <v>97634647</v>
      </c>
      <c r="D6">
        <v>116616622.31000002</v>
      </c>
      <c r="E6">
        <v>120558173.41000001</v>
      </c>
      <c r="F6">
        <v>121640772.67999996</v>
      </c>
      <c r="G6">
        <v>114020681.55000004</v>
      </c>
      <c r="H6">
        <v>138954740.57999998</v>
      </c>
      <c r="I6">
        <v>140986940.55999997</v>
      </c>
      <c r="J6" s="71">
        <f t="shared" si="0"/>
        <v>0.20897808363216641</v>
      </c>
      <c r="K6" s="4">
        <v>519286275.69</v>
      </c>
      <c r="L6">
        <v>1076411225.2099998</v>
      </c>
      <c r="M6">
        <v>1080578949.45</v>
      </c>
      <c r="N6">
        <v>1081447115.3999999</v>
      </c>
      <c r="O6">
        <v>1080060899.4299996</v>
      </c>
      <c r="P6">
        <v>1155036555.4099994</v>
      </c>
      <c r="Q6">
        <v>1196051905.8699989</v>
      </c>
      <c r="R6" s="120">
        <v>1186719250</v>
      </c>
      <c r="S6" s="118">
        <v>1393565034.7999325</v>
      </c>
      <c r="T6" s="118">
        <v>1430038508.8200285</v>
      </c>
      <c r="U6" s="118">
        <v>1492925473.7899351</v>
      </c>
      <c r="V6" s="118">
        <v>1549551276.2999935</v>
      </c>
      <c r="W6" s="118">
        <v>1646679174.6901515</v>
      </c>
      <c r="X6" s="72">
        <f t="shared" si="1"/>
        <v>0.18801699865891558</v>
      </c>
      <c r="Y6" s="72">
        <f t="shared" si="2"/>
        <v>0.10833835580565317</v>
      </c>
      <c r="Z6" s="72">
        <f t="shared" si="3"/>
        <v>0.11156813065011352</v>
      </c>
      <c r="AA6" s="72">
        <f t="shared" si="4"/>
        <v>0.11247963117919837</v>
      </c>
      <c r="AB6" s="72">
        <f t="shared" si="5"/>
        <v>0.10556875228996279</v>
      </c>
      <c r="AC6" s="72">
        <f t="shared" si="6"/>
        <v>0.12030332713640886</v>
      </c>
      <c r="AD6" s="72">
        <f t="shared" si="7"/>
        <v>0.11787694151738938</v>
      </c>
      <c r="AE6" s="73">
        <f t="shared" si="8"/>
        <v>9.5385857117362138E-3</v>
      </c>
      <c r="AF6" s="127">
        <f t="shared" si="9"/>
        <v>8.2272742268232349E-2</v>
      </c>
      <c r="AG6" s="127">
        <f t="shared" si="10"/>
        <v>8.3682224652502218E-2</v>
      </c>
      <c r="AH6" s="127">
        <f t="shared" si="11"/>
        <v>8.4304144725079119E-2</v>
      </c>
      <c r="AI6" s="127">
        <f t="shared" si="12"/>
        <v>8.1478127887524857E-2</v>
      </c>
      <c r="AJ6" s="127">
        <f t="shared" si="13"/>
        <v>7.3583032258382405E-2</v>
      </c>
      <c r="AK6" s="127">
        <f t="shared" si="14"/>
        <v>8.4384829003589304E-2</v>
      </c>
      <c r="AL6" s="128">
        <f t="shared" si="15"/>
        <v>8.3961002949517471E-3</v>
      </c>
      <c r="AM6" s="129">
        <v>25.452382037918206</v>
      </c>
      <c r="AN6" s="129">
        <v>24.637936927996343</v>
      </c>
      <c r="AO6" s="129">
        <v>24.146303863589619</v>
      </c>
      <c r="AP6" s="129">
        <v>24.816273855997039</v>
      </c>
      <c r="AQ6" s="129">
        <v>25.216747373930129</v>
      </c>
      <c r="AR6" s="130">
        <f t="shared" si="16"/>
        <v>-9.2578629236758081E-3</v>
      </c>
      <c r="AS6" s="131">
        <v>98.397358203333638</v>
      </c>
    </row>
    <row r="7" spans="1:46" hidden="1" x14ac:dyDescent="0.55000000000000004">
      <c r="A7" s="68">
        <v>210063</v>
      </c>
      <c r="B7" s="69" t="s">
        <v>46</v>
      </c>
      <c r="C7" s="70">
        <v>32421657</v>
      </c>
      <c r="D7">
        <v>31403641.119999997</v>
      </c>
      <c r="E7">
        <v>29789260.590000004</v>
      </c>
      <c r="F7">
        <v>33785155.420000002</v>
      </c>
      <c r="G7">
        <v>35078167.93</v>
      </c>
      <c r="H7">
        <v>32626022.729999997</v>
      </c>
      <c r="I7">
        <v>32014872.289999995</v>
      </c>
      <c r="J7" s="71">
        <f t="shared" si="0"/>
        <v>1.9463703831805734E-2</v>
      </c>
      <c r="K7" s="4">
        <v>105050544.30000003</v>
      </c>
      <c r="L7">
        <v>218745613.14000005</v>
      </c>
      <c r="M7">
        <v>223333028.32999998</v>
      </c>
      <c r="N7">
        <v>256988976.96999997</v>
      </c>
      <c r="O7">
        <v>248856905.08999968</v>
      </c>
      <c r="P7">
        <v>255047309.37999979</v>
      </c>
      <c r="Q7">
        <v>256981272.0399999</v>
      </c>
      <c r="R7" s="120">
        <v>348517581</v>
      </c>
      <c r="S7" s="118">
        <v>353949861.59996015</v>
      </c>
      <c r="T7" s="118">
        <v>359190233.73998159</v>
      </c>
      <c r="U7" s="118">
        <v>409520840.37000108</v>
      </c>
      <c r="V7" s="118">
        <v>402473448.22001821</v>
      </c>
      <c r="W7" s="118">
        <v>416506618.12999755</v>
      </c>
      <c r="X7" s="72">
        <f t="shared" si="1"/>
        <v>0.30862911959229128</v>
      </c>
      <c r="Y7" s="72">
        <f t="shared" si="2"/>
        <v>0.14356238129402513</v>
      </c>
      <c r="Z7" s="72">
        <f t="shared" si="3"/>
        <v>0.13338493107245641</v>
      </c>
      <c r="AA7" s="72">
        <f t="shared" si="4"/>
        <v>0.13146538741988131</v>
      </c>
      <c r="AB7" s="72">
        <f t="shared" si="5"/>
        <v>0.14095718146665007</v>
      </c>
      <c r="AC7" s="72">
        <f t="shared" si="6"/>
        <v>0.12792145429532789</v>
      </c>
      <c r="AD7" s="72">
        <f t="shared" si="7"/>
        <v>0.1245805658749202</v>
      </c>
      <c r="AE7" s="73">
        <f t="shared" si="8"/>
        <v>-1.898181541910493E-2</v>
      </c>
      <c r="AF7" s="127">
        <f t="shared" si="9"/>
        <v>9.3027321339063232E-2</v>
      </c>
      <c r="AG7" s="127">
        <f t="shared" si="10"/>
        <v>8.8723416864880431E-2</v>
      </c>
      <c r="AH7" s="127">
        <f t="shared" si="11"/>
        <v>8.2934494849223828E-2</v>
      </c>
      <c r="AI7" s="127">
        <f t="shared" si="12"/>
        <v>8.2499233468741662E-2</v>
      </c>
      <c r="AJ7" s="127">
        <f t="shared" si="13"/>
        <v>8.7156477241261354E-2</v>
      </c>
      <c r="AK7" s="127">
        <f t="shared" si="14"/>
        <v>7.8332543373457172E-2</v>
      </c>
      <c r="AL7" s="128">
        <f t="shared" si="15"/>
        <v>-0.11711534405001367</v>
      </c>
      <c r="AM7" s="129">
        <v>19.731653127196246</v>
      </c>
      <c r="AN7" s="129">
        <v>18.35576151353505</v>
      </c>
      <c r="AO7" s="129">
        <v>16.788319089292731</v>
      </c>
      <c r="AP7" s="129">
        <v>16.571289327224783</v>
      </c>
      <c r="AQ7" s="129">
        <v>15.062208272774754</v>
      </c>
      <c r="AR7" s="130">
        <f t="shared" si="16"/>
        <v>-0.23664742251046211</v>
      </c>
      <c r="AS7" s="131">
        <v>35.000016655042025</v>
      </c>
    </row>
    <row r="8" spans="1:46" hidden="1" x14ac:dyDescent="0.55000000000000004">
      <c r="A8" s="68">
        <v>210008</v>
      </c>
      <c r="B8" s="69" t="s">
        <v>22</v>
      </c>
      <c r="C8" s="70">
        <v>35803944</v>
      </c>
      <c r="D8">
        <v>32733442.689999998</v>
      </c>
      <c r="E8">
        <v>27704301.090000004</v>
      </c>
      <c r="F8">
        <v>28965084.109999999</v>
      </c>
      <c r="G8">
        <v>26945795.660000004</v>
      </c>
      <c r="H8">
        <v>28219488.829999998</v>
      </c>
      <c r="I8">
        <v>32392983.130000006</v>
      </c>
      <c r="J8" s="71">
        <f t="shared" si="0"/>
        <v>-1.040097014005803E-2</v>
      </c>
      <c r="K8" s="4">
        <v>116753275.18999994</v>
      </c>
      <c r="L8">
        <v>239399553.77000004</v>
      </c>
      <c r="M8">
        <v>228729295.47999996</v>
      </c>
      <c r="N8">
        <v>231087672.98000017</v>
      </c>
      <c r="O8">
        <v>243768669.78000006</v>
      </c>
      <c r="P8">
        <v>240850257.8600001</v>
      </c>
      <c r="Q8">
        <v>246122922.58000007</v>
      </c>
      <c r="R8" s="120">
        <v>470561115</v>
      </c>
      <c r="S8" s="118">
        <v>479955036.98992795</v>
      </c>
      <c r="T8" s="118">
        <v>490695677.23003066</v>
      </c>
      <c r="U8" s="118">
        <v>504268250.54003072</v>
      </c>
      <c r="V8" s="118">
        <v>515865474.98006117</v>
      </c>
      <c r="W8" s="118">
        <v>530833374.00000274</v>
      </c>
      <c r="X8" s="72">
        <f t="shared" si="1"/>
        <v>0.30666329438496687</v>
      </c>
      <c r="Y8" s="72">
        <f t="shared" si="2"/>
        <v>0.13673142733360405</v>
      </c>
      <c r="Z8" s="72">
        <f t="shared" si="3"/>
        <v>0.12112266175550941</v>
      </c>
      <c r="AA8" s="72">
        <f t="shared" si="4"/>
        <v>0.12534240245911701</v>
      </c>
      <c r="AB8" s="72">
        <f t="shared" si="5"/>
        <v>0.11053838741589903</v>
      </c>
      <c r="AC8" s="72">
        <f t="shared" si="6"/>
        <v>0.1171661142517989</v>
      </c>
      <c r="AD8" s="72">
        <f t="shared" si="7"/>
        <v>0.13161302811797612</v>
      </c>
      <c r="AE8" s="73">
        <f t="shared" si="8"/>
        <v>-5.1183992156279279E-3</v>
      </c>
      <c r="AF8" s="127">
        <f t="shared" si="9"/>
        <v>7.6087765985508593E-2</v>
      </c>
      <c r="AG8" s="127">
        <f t="shared" si="10"/>
        <v>6.8201060864555366E-2</v>
      </c>
      <c r="AH8" s="127">
        <f t="shared" si="11"/>
        <v>5.645923201604372E-2</v>
      </c>
      <c r="AI8" s="127">
        <f t="shared" si="12"/>
        <v>5.7439833023357562E-2</v>
      </c>
      <c r="AJ8" s="127">
        <f t="shared" si="13"/>
        <v>5.223415205493543E-2</v>
      </c>
      <c r="AK8" s="127">
        <f t="shared" si="14"/>
        <v>5.3160728417199807E-2</v>
      </c>
      <c r="AL8" s="128">
        <f t="shared" si="15"/>
        <v>-0.22052930345504551</v>
      </c>
      <c r="AM8" s="129">
        <v>12.129798925968387</v>
      </c>
      <c r="AN8" s="129">
        <v>17.103334189551525</v>
      </c>
      <c r="AO8" s="129">
        <v>19.688456171966124</v>
      </c>
      <c r="AP8" s="129">
        <v>18.669008029393712</v>
      </c>
      <c r="AQ8" s="129">
        <v>16.0951319596467</v>
      </c>
      <c r="AR8" s="130">
        <f t="shared" si="16"/>
        <v>0.32690838965096347</v>
      </c>
      <c r="AS8" s="131">
        <v>45.407655453007166</v>
      </c>
    </row>
    <row r="9" spans="1:46" hidden="1" x14ac:dyDescent="0.55000000000000004">
      <c r="A9" s="68">
        <v>210037</v>
      </c>
      <c r="B9" s="69" t="s">
        <v>36</v>
      </c>
      <c r="C9" s="70">
        <v>20591674</v>
      </c>
      <c r="D9">
        <v>22266215.009999998</v>
      </c>
      <c r="E9">
        <v>23539441.720000006</v>
      </c>
      <c r="F9">
        <v>23002711.66</v>
      </c>
      <c r="G9">
        <v>22927846.100000001</v>
      </c>
      <c r="H9">
        <v>19072257.16</v>
      </c>
      <c r="I9">
        <v>15352497.9</v>
      </c>
      <c r="J9" s="71">
        <f t="shared" si="0"/>
        <v>-0.31050257562387551</v>
      </c>
      <c r="K9" s="4">
        <v>50870649.240000017</v>
      </c>
      <c r="L9">
        <v>105650644.33999997</v>
      </c>
      <c r="M9">
        <v>103934679.64000002</v>
      </c>
      <c r="N9">
        <v>103870025.42000005</v>
      </c>
      <c r="O9">
        <v>108895930.56000003</v>
      </c>
      <c r="P9">
        <v>113482986.02999997</v>
      </c>
      <c r="Q9">
        <v>110156563.91999994</v>
      </c>
      <c r="R9" s="120">
        <v>187100186</v>
      </c>
      <c r="S9" s="118">
        <v>191140360.69999775</v>
      </c>
      <c r="T9" s="118">
        <v>183622603.30000883</v>
      </c>
      <c r="U9" s="118">
        <v>189688990.79998979</v>
      </c>
      <c r="V9" s="118">
        <v>199279009.38999891</v>
      </c>
      <c r="W9" s="118">
        <v>207028287.4200058</v>
      </c>
      <c r="X9" s="72">
        <f t="shared" si="1"/>
        <v>0.40478496554765009</v>
      </c>
      <c r="Y9" s="72">
        <f t="shared" si="2"/>
        <v>0.21075323438959731</v>
      </c>
      <c r="Z9" s="72">
        <f t="shared" si="3"/>
        <v>0.22648303532116418</v>
      </c>
      <c r="AA9" s="72">
        <f t="shared" si="4"/>
        <v>0.22145668653673842</v>
      </c>
      <c r="AB9" s="72">
        <f t="shared" si="5"/>
        <v>0.21054823611950402</v>
      </c>
      <c r="AC9" s="72">
        <f t="shared" si="6"/>
        <v>0.16806270109034779</v>
      </c>
      <c r="AD9" s="72">
        <f t="shared" si="7"/>
        <v>0.13936979653023301</v>
      </c>
      <c r="AE9" s="73">
        <f t="shared" si="8"/>
        <v>-7.1383437859364296E-2</v>
      </c>
      <c r="AF9" s="127">
        <f t="shared" si="9"/>
        <v>0.110056940296147</v>
      </c>
      <c r="AG9" s="127">
        <f t="shared" si="10"/>
        <v>0.11649143555268104</v>
      </c>
      <c r="AH9" s="127">
        <f t="shared" si="11"/>
        <v>0.12819468462463995</v>
      </c>
      <c r="AI9" s="127">
        <f t="shared" si="12"/>
        <v>0.12126540166083924</v>
      </c>
      <c r="AJ9" s="127">
        <f t="shared" si="13"/>
        <v>0.11505399474928676</v>
      </c>
      <c r="AK9" s="127">
        <f t="shared" si="14"/>
        <v>9.2123918898616111E-2</v>
      </c>
      <c r="AL9" s="128">
        <f t="shared" si="15"/>
        <v>-0.20917861075757094</v>
      </c>
      <c r="AM9" s="129">
        <v>16.347033017282815</v>
      </c>
      <c r="AN9" s="129">
        <v>17.206011701711635</v>
      </c>
      <c r="AO9" s="129">
        <v>16.491826201915533</v>
      </c>
      <c r="AP9" s="129">
        <v>15.560345439392949</v>
      </c>
      <c r="AQ9" s="129">
        <v>15.729323930457072</v>
      </c>
      <c r="AR9" s="130">
        <f t="shared" si="16"/>
        <v>-3.7787229411763823E-2</v>
      </c>
      <c r="AS9" s="131">
        <v>48.728681509233859</v>
      </c>
    </row>
    <row r="10" spans="1:46" x14ac:dyDescent="0.55000000000000004">
      <c r="A10" s="68">
        <v>210022</v>
      </c>
      <c r="B10" s="69" t="s">
        <v>6</v>
      </c>
      <c r="C10" s="70">
        <v>26131029</v>
      </c>
      <c r="D10">
        <v>30828613.939999998</v>
      </c>
      <c r="E10">
        <v>30102651.70999999</v>
      </c>
      <c r="F10">
        <v>30077597.409999996</v>
      </c>
      <c r="G10">
        <v>33350700.679999989</v>
      </c>
      <c r="H10">
        <v>31389018.190000005</v>
      </c>
      <c r="I10">
        <v>33884105.220000006</v>
      </c>
      <c r="J10" s="71">
        <f t="shared" si="0"/>
        <v>9.9112184736775299E-2</v>
      </c>
      <c r="K10" s="4">
        <v>90870533.440000027</v>
      </c>
      <c r="L10">
        <v>196569804.9300001</v>
      </c>
      <c r="M10">
        <v>196845787.12999994</v>
      </c>
      <c r="N10">
        <v>206398437.65999997</v>
      </c>
      <c r="O10">
        <v>205897279.30999997</v>
      </c>
      <c r="P10">
        <v>215421439.31</v>
      </c>
      <c r="Q10">
        <v>226106892.24999994</v>
      </c>
      <c r="R10" s="120">
        <v>270843407</v>
      </c>
      <c r="S10" s="118">
        <v>291437840.44000089</v>
      </c>
      <c r="T10" s="118">
        <v>290052474.96000314</v>
      </c>
      <c r="U10" s="118">
        <v>301410230.3799994</v>
      </c>
      <c r="V10" s="118">
        <v>301388373.34000278</v>
      </c>
      <c r="W10" s="118">
        <v>315673598.52999967</v>
      </c>
      <c r="X10" s="72">
        <f t="shared" si="1"/>
        <v>0.28756328383671026</v>
      </c>
      <c r="Y10" s="72">
        <f t="shared" si="2"/>
        <v>0.15683290702241012</v>
      </c>
      <c r="Z10" s="72">
        <f t="shared" si="3"/>
        <v>0.15292504934393003</v>
      </c>
      <c r="AA10" s="72">
        <f t="shared" si="4"/>
        <v>0.14572589672188704</v>
      </c>
      <c r="AB10" s="72">
        <f t="shared" si="5"/>
        <v>0.16197737430899709</v>
      </c>
      <c r="AC10" s="72">
        <f t="shared" si="6"/>
        <v>0.14570981556218257</v>
      </c>
      <c r="AD10" s="72">
        <f t="shared" si="7"/>
        <v>0.14985878972028557</v>
      </c>
      <c r="AE10" s="73">
        <f t="shared" si="8"/>
        <v>-6.9741173021245495E-3</v>
      </c>
      <c r="AF10" s="127">
        <f t="shared" si="9"/>
        <v>9.648021079575328E-2</v>
      </c>
      <c r="AG10" s="127">
        <f t="shared" si="10"/>
        <v>0.10578109518467547</v>
      </c>
      <c r="AH10" s="127">
        <f t="shared" si="11"/>
        <v>0.10378346785060531</v>
      </c>
      <c r="AI10" s="127">
        <f t="shared" si="12"/>
        <v>9.9789570420619172E-2</v>
      </c>
      <c r="AJ10" s="127">
        <f t="shared" si="13"/>
        <v>0.1106568920041794</v>
      </c>
      <c r="AK10" s="127">
        <f t="shared" si="14"/>
        <v>9.9435044096717468E-2</v>
      </c>
      <c r="AL10" s="128">
        <f t="shared" si="15"/>
        <v>-5.9992298972504465E-2</v>
      </c>
      <c r="AM10" s="129">
        <v>20.777615048655175</v>
      </c>
      <c r="AN10" s="129">
        <v>20.922340462458159</v>
      </c>
      <c r="AO10" s="129">
        <v>21.221428904572683</v>
      </c>
      <c r="AP10" s="129">
        <v>21.170460628342891</v>
      </c>
      <c r="AQ10" s="129">
        <v>20.667726085298241</v>
      </c>
      <c r="AR10" s="130">
        <f t="shared" si="16"/>
        <v>-5.2888150588796812E-3</v>
      </c>
      <c r="AS10" s="131">
        <v>66.877634946429779</v>
      </c>
    </row>
    <row r="11" spans="1:46" hidden="1" x14ac:dyDescent="0.55000000000000004">
      <c r="A11" s="68">
        <v>210009</v>
      </c>
      <c r="B11" s="69" t="s">
        <v>2</v>
      </c>
      <c r="C11" s="70">
        <v>164365470</v>
      </c>
      <c r="D11">
        <v>206106568.17999998</v>
      </c>
      <c r="E11">
        <v>198554641.90999991</v>
      </c>
      <c r="F11">
        <v>205496430.34000003</v>
      </c>
      <c r="G11">
        <v>187876746.40999997</v>
      </c>
      <c r="H11">
        <v>216297703.17000002</v>
      </c>
      <c r="I11">
        <v>223797346.57999995</v>
      </c>
      <c r="J11" s="71">
        <f t="shared" si="0"/>
        <v>8.5833161728984919E-2</v>
      </c>
      <c r="K11" s="4">
        <v>650198990.89999998</v>
      </c>
      <c r="L11">
        <v>1390162743.1400003</v>
      </c>
      <c r="M11">
        <v>1332514957.1100001</v>
      </c>
      <c r="N11">
        <v>1422797411.6900001</v>
      </c>
      <c r="O11">
        <v>1301304839.0600002</v>
      </c>
      <c r="P11">
        <v>1453471469.6100001</v>
      </c>
      <c r="Q11">
        <v>1504754486.7300003</v>
      </c>
      <c r="R11" s="120">
        <v>1897996193</v>
      </c>
      <c r="S11" s="118">
        <v>1881925377.1894557</v>
      </c>
      <c r="T11" s="118">
        <v>1851220734.8594143</v>
      </c>
      <c r="U11" s="118">
        <v>1948185656.1899943</v>
      </c>
      <c r="V11" s="118">
        <v>2021740633.1782155</v>
      </c>
      <c r="W11" s="118">
        <v>2420711886.8699069</v>
      </c>
      <c r="X11" s="72">
        <f t="shared" si="1"/>
        <v>0.25279256396951139</v>
      </c>
      <c r="Y11" s="72">
        <f t="shared" si="2"/>
        <v>0.14826074802901218</v>
      </c>
      <c r="Z11" s="72">
        <f t="shared" si="3"/>
        <v>0.14900743954171544</v>
      </c>
      <c r="AA11" s="72">
        <f t="shared" si="4"/>
        <v>0.14443126523256125</v>
      </c>
      <c r="AB11" s="72">
        <f t="shared" si="5"/>
        <v>0.14437566108315794</v>
      </c>
      <c r="AC11" s="72">
        <f t="shared" si="6"/>
        <v>0.1488145503317225</v>
      </c>
      <c r="AD11" s="72">
        <f t="shared" si="7"/>
        <v>0.14872681793183193</v>
      </c>
      <c r="AE11" s="73">
        <f t="shared" si="8"/>
        <v>4.6606990281974903E-4</v>
      </c>
      <c r="AF11" s="127">
        <f t="shared" si="9"/>
        <v>8.6599472963221055E-2</v>
      </c>
      <c r="AG11" s="127">
        <f t="shared" si="10"/>
        <v>0.10951899085807959</v>
      </c>
      <c r="AH11" s="127">
        <f t="shared" si="11"/>
        <v>0.10725605983722875</v>
      </c>
      <c r="AI11" s="127">
        <f t="shared" si="12"/>
        <v>0.10548092769653328</v>
      </c>
      <c r="AJ11" s="127">
        <f t="shared" si="13"/>
        <v>9.2928214097697623E-2</v>
      </c>
      <c r="AK11" s="127">
        <f t="shared" si="14"/>
        <v>8.935293140138334E-2</v>
      </c>
      <c r="AL11" s="128">
        <f t="shared" si="15"/>
        <v>-0.18413299190118071</v>
      </c>
      <c r="AM11" s="129">
        <v>12.430047352561342</v>
      </c>
      <c r="AN11" s="129">
        <v>13.679965118814039</v>
      </c>
      <c r="AO11" s="129">
        <v>14.766686355581808</v>
      </c>
      <c r="AP11" s="129">
        <v>14.01016153229407</v>
      </c>
      <c r="AQ11" s="129">
        <v>14.636246233318984</v>
      </c>
      <c r="AR11" s="130">
        <f t="shared" si="16"/>
        <v>0.17748917748917759</v>
      </c>
      <c r="AS11" s="131">
        <v>35.90956110536429</v>
      </c>
    </row>
    <row r="12" spans="1:46" x14ac:dyDescent="0.55000000000000004">
      <c r="A12" s="68">
        <v>210004</v>
      </c>
      <c r="B12" s="69" t="s">
        <v>1</v>
      </c>
      <c r="C12" s="70">
        <v>51949201</v>
      </c>
      <c r="D12">
        <v>50166296.61999999</v>
      </c>
      <c r="E12">
        <v>56189204.520000011</v>
      </c>
      <c r="F12">
        <v>58740746.529999994</v>
      </c>
      <c r="G12">
        <v>59011841.75999999</v>
      </c>
      <c r="H12">
        <v>55436144.25999999</v>
      </c>
      <c r="I12">
        <v>56128345.729999989</v>
      </c>
      <c r="J12" s="71">
        <f t="shared" si="0"/>
        <v>0.11884570940449057</v>
      </c>
      <c r="K12" s="4">
        <v>168602705.51000077</v>
      </c>
      <c r="L12">
        <v>329956701.0100022</v>
      </c>
      <c r="M12">
        <v>346356762.00000006</v>
      </c>
      <c r="N12">
        <v>359221382.57999969</v>
      </c>
      <c r="O12">
        <v>370088346.01000023</v>
      </c>
      <c r="P12">
        <v>377806662.98999971</v>
      </c>
      <c r="Q12">
        <v>384118956.94999987</v>
      </c>
      <c r="R12" s="120">
        <v>458095133</v>
      </c>
      <c r="S12" s="118">
        <v>465179147.20000935</v>
      </c>
      <c r="T12" s="118">
        <v>472853586.55998409</v>
      </c>
      <c r="U12" s="118">
        <v>486435980.91999769</v>
      </c>
      <c r="V12" s="118">
        <v>507847705.51000774</v>
      </c>
      <c r="W12" s="118">
        <v>512287090.57999116</v>
      </c>
      <c r="X12" s="72">
        <f t="shared" si="1"/>
        <v>0.30811605806004461</v>
      </c>
      <c r="Y12" s="72">
        <f t="shared" si="2"/>
        <v>0.15203902956491031</v>
      </c>
      <c r="Z12" s="72">
        <f t="shared" si="3"/>
        <v>0.1622292695991886</v>
      </c>
      <c r="AA12" s="72">
        <f t="shared" si="4"/>
        <v>0.16352241091026437</v>
      </c>
      <c r="AB12" s="72">
        <f t="shared" si="5"/>
        <v>0.1594533910516745</v>
      </c>
      <c r="AC12" s="72">
        <f t="shared" si="6"/>
        <v>0.14673151558861561</v>
      </c>
      <c r="AD12" s="72">
        <f t="shared" si="7"/>
        <v>0.14612230069474577</v>
      </c>
      <c r="AE12" s="73">
        <f t="shared" si="8"/>
        <v>-5.9167288701645337E-3</v>
      </c>
      <c r="AF12" s="127">
        <f t="shared" si="9"/>
        <v>0.11340264774216668</v>
      </c>
      <c r="AG12" s="127">
        <f t="shared" si="10"/>
        <v>0.10784296097956943</v>
      </c>
      <c r="AH12" s="127">
        <f t="shared" si="11"/>
        <v>0.11883002713118282</v>
      </c>
      <c r="AI12" s="127">
        <f t="shared" si="12"/>
        <v>0.1207574045384214</v>
      </c>
      <c r="AJ12" s="127">
        <f t="shared" si="13"/>
        <v>0.11619987866389424</v>
      </c>
      <c r="AK12" s="127">
        <f t="shared" si="14"/>
        <v>0.10821304163108499</v>
      </c>
      <c r="AL12" s="128">
        <f t="shared" si="15"/>
        <v>3.4316625596515493E-3</v>
      </c>
      <c r="AM12" s="129">
        <v>41.373811012685422</v>
      </c>
      <c r="AN12" s="129">
        <v>39.648754100265919</v>
      </c>
      <c r="AO12" s="129">
        <v>37.7991390147495</v>
      </c>
      <c r="AP12" s="129">
        <v>34.790788801493576</v>
      </c>
      <c r="AQ12" s="129">
        <v>34.881592218308754</v>
      </c>
      <c r="AR12" s="130">
        <f t="shared" si="16"/>
        <v>-0.15691614176866908</v>
      </c>
      <c r="AS12" s="131">
        <v>84.365649021747629</v>
      </c>
    </row>
    <row r="13" spans="1:46" hidden="1" x14ac:dyDescent="0.55000000000000004">
      <c r="A13" s="68">
        <v>210057</v>
      </c>
      <c r="B13" s="69" t="s">
        <v>44</v>
      </c>
      <c r="C13" s="70">
        <v>24567240</v>
      </c>
      <c r="D13">
        <v>41583817.719999999</v>
      </c>
      <c r="E13">
        <v>40384637.200000003</v>
      </c>
      <c r="F13">
        <v>40514386.870000005</v>
      </c>
      <c r="G13">
        <v>38424527.93</v>
      </c>
      <c r="H13">
        <v>42112583.989999995</v>
      </c>
      <c r="I13">
        <v>43521243.460000001</v>
      </c>
      <c r="J13" s="71">
        <f t="shared" si="0"/>
        <v>4.659085784392003E-2</v>
      </c>
      <c r="K13" s="4">
        <v>114343138.79999956</v>
      </c>
      <c r="L13">
        <v>244163683.88999996</v>
      </c>
      <c r="M13">
        <v>243326967.50000009</v>
      </c>
      <c r="N13">
        <v>241629812.20999986</v>
      </c>
      <c r="O13">
        <v>247583729.87999973</v>
      </c>
      <c r="P13">
        <v>252154612.97999987</v>
      </c>
      <c r="Q13">
        <v>278750111.78000033</v>
      </c>
      <c r="R13" s="120">
        <v>349895722</v>
      </c>
      <c r="S13" s="118">
        <v>374664946.61999321</v>
      </c>
      <c r="T13" s="118">
        <v>383932278.94000101</v>
      </c>
      <c r="U13" s="118">
        <v>389864329.03997934</v>
      </c>
      <c r="V13" s="118">
        <v>387413124.91000581</v>
      </c>
      <c r="W13" s="118">
        <v>401599469.39999497</v>
      </c>
      <c r="X13" s="72">
        <f t="shared" si="1"/>
        <v>0.21485539279248903</v>
      </c>
      <c r="Y13" s="72">
        <f t="shared" si="2"/>
        <v>0.1703112316192536</v>
      </c>
      <c r="Z13" s="72">
        <f t="shared" si="3"/>
        <v>0.16596860436359151</v>
      </c>
      <c r="AA13" s="72">
        <f t="shared" si="4"/>
        <v>0.16767130884821885</v>
      </c>
      <c r="AB13" s="72">
        <f t="shared" si="5"/>
        <v>0.15519811398198022</v>
      </c>
      <c r="AC13" s="72">
        <f t="shared" si="6"/>
        <v>0.16701096003086105</v>
      </c>
      <c r="AD13" s="72">
        <f t="shared" si="7"/>
        <v>0.15612995877235214</v>
      </c>
      <c r="AE13" s="73">
        <f t="shared" si="8"/>
        <v>-1.418127284690146E-2</v>
      </c>
      <c r="AF13" s="127">
        <f t="shared" si="9"/>
        <v>7.021303335626379E-2</v>
      </c>
      <c r="AG13" s="127">
        <f t="shared" si="10"/>
        <v>0.11098934686883506</v>
      </c>
      <c r="AH13" s="127">
        <f t="shared" si="11"/>
        <v>0.10518687647597119</v>
      </c>
      <c r="AI13" s="127">
        <f t="shared" si="12"/>
        <v>0.1039191940687792</v>
      </c>
      <c r="AJ13" s="127">
        <f t="shared" si="13"/>
        <v>9.9182308134051558E-2</v>
      </c>
      <c r="AK13" s="127">
        <f t="shared" si="14"/>
        <v>0.10486215047275289</v>
      </c>
      <c r="AL13" s="128">
        <f t="shared" si="15"/>
        <v>-5.5205265810989612E-2</v>
      </c>
      <c r="AM13" s="129">
        <v>22.738838769373121</v>
      </c>
      <c r="AN13" s="129">
        <v>23.549365978608268</v>
      </c>
      <c r="AO13" s="129">
        <v>24.670221078273656</v>
      </c>
      <c r="AP13" s="129">
        <v>24.192038191164297</v>
      </c>
      <c r="AQ13" s="129">
        <v>15.347028663845016</v>
      </c>
      <c r="AR13" s="130">
        <f t="shared" si="16"/>
        <v>-0.32507421247403867</v>
      </c>
      <c r="AS13" s="131">
        <v>39.099498783417694</v>
      </c>
    </row>
    <row r="14" spans="1:46" hidden="1" x14ac:dyDescent="0.55000000000000004">
      <c r="A14" s="68">
        <v>210012</v>
      </c>
      <c r="B14" s="69" t="s">
        <v>25</v>
      </c>
      <c r="C14" s="70">
        <v>61714909</v>
      </c>
      <c r="D14">
        <v>68544613.950000033</v>
      </c>
      <c r="E14">
        <v>68392850.689999998</v>
      </c>
      <c r="F14">
        <v>69467315.38000001</v>
      </c>
      <c r="G14">
        <v>70574536.670000002</v>
      </c>
      <c r="H14">
        <v>68931663.919999972</v>
      </c>
      <c r="I14">
        <v>69224887.13000001</v>
      </c>
      <c r="J14" s="71">
        <f t="shared" si="0"/>
        <v>9.9245314955920261E-3</v>
      </c>
      <c r="K14" s="4">
        <v>215070640.49000013</v>
      </c>
      <c r="L14">
        <v>433547537.90999985</v>
      </c>
      <c r="M14">
        <v>434035698.8099997</v>
      </c>
      <c r="N14">
        <v>435197845.25999963</v>
      </c>
      <c r="O14">
        <v>428413292.28000033</v>
      </c>
      <c r="P14">
        <v>429546361.26999974</v>
      </c>
      <c r="Q14">
        <v>417797290.81000012</v>
      </c>
      <c r="R14" s="120">
        <v>682296763</v>
      </c>
      <c r="S14" s="118">
        <v>696528174.88997793</v>
      </c>
      <c r="T14" s="118">
        <v>705510051.20000362</v>
      </c>
      <c r="U14" s="118">
        <v>722354848.92001665</v>
      </c>
      <c r="V14" s="118">
        <v>735513743.61000609</v>
      </c>
      <c r="W14" s="118">
        <v>778660534.78998852</v>
      </c>
      <c r="X14" s="72">
        <f t="shared" si="1"/>
        <v>0.28695180736614528</v>
      </c>
      <c r="Y14" s="72">
        <f t="shared" si="2"/>
        <v>0.15810172577713777</v>
      </c>
      <c r="Z14" s="72">
        <f t="shared" si="3"/>
        <v>0.15757425225047941</v>
      </c>
      <c r="AA14" s="72">
        <f t="shared" si="4"/>
        <v>0.15962237896306278</v>
      </c>
      <c r="AB14" s="72">
        <f t="shared" si="5"/>
        <v>0.16473470347851446</v>
      </c>
      <c r="AC14" s="72">
        <f t="shared" si="6"/>
        <v>0.16047549260153465</v>
      </c>
      <c r="AD14" s="72">
        <f t="shared" si="7"/>
        <v>0.16569012928683904</v>
      </c>
      <c r="AE14" s="73">
        <f t="shared" si="8"/>
        <v>7.5884035097012748E-3</v>
      </c>
      <c r="AF14" s="127">
        <f t="shared" si="9"/>
        <v>9.0451710086744172E-2</v>
      </c>
      <c r="AG14" s="127">
        <f t="shared" si="10"/>
        <v>9.8408960930872882E-2</v>
      </c>
      <c r="AH14" s="127">
        <f t="shared" si="11"/>
        <v>9.6941001157489451E-2</v>
      </c>
      <c r="AI14" s="127">
        <f t="shared" si="12"/>
        <v>9.6167853630192549E-2</v>
      </c>
      <c r="AJ14" s="127">
        <f t="shared" si="13"/>
        <v>9.5952709630699948E-2</v>
      </c>
      <c r="AK14" s="127">
        <f t="shared" si="14"/>
        <v>8.852595044975721E-2</v>
      </c>
      <c r="AL14" s="128">
        <f t="shared" si="15"/>
        <v>-0.1004279527761498</v>
      </c>
      <c r="AM14" s="129">
        <v>37.627730149786537</v>
      </c>
      <c r="AN14" s="129">
        <v>35.551940944679231</v>
      </c>
      <c r="AO14" s="129">
        <v>33.97676037808332</v>
      </c>
      <c r="AP14" s="129">
        <v>31.853466970482302</v>
      </c>
      <c r="AQ14" s="129">
        <v>33.241305309322016</v>
      </c>
      <c r="AR14" s="130">
        <f t="shared" si="16"/>
        <v>-0.11657426113675384</v>
      </c>
      <c r="AS14" s="131">
        <v>103.93807334838772</v>
      </c>
    </row>
    <row r="15" spans="1:46" hidden="1" x14ac:dyDescent="0.55000000000000004">
      <c r="A15" s="68">
        <v>210044</v>
      </c>
      <c r="B15" s="69" t="s">
        <v>12</v>
      </c>
      <c r="C15" s="70">
        <v>40697223</v>
      </c>
      <c r="D15">
        <v>36400233.709999993</v>
      </c>
      <c r="E15">
        <v>36279776.969999999</v>
      </c>
      <c r="F15">
        <v>37038101.32</v>
      </c>
      <c r="G15">
        <v>38097069.899999999</v>
      </c>
      <c r="H15">
        <v>36762457.899999999</v>
      </c>
      <c r="I15">
        <v>42423235.789999999</v>
      </c>
      <c r="J15" s="71">
        <f t="shared" si="0"/>
        <v>0.16546602771798535</v>
      </c>
      <c r="K15" s="4">
        <v>112190919.9399998</v>
      </c>
      <c r="L15">
        <v>214317593.48999947</v>
      </c>
      <c r="M15">
        <v>226682397.94000027</v>
      </c>
      <c r="N15">
        <v>229758495.73000008</v>
      </c>
      <c r="O15">
        <v>230359159.37999985</v>
      </c>
      <c r="P15">
        <v>251373838.39999998</v>
      </c>
      <c r="Q15">
        <v>249324903.26000017</v>
      </c>
      <c r="R15" s="120">
        <v>427547364</v>
      </c>
      <c r="S15" s="118">
        <v>417615615.25998592</v>
      </c>
      <c r="T15" s="118">
        <v>431697738.08999813</v>
      </c>
      <c r="U15" s="118">
        <v>439345560.26002657</v>
      </c>
      <c r="V15" s="118">
        <v>434111876.62000692</v>
      </c>
      <c r="W15" s="118">
        <v>472890060.11000741</v>
      </c>
      <c r="X15" s="72">
        <f t="shared" si="1"/>
        <v>0.36274970400247231</v>
      </c>
      <c r="Y15" s="72">
        <f t="shared" si="2"/>
        <v>0.16984248991064985</v>
      </c>
      <c r="Z15" s="72">
        <f t="shared" si="3"/>
        <v>0.16004673190197485</v>
      </c>
      <c r="AA15" s="72">
        <f t="shared" si="4"/>
        <v>0.16120449083861169</v>
      </c>
      <c r="AB15" s="72">
        <f t="shared" si="5"/>
        <v>0.16538118129331761</v>
      </c>
      <c r="AC15" s="72">
        <f t="shared" si="6"/>
        <v>0.14624615725325218</v>
      </c>
      <c r="AD15" s="72">
        <f t="shared" si="7"/>
        <v>0.17015242053763213</v>
      </c>
      <c r="AE15" s="73">
        <f t="shared" si="8"/>
        <v>3.0993062698228546E-4</v>
      </c>
      <c r="AF15" s="127">
        <f t="shared" si="9"/>
        <v>9.5187636334017958E-2</v>
      </c>
      <c r="AG15" s="127">
        <f t="shared" si="10"/>
        <v>8.7162051369508983E-2</v>
      </c>
      <c r="AH15" s="127">
        <f t="shared" si="11"/>
        <v>8.4039766181115777E-2</v>
      </c>
      <c r="AI15" s="127">
        <f t="shared" si="12"/>
        <v>8.4302892006189858E-2</v>
      </c>
      <c r="AJ15" s="127">
        <f t="shared" si="13"/>
        <v>8.7758644607062147E-2</v>
      </c>
      <c r="AK15" s="127">
        <f t="shared" si="14"/>
        <v>7.7739967491488454E-2</v>
      </c>
      <c r="AL15" s="128">
        <f t="shared" si="15"/>
        <v>-0.10809846406754675</v>
      </c>
      <c r="AM15" s="129">
        <v>22.526124847773154</v>
      </c>
      <c r="AN15" s="129">
        <v>21.44451731909723</v>
      </c>
      <c r="AO15" s="129">
        <v>20.467184604850839</v>
      </c>
      <c r="AP15" s="129">
        <v>19.850432711027576</v>
      </c>
      <c r="AQ15" s="129">
        <v>18.881540870536089</v>
      </c>
      <c r="AR15" s="130">
        <f t="shared" si="16"/>
        <v>-0.16179365078842467</v>
      </c>
      <c r="AS15" s="131">
        <v>66.173647750305079</v>
      </c>
    </row>
    <row r="16" spans="1:46" hidden="1" x14ac:dyDescent="0.55000000000000004">
      <c r="A16" s="68">
        <v>210023</v>
      </c>
      <c r="B16" s="69" t="s">
        <v>30</v>
      </c>
      <c r="C16" s="70">
        <v>51891813</v>
      </c>
      <c r="D16">
        <v>48445131.050000012</v>
      </c>
      <c r="E16">
        <v>48820001.170000002</v>
      </c>
      <c r="F16">
        <v>52326907.519999981</v>
      </c>
      <c r="G16">
        <v>50780688.25999999</v>
      </c>
      <c r="H16">
        <v>53953765.429999992</v>
      </c>
      <c r="I16">
        <v>56326285.359999999</v>
      </c>
      <c r="J16" s="71">
        <f t="shared" si="0"/>
        <v>0.16268207225749642</v>
      </c>
      <c r="K16" s="4">
        <v>155391635.35000035</v>
      </c>
      <c r="L16">
        <v>310658274.330001</v>
      </c>
      <c r="M16">
        <v>309591583.50999981</v>
      </c>
      <c r="N16">
        <v>303801140.06999952</v>
      </c>
      <c r="O16">
        <v>305542369.94000012</v>
      </c>
      <c r="P16">
        <v>316306188.75999993</v>
      </c>
      <c r="Q16">
        <v>318196343.85999995</v>
      </c>
      <c r="R16" s="120">
        <v>539102993</v>
      </c>
      <c r="S16" s="118">
        <v>546821549.73986876</v>
      </c>
      <c r="T16" s="118">
        <v>558488856.02991819</v>
      </c>
      <c r="U16" s="118">
        <v>570855516.83004022</v>
      </c>
      <c r="V16" s="118">
        <v>581456503.46006441</v>
      </c>
      <c r="W16" s="118">
        <v>617689406.88005555</v>
      </c>
      <c r="X16" s="72">
        <f t="shared" si="1"/>
        <v>0.33394212554054237</v>
      </c>
      <c r="Y16" s="72">
        <f t="shared" si="2"/>
        <v>0.15594347568717423</v>
      </c>
      <c r="Z16" s="72">
        <f t="shared" si="3"/>
        <v>0.15769162913443063</v>
      </c>
      <c r="AA16" s="72">
        <f t="shared" si="4"/>
        <v>0.17224065554179033</v>
      </c>
      <c r="AB16" s="72">
        <f t="shared" si="5"/>
        <v>0.16619851534820484</v>
      </c>
      <c r="AC16" s="72">
        <f t="shared" si="6"/>
        <v>0.17057448556891147</v>
      </c>
      <c r="AD16" s="72">
        <f t="shared" si="7"/>
        <v>0.17701738705326683</v>
      </c>
      <c r="AE16" s="73">
        <f t="shared" si="8"/>
        <v>2.1073911366092601E-2</v>
      </c>
      <c r="AF16" s="127">
        <f t="shared" si="9"/>
        <v>9.6255842897908006E-2</v>
      </c>
      <c r="AG16" s="127">
        <f t="shared" si="10"/>
        <v>8.8594041462056655E-2</v>
      </c>
      <c r="AH16" s="127">
        <f t="shared" si="11"/>
        <v>8.7414458933061892E-2</v>
      </c>
      <c r="AI16" s="127">
        <f t="shared" si="12"/>
        <v>9.1664013007303868E-2</v>
      </c>
      <c r="AJ16" s="127">
        <f t="shared" si="13"/>
        <v>8.7333597539661384E-2</v>
      </c>
      <c r="AK16" s="127">
        <f t="shared" si="14"/>
        <v>8.7347726590488325E-2</v>
      </c>
      <c r="AL16" s="128">
        <f t="shared" si="15"/>
        <v>-1.4067705355806592E-2</v>
      </c>
      <c r="AM16" s="129">
        <v>20.792105332594527</v>
      </c>
      <c r="AN16" s="129">
        <v>19.635524718723904</v>
      </c>
      <c r="AO16" s="129">
        <v>18.78163459315023</v>
      </c>
      <c r="AP16" s="129">
        <v>18.220523249029064</v>
      </c>
      <c r="AQ16" s="129">
        <v>19.125566470091233</v>
      </c>
      <c r="AR16" s="130">
        <f t="shared" si="16"/>
        <v>-8.0152482677680714E-2</v>
      </c>
      <c r="AS16" s="131">
        <v>54.579045386082278</v>
      </c>
    </row>
    <row r="17" spans="1:45" x14ac:dyDescent="0.55000000000000004">
      <c r="A17" s="68">
        <v>210058</v>
      </c>
      <c r="B17" s="69" t="s">
        <v>45</v>
      </c>
      <c r="C17" s="70">
        <v>351284</v>
      </c>
      <c r="D17">
        <v>439273.87</v>
      </c>
      <c r="E17">
        <v>279566.90000000002</v>
      </c>
      <c r="F17">
        <v>155540.13</v>
      </c>
      <c r="G17">
        <v>337664.24</v>
      </c>
      <c r="H17">
        <v>124313.88</v>
      </c>
      <c r="I17">
        <v>181459.7</v>
      </c>
      <c r="J17" s="71">
        <f t="shared" si="0"/>
        <v>-0.58690987014547435</v>
      </c>
      <c r="K17" s="4">
        <v>33388556.539999995</v>
      </c>
      <c r="L17">
        <v>70602438.750000015</v>
      </c>
      <c r="M17">
        <v>72850908.700000003</v>
      </c>
      <c r="N17">
        <v>71287095.219999999</v>
      </c>
      <c r="O17">
        <v>69018294.389999986</v>
      </c>
      <c r="P17">
        <v>73630745.079999998</v>
      </c>
      <c r="Q17">
        <v>74956892.749999985</v>
      </c>
      <c r="R17" s="120">
        <v>97710398</v>
      </c>
      <c r="S17" s="118">
        <v>117057208.07000786</v>
      </c>
      <c r="T17" s="118">
        <v>119078916.85000175</v>
      </c>
      <c r="U17" s="118">
        <v>121102899.38000527</v>
      </c>
      <c r="V17" s="118">
        <v>119015429.96000409</v>
      </c>
      <c r="W17" s="118">
        <v>125250679.39000633</v>
      </c>
      <c r="X17" s="72">
        <f t="shared" si="1"/>
        <v>1.0521089750590339E-2</v>
      </c>
      <c r="Y17" s="72">
        <f t="shared" si="2"/>
        <v>6.2217945693837651E-3</v>
      </c>
      <c r="Z17" s="72">
        <f t="shared" si="3"/>
        <v>3.837521109740118E-3</v>
      </c>
      <c r="AA17" s="72">
        <f t="shared" si="4"/>
        <v>2.1818834042821589E-3</v>
      </c>
      <c r="AB17" s="72">
        <f t="shared" si="5"/>
        <v>4.8923874892063974E-3</v>
      </c>
      <c r="AC17" s="72">
        <f t="shared" si="6"/>
        <v>1.6883420080148943E-3</v>
      </c>
      <c r="AD17" s="72">
        <f t="shared" si="7"/>
        <v>2.4208540848299777E-3</v>
      </c>
      <c r="AE17" s="73">
        <f t="shared" si="8"/>
        <v>-3.8009404845537873E-3</v>
      </c>
      <c r="AF17" s="127">
        <f t="shared" si="9"/>
        <v>3.5951547347089917E-3</v>
      </c>
      <c r="AG17" s="127">
        <f t="shared" si="10"/>
        <v>3.7526426372418305E-3</v>
      </c>
      <c r="AH17" s="127">
        <f t="shared" si="11"/>
        <v>2.347744734293793E-3</v>
      </c>
      <c r="AI17" s="127">
        <f t="shared" si="12"/>
        <v>1.2843633868082312E-3</v>
      </c>
      <c r="AJ17" s="127">
        <f t="shared" si="13"/>
        <v>2.8371467473879163E-3</v>
      </c>
      <c r="AK17" s="127">
        <f t="shared" si="14"/>
        <v>9.9252060432271729E-4</v>
      </c>
      <c r="AL17" s="128">
        <f t="shared" si="15"/>
        <v>-0.73551422283785217</v>
      </c>
      <c r="AM17" s="129">
        <v>12.949177021232391</v>
      </c>
      <c r="AN17" s="129">
        <v>13.613609792856355</v>
      </c>
      <c r="AO17" s="129">
        <v>13.908282761467376</v>
      </c>
      <c r="AP17" s="129">
        <v>12.652488262960565</v>
      </c>
      <c r="AQ17" s="129">
        <v>12.515416077473288</v>
      </c>
      <c r="AR17" s="130">
        <f t="shared" si="16"/>
        <v>-3.3497182334280895E-2</v>
      </c>
      <c r="AS17" s="131">
        <v>41.345249413393063</v>
      </c>
    </row>
    <row r="18" spans="1:45" hidden="1" x14ac:dyDescent="0.55000000000000004">
      <c r="A18" s="68">
        <v>210048</v>
      </c>
      <c r="B18" s="69" t="s">
        <v>41</v>
      </c>
      <c r="C18" s="70">
        <v>34892555</v>
      </c>
      <c r="D18">
        <v>39186951.68999999</v>
      </c>
      <c r="E18">
        <v>37290324.410000011</v>
      </c>
      <c r="F18">
        <v>35674675.540000007</v>
      </c>
      <c r="G18">
        <v>38159861.079999998</v>
      </c>
      <c r="H18">
        <v>39414777.93999999</v>
      </c>
      <c r="I18">
        <v>39163835.459999986</v>
      </c>
      <c r="J18" s="71">
        <f t="shared" si="0"/>
        <v>-5.8989610069370979E-4</v>
      </c>
      <c r="K18" s="4">
        <v>88700234.050000146</v>
      </c>
      <c r="L18">
        <v>186448447.45000017</v>
      </c>
      <c r="M18">
        <v>183739976.37</v>
      </c>
      <c r="N18">
        <v>185024581.47999996</v>
      </c>
      <c r="O18">
        <v>191191974.80999991</v>
      </c>
      <c r="P18">
        <v>202775781.54000005</v>
      </c>
      <c r="Q18">
        <v>206532839.78000012</v>
      </c>
      <c r="R18" s="120">
        <v>277944319</v>
      </c>
      <c r="S18" s="118">
        <v>281804923.64998633</v>
      </c>
      <c r="T18" s="118">
        <v>283655583.95999449</v>
      </c>
      <c r="U18" s="118">
        <v>289804184.67002493</v>
      </c>
      <c r="V18" s="118">
        <v>299630712.88002104</v>
      </c>
      <c r="W18" s="118">
        <v>308373329.87000227</v>
      </c>
      <c r="X18" s="72">
        <f t="shared" si="1"/>
        <v>0.39337613224708218</v>
      </c>
      <c r="Y18" s="72">
        <f t="shared" si="2"/>
        <v>0.21017580047433082</v>
      </c>
      <c r="Z18" s="72">
        <f t="shared" si="3"/>
        <v>0.20295161209179605</v>
      </c>
      <c r="AA18" s="72">
        <f t="shared" si="4"/>
        <v>0.19281046472117666</v>
      </c>
      <c r="AB18" s="72">
        <f t="shared" si="5"/>
        <v>0.19958924069863274</v>
      </c>
      <c r="AC18" s="72">
        <f t="shared" si="6"/>
        <v>0.19437616090373661</v>
      </c>
      <c r="AD18" s="72">
        <f t="shared" si="7"/>
        <v>0.1896252213532604</v>
      </c>
      <c r="AE18" s="73">
        <f t="shared" si="8"/>
        <v>-2.0550579121070417E-2</v>
      </c>
      <c r="AF18" s="127">
        <f t="shared" si="9"/>
        <v>0.1255379319337698</v>
      </c>
      <c r="AG18" s="127">
        <f t="shared" si="10"/>
        <v>0.1390570156917196</v>
      </c>
      <c r="AH18" s="127">
        <f t="shared" si="11"/>
        <v>0.13146338911931757</v>
      </c>
      <c r="AI18" s="127">
        <f t="shared" si="12"/>
        <v>0.12309924227153479</v>
      </c>
      <c r="AJ18" s="127">
        <f t="shared" si="13"/>
        <v>0.12735630707950849</v>
      </c>
      <c r="AK18" s="127">
        <f t="shared" si="14"/>
        <v>0.12781513225094943</v>
      </c>
      <c r="AL18" s="128">
        <f t="shared" si="15"/>
        <v>-8.084369842721717E-2</v>
      </c>
      <c r="AM18" s="129">
        <v>28.508972646955435</v>
      </c>
      <c r="AN18" s="129">
        <v>27.429982559150588</v>
      </c>
      <c r="AO18" s="129">
        <v>27.519596511693837</v>
      </c>
      <c r="AP18" s="129">
        <v>28.017585270298827</v>
      </c>
      <c r="AQ18" s="129">
        <v>29.077488887251921</v>
      </c>
      <c r="AR18" s="130">
        <f t="shared" si="16"/>
        <v>1.9941660028818919E-2</v>
      </c>
      <c r="AS18" s="131">
        <v>77.760138123507616</v>
      </c>
    </row>
    <row r="19" spans="1:45" hidden="1" x14ac:dyDescent="0.55000000000000004">
      <c r="A19" s="68">
        <v>210019</v>
      </c>
      <c r="B19" s="69" t="s">
        <v>29</v>
      </c>
      <c r="C19" s="70">
        <v>46001468</v>
      </c>
      <c r="D19">
        <v>45841747.540000007</v>
      </c>
      <c r="E19">
        <v>49725306.729999989</v>
      </c>
      <c r="F19">
        <v>49897332.340000004</v>
      </c>
      <c r="G19">
        <v>49032845.600000001</v>
      </c>
      <c r="H19">
        <v>47228285.950000003</v>
      </c>
      <c r="I19">
        <v>50607442.019999996</v>
      </c>
      <c r="J19" s="71">
        <f t="shared" si="0"/>
        <v>0.10395970345243932</v>
      </c>
      <c r="K19" s="4">
        <v>121501493.11000019</v>
      </c>
      <c r="L19">
        <v>244144361.48999995</v>
      </c>
      <c r="M19">
        <v>253737780.07999992</v>
      </c>
      <c r="N19">
        <v>254198199.19999996</v>
      </c>
      <c r="O19">
        <v>251012103.87000006</v>
      </c>
      <c r="P19">
        <v>260334627.20000026</v>
      </c>
      <c r="Q19">
        <v>265522733.48999992</v>
      </c>
      <c r="R19" s="120">
        <v>414697197</v>
      </c>
      <c r="S19" s="118">
        <v>410442316.23999965</v>
      </c>
      <c r="T19" s="118">
        <v>423276225.39000034</v>
      </c>
      <c r="U19" s="118">
        <v>426400745.97000408</v>
      </c>
      <c r="V19" s="118">
        <v>425765269.03999531</v>
      </c>
      <c r="W19" s="118">
        <v>448266513.10001528</v>
      </c>
      <c r="X19" s="72">
        <f t="shared" si="1"/>
        <v>0.37860825264388331</v>
      </c>
      <c r="Y19" s="72">
        <f t="shared" si="2"/>
        <v>0.18776492424494376</v>
      </c>
      <c r="Z19" s="72">
        <f t="shared" si="3"/>
        <v>0.19597123737080976</v>
      </c>
      <c r="AA19" s="72">
        <f t="shared" si="4"/>
        <v>0.19629302055260198</v>
      </c>
      <c r="AB19" s="72">
        <f t="shared" si="5"/>
        <v>0.19534056264232685</v>
      </c>
      <c r="AC19" s="72">
        <f t="shared" si="6"/>
        <v>0.18141376910923648</v>
      </c>
      <c r="AD19" s="72">
        <f t="shared" si="7"/>
        <v>0.19059551457165896</v>
      </c>
      <c r="AE19" s="73">
        <f t="shared" si="8"/>
        <v>2.8305903267152044E-3</v>
      </c>
      <c r="AF19" s="127">
        <f t="shared" si="9"/>
        <v>0.11092784888054115</v>
      </c>
      <c r="AG19" s="127">
        <f t="shared" si="10"/>
        <v>0.11168864838291861</v>
      </c>
      <c r="AH19" s="127">
        <f t="shared" si="11"/>
        <v>0.11747720223167234</v>
      </c>
      <c r="AI19" s="127">
        <f t="shared" si="12"/>
        <v>0.11701980545669617</v>
      </c>
      <c r="AJ19" s="127">
        <f t="shared" si="13"/>
        <v>0.11516403324902008</v>
      </c>
      <c r="AK19" s="127">
        <f t="shared" si="14"/>
        <v>0.1053576043933994</v>
      </c>
      <c r="AL19" s="128">
        <f t="shared" si="15"/>
        <v>-5.6684757861994783E-2</v>
      </c>
      <c r="AM19" s="129">
        <v>15.783619639483767</v>
      </c>
      <c r="AN19" s="129">
        <v>16.699838000462858</v>
      </c>
      <c r="AO19" s="129">
        <v>14.341649972682571</v>
      </c>
      <c r="AP19" s="129">
        <v>13.755495047664269</v>
      </c>
      <c r="AQ19" s="129">
        <v>12.579227061669108</v>
      </c>
      <c r="AR19" s="130">
        <f t="shared" si="16"/>
        <v>-0.20302013422818799</v>
      </c>
      <c r="AS19" s="131">
        <v>47.330849487189973</v>
      </c>
    </row>
    <row r="20" spans="1:45" hidden="1" x14ac:dyDescent="0.55000000000000004">
      <c r="A20" s="68">
        <v>210030</v>
      </c>
      <c r="B20" s="69" t="s">
        <v>32</v>
      </c>
      <c r="C20" s="70">
        <v>10138553</v>
      </c>
      <c r="D20">
        <v>10763076.289999995</v>
      </c>
      <c r="E20">
        <v>10107910.58</v>
      </c>
      <c r="F20">
        <v>8339598.7000000002</v>
      </c>
      <c r="G20">
        <v>7898624.3399999999</v>
      </c>
      <c r="H20">
        <v>6720970.4800000023</v>
      </c>
      <c r="I20">
        <v>3363272.27</v>
      </c>
      <c r="J20" s="71">
        <f t="shared" si="0"/>
        <v>-0.68751756659712382</v>
      </c>
      <c r="K20" s="4">
        <v>13957997.140000001</v>
      </c>
      <c r="L20">
        <v>29464642.829999998</v>
      </c>
      <c r="M20">
        <v>29835546.710000001</v>
      </c>
      <c r="N20">
        <v>25379990.349999998</v>
      </c>
      <c r="O20">
        <v>22160320.860000003</v>
      </c>
      <c r="P20">
        <v>25188566.870000005</v>
      </c>
      <c r="Q20">
        <v>17545458.479999997</v>
      </c>
      <c r="R20" s="120">
        <v>56506808</v>
      </c>
      <c r="S20" s="118">
        <v>59978592.709999263</v>
      </c>
      <c r="T20" s="118">
        <v>63725027.130001903</v>
      </c>
      <c r="U20" s="118">
        <v>59963436.420000076</v>
      </c>
      <c r="V20" s="118">
        <v>53264779.849998891</v>
      </c>
      <c r="W20" s="118">
        <v>57206567.049999788</v>
      </c>
      <c r="X20" s="72">
        <f t="shared" si="1"/>
        <v>0.72636159029905056</v>
      </c>
      <c r="Y20" s="72">
        <f t="shared" si="2"/>
        <v>0.36528785881094611</v>
      </c>
      <c r="Z20" s="72">
        <f t="shared" si="3"/>
        <v>0.33878751002112939</v>
      </c>
      <c r="AA20" s="72">
        <f t="shared" si="4"/>
        <v>0.3285895142194174</v>
      </c>
      <c r="AB20" s="72">
        <f t="shared" si="5"/>
        <v>0.35643095557597437</v>
      </c>
      <c r="AC20" s="72">
        <f t="shared" si="6"/>
        <v>0.26682623567618641</v>
      </c>
      <c r="AD20" s="72">
        <f t="shared" si="7"/>
        <v>0.19168905012278714</v>
      </c>
      <c r="AE20" s="73">
        <f t="shared" si="8"/>
        <v>-0.17359880868815897</v>
      </c>
      <c r="AF20" s="127">
        <f t="shared" si="9"/>
        <v>0.17942179639663949</v>
      </c>
      <c r="AG20" s="127">
        <f t="shared" si="10"/>
        <v>0.17944862998103725</v>
      </c>
      <c r="AH20" s="127">
        <f t="shared" si="11"/>
        <v>0.158617595554403</v>
      </c>
      <c r="AI20" s="127">
        <f t="shared" si="12"/>
        <v>0.13907806486584928</v>
      </c>
      <c r="AJ20" s="127">
        <f t="shared" si="13"/>
        <v>0.14828981481278317</v>
      </c>
      <c r="AK20" s="127">
        <f t="shared" si="14"/>
        <v>0.11748599551736302</v>
      </c>
      <c r="AL20" s="128">
        <f t="shared" si="15"/>
        <v>-0.34529455293262457</v>
      </c>
      <c r="AM20" s="129">
        <v>30.849740910805981</v>
      </c>
      <c r="AN20" s="129">
        <v>29.242612654600194</v>
      </c>
      <c r="AO20" s="129">
        <v>24.524598754206572</v>
      </c>
      <c r="AP20" s="129">
        <v>23.07931465154963</v>
      </c>
      <c r="AQ20" s="129">
        <v>23.117079506445354</v>
      </c>
      <c r="AR20" s="130">
        <f t="shared" si="16"/>
        <v>-0.25065563521968015</v>
      </c>
      <c r="AS20" s="131"/>
    </row>
    <row r="21" spans="1:45" hidden="1" x14ac:dyDescent="0.55000000000000004">
      <c r="A21" s="68">
        <v>210016</v>
      </c>
      <c r="B21" s="69" t="s">
        <v>47</v>
      </c>
      <c r="C21" s="70">
        <v>38971429</v>
      </c>
      <c r="D21">
        <v>34710627.850000001</v>
      </c>
      <c r="E21">
        <v>36315698.979999997</v>
      </c>
      <c r="F21">
        <v>34755377.589999996</v>
      </c>
      <c r="G21">
        <v>33494410.48</v>
      </c>
      <c r="H21">
        <v>36584548.139999993</v>
      </c>
      <c r="I21">
        <v>35036776.670000002</v>
      </c>
      <c r="J21" s="71">
        <f t="shared" si="0"/>
        <v>9.3962235834348373E-3</v>
      </c>
      <c r="K21" s="4">
        <v>87941682.709999919</v>
      </c>
      <c r="L21">
        <v>161325776.06</v>
      </c>
      <c r="M21">
        <v>171515040.70000005</v>
      </c>
      <c r="N21">
        <v>170536678</v>
      </c>
      <c r="O21">
        <v>168085957.66999993</v>
      </c>
      <c r="P21">
        <v>177457278.71000007</v>
      </c>
      <c r="Q21">
        <v>181701316.20000005</v>
      </c>
      <c r="R21" s="120">
        <v>260871987</v>
      </c>
      <c r="S21" s="121">
        <v>244471911.24000674</v>
      </c>
      <c r="T21" s="121">
        <v>260053697.4300043</v>
      </c>
      <c r="U21" s="118">
        <v>261977659.69001007</v>
      </c>
      <c r="V21" s="118">
        <v>262804772.46000496</v>
      </c>
      <c r="W21" s="118">
        <v>272611610.32001299</v>
      </c>
      <c r="X21" s="72">
        <f t="shared" si="1"/>
        <v>0.44315082221605623</v>
      </c>
      <c r="Y21" s="72">
        <f t="shared" si="2"/>
        <v>0.2151585983202739</v>
      </c>
      <c r="Z21" s="72">
        <f t="shared" si="3"/>
        <v>0.21173477749698011</v>
      </c>
      <c r="AA21" s="72">
        <f t="shared" si="4"/>
        <v>0.20380001532573536</v>
      </c>
      <c r="AB21" s="72">
        <f t="shared" si="5"/>
        <v>0.19926953413775922</v>
      </c>
      <c r="AC21" s="72">
        <f t="shared" si="6"/>
        <v>0.20615974957998937</v>
      </c>
      <c r="AD21" s="72">
        <f t="shared" si="7"/>
        <v>0.19282621283510545</v>
      </c>
      <c r="AE21" s="73">
        <f t="shared" si="8"/>
        <v>-2.2332385485168443E-2</v>
      </c>
      <c r="AF21" s="127">
        <f t="shared" si="9"/>
        <v>0.14938909097970723</v>
      </c>
      <c r="AG21" s="127">
        <f t="shared" si="10"/>
        <v>0.14198206932625215</v>
      </c>
      <c r="AH21" s="127">
        <f t="shared" si="11"/>
        <v>0.13964692422715766</v>
      </c>
      <c r="AI21" s="127">
        <f t="shared" si="12"/>
        <v>0.13266542510199131</v>
      </c>
      <c r="AJ21" s="127">
        <f t="shared" si="13"/>
        <v>0.12744978017892486</v>
      </c>
      <c r="AK21" s="127">
        <f t="shared" si="14"/>
        <v>0.1342002569041508</v>
      </c>
      <c r="AL21" s="128">
        <f t="shared" si="15"/>
        <v>-5.4808416717888386E-2</v>
      </c>
      <c r="AM21" s="129">
        <v>22.10601523958891</v>
      </c>
      <c r="AN21" s="129">
        <v>21.569599122399183</v>
      </c>
      <c r="AO21" s="129">
        <v>22.0435150579167</v>
      </c>
      <c r="AP21" s="129">
        <v>21.762328686855703</v>
      </c>
      <c r="AQ21" s="129">
        <v>21.542986887436115</v>
      </c>
      <c r="AR21" s="130">
        <f t="shared" si="16"/>
        <v>-2.5469463675411141E-2</v>
      </c>
      <c r="AS21" s="131">
        <v>59.661578448726246</v>
      </c>
    </row>
    <row r="22" spans="1:45" hidden="1" x14ac:dyDescent="0.55000000000000004">
      <c r="A22" s="68">
        <v>210027</v>
      </c>
      <c r="B22" s="69" t="s">
        <v>7</v>
      </c>
      <c r="C22" s="70">
        <v>35359040</v>
      </c>
      <c r="D22">
        <v>37460430.82</v>
      </c>
      <c r="E22">
        <v>34865690.100000001</v>
      </c>
      <c r="F22">
        <v>34957340.270000003</v>
      </c>
      <c r="G22">
        <v>35256932.509999998</v>
      </c>
      <c r="H22">
        <v>37530286.090000011</v>
      </c>
      <c r="I22">
        <v>35467159.059999995</v>
      </c>
      <c r="J22" s="71">
        <f t="shared" si="0"/>
        <v>-5.3210059691459977E-2</v>
      </c>
      <c r="K22" s="4">
        <v>89014174.810000002</v>
      </c>
      <c r="L22">
        <v>188357763.90000001</v>
      </c>
      <c r="M22">
        <v>175684452.23000005</v>
      </c>
      <c r="N22">
        <v>176959276.13000005</v>
      </c>
      <c r="O22">
        <v>182962601.04000002</v>
      </c>
      <c r="P22">
        <v>181184100.66000009</v>
      </c>
      <c r="Q22">
        <v>183356093.60000011</v>
      </c>
      <c r="R22" s="120">
        <v>304873369</v>
      </c>
      <c r="S22" s="118">
        <v>319876882.00999945</v>
      </c>
      <c r="T22" s="118">
        <v>321539349.62000775</v>
      </c>
      <c r="U22" s="118">
        <v>326506723.53999805</v>
      </c>
      <c r="V22" s="118">
        <v>327445785.37999845</v>
      </c>
      <c r="W22" s="118">
        <v>331338019.91000646</v>
      </c>
      <c r="X22" s="72">
        <f t="shared" si="1"/>
        <v>0.39722931853801452</v>
      </c>
      <c r="Y22" s="72">
        <f t="shared" si="2"/>
        <v>0.19887914383974059</v>
      </c>
      <c r="Z22" s="72">
        <f t="shared" si="3"/>
        <v>0.19845632130471647</v>
      </c>
      <c r="AA22" s="72">
        <f t="shared" si="4"/>
        <v>0.19754454829663295</v>
      </c>
      <c r="AB22" s="72">
        <f t="shared" si="5"/>
        <v>0.19270021474110977</v>
      </c>
      <c r="AC22" s="72">
        <f t="shared" si="6"/>
        <v>0.2071389595074197</v>
      </c>
      <c r="AD22" s="72">
        <f t="shared" si="7"/>
        <v>0.19343321710034497</v>
      </c>
      <c r="AE22" s="73">
        <f t="shared" si="8"/>
        <v>-5.4459267393956179E-3</v>
      </c>
      <c r="AF22" s="127">
        <f t="shared" si="9"/>
        <v>0.11597943144715929</v>
      </c>
      <c r="AG22" s="127">
        <f t="shared" si="10"/>
        <v>0.11710890322742666</v>
      </c>
      <c r="AH22" s="127">
        <f t="shared" si="11"/>
        <v>0.10843366493464626</v>
      </c>
      <c r="AI22" s="127">
        <f t="shared" si="12"/>
        <v>0.10706468733933322</v>
      </c>
      <c r="AJ22" s="127">
        <f t="shared" si="13"/>
        <v>0.10767257996338107</v>
      </c>
      <c r="AK22" s="127">
        <f t="shared" si="14"/>
        <v>0.11326887901422686</v>
      </c>
      <c r="AL22" s="128">
        <f t="shared" si="15"/>
        <v>-3.2790198758350875E-2</v>
      </c>
      <c r="AM22" s="129">
        <v>8.7139717742527267</v>
      </c>
      <c r="AN22" s="129">
        <v>8.5976987195896868</v>
      </c>
      <c r="AO22" s="129">
        <v>8.0637233484966959</v>
      </c>
      <c r="AP22" s="129">
        <v>8.8331398059914932</v>
      </c>
      <c r="AQ22" s="129">
        <v>9.5195425683442334</v>
      </c>
      <c r="AR22" s="130">
        <f t="shared" si="16"/>
        <v>9.2445880588199358E-2</v>
      </c>
      <c r="AS22" s="131">
        <v>20.51406892077647</v>
      </c>
    </row>
    <row r="23" spans="1:45" hidden="1" x14ac:dyDescent="0.55000000000000004">
      <c r="A23" s="68">
        <v>210003</v>
      </c>
      <c r="B23" s="69" t="s">
        <v>146</v>
      </c>
      <c r="C23" s="70">
        <v>35614368</v>
      </c>
      <c r="D23">
        <v>37226144.660000011</v>
      </c>
      <c r="E23">
        <v>35657304.689999998</v>
      </c>
      <c r="F23">
        <v>38710288.939999998</v>
      </c>
      <c r="G23">
        <v>38472009.099999994</v>
      </c>
      <c r="H23">
        <v>41681378.460000008</v>
      </c>
      <c r="I23">
        <v>46645860.020000011</v>
      </c>
      <c r="J23" s="71">
        <f t="shared" si="0"/>
        <v>0.25304031470445576</v>
      </c>
      <c r="K23" s="4">
        <v>97586646.600000024</v>
      </c>
      <c r="L23">
        <v>199569077.03</v>
      </c>
      <c r="M23">
        <v>214157856.32000008</v>
      </c>
      <c r="N23">
        <v>222653624.3199999</v>
      </c>
      <c r="O23">
        <v>226656680.59</v>
      </c>
      <c r="P23">
        <v>239394486.75999999</v>
      </c>
      <c r="Q23">
        <v>240765950.75000012</v>
      </c>
      <c r="R23" s="120">
        <v>261932175</v>
      </c>
      <c r="S23" s="118">
        <v>254307752.84000325</v>
      </c>
      <c r="T23" s="118">
        <v>272867528.76999938</v>
      </c>
      <c r="U23" s="118">
        <v>280260998.84999877</v>
      </c>
      <c r="V23" s="118">
        <v>284183817.75000125</v>
      </c>
      <c r="W23" s="118">
        <v>298722729.71000224</v>
      </c>
      <c r="X23" s="72">
        <f t="shared" si="1"/>
        <v>0.3649512432370024</v>
      </c>
      <c r="Y23" s="72">
        <f t="shared" si="2"/>
        <v>0.18653262927304129</v>
      </c>
      <c r="Z23" s="72">
        <f t="shared" si="3"/>
        <v>0.16650010091957565</v>
      </c>
      <c r="AA23" s="72">
        <f t="shared" si="4"/>
        <v>0.17385878652648926</v>
      </c>
      <c r="AB23" s="72">
        <f t="shared" si="5"/>
        <v>0.1697369298793894</v>
      </c>
      <c r="AC23" s="72">
        <f t="shared" si="6"/>
        <v>0.17411168913754815</v>
      </c>
      <c r="AD23" s="72">
        <f t="shared" si="7"/>
        <v>0.19373943813357083</v>
      </c>
      <c r="AE23" s="73">
        <f t="shared" si="8"/>
        <v>7.2068088605295455E-3</v>
      </c>
      <c r="AF23" s="127">
        <f t="shared" si="9"/>
        <v>0.13596790085066868</v>
      </c>
      <c r="AG23" s="127">
        <f t="shared" si="10"/>
        <v>0.14638226418295905</v>
      </c>
      <c r="AH23" s="127">
        <f t="shared" si="11"/>
        <v>0.13067624737443792</v>
      </c>
      <c r="AI23" s="127">
        <f t="shared" si="12"/>
        <v>0.1381222827965389</v>
      </c>
      <c r="AJ23" s="127">
        <f t="shared" si="13"/>
        <v>0.13537719847878221</v>
      </c>
      <c r="AK23" s="127">
        <f t="shared" si="14"/>
        <v>0.13953199510617748</v>
      </c>
      <c r="AL23" s="128">
        <f t="shared" si="15"/>
        <v>-4.6797124740601159E-2</v>
      </c>
      <c r="AM23" s="129"/>
      <c r="AN23" s="129"/>
      <c r="AO23" s="129"/>
      <c r="AP23" s="129"/>
      <c r="AQ23" s="129"/>
      <c r="AR23" s="130"/>
      <c r="AS23" s="131"/>
    </row>
    <row r="24" spans="1:45" hidden="1" x14ac:dyDescent="0.55000000000000004">
      <c r="A24" s="68">
        <v>210005</v>
      </c>
      <c r="B24" s="69" t="s">
        <v>20</v>
      </c>
      <c r="C24" s="70">
        <v>44803019</v>
      </c>
      <c r="D24">
        <v>39845145.469999991</v>
      </c>
      <c r="E24">
        <v>41620627.230000012</v>
      </c>
      <c r="F24">
        <v>38501234.380000003</v>
      </c>
      <c r="G24">
        <v>40950814.250000022</v>
      </c>
      <c r="H24">
        <v>49272326.420000017</v>
      </c>
      <c r="I24">
        <v>48407131.12000002</v>
      </c>
      <c r="J24" s="71">
        <f t="shared" si="0"/>
        <v>0.21488152569166741</v>
      </c>
      <c r="K24" s="4">
        <v>100402730.35999997</v>
      </c>
      <c r="L24">
        <v>197872176.9300001</v>
      </c>
      <c r="M24">
        <v>199647608.83000001</v>
      </c>
      <c r="N24">
        <v>200699092.18999994</v>
      </c>
      <c r="O24">
        <v>225245631.87999982</v>
      </c>
      <c r="P24">
        <v>240063016.09000021</v>
      </c>
      <c r="Q24">
        <v>246459330.37999979</v>
      </c>
      <c r="R24" s="120">
        <v>340761717</v>
      </c>
      <c r="S24" s="118">
        <v>319259140.28000295</v>
      </c>
      <c r="T24" s="118">
        <v>347429696.41998887</v>
      </c>
      <c r="U24" s="118">
        <v>357484480.03001595</v>
      </c>
      <c r="V24" s="118">
        <v>359348991.22995937</v>
      </c>
      <c r="W24" s="118">
        <v>350886555.88998616</v>
      </c>
      <c r="X24" s="72">
        <f t="shared" si="1"/>
        <v>0.44623307393490302</v>
      </c>
      <c r="Y24" s="72">
        <f t="shared" si="2"/>
        <v>0.201368105856013</v>
      </c>
      <c r="Z24" s="72">
        <f t="shared" si="3"/>
        <v>0.20847045188224611</v>
      </c>
      <c r="AA24" s="72">
        <f t="shared" si="4"/>
        <v>0.19183561798850216</v>
      </c>
      <c r="AB24" s="72">
        <f t="shared" si="5"/>
        <v>0.18180514271556072</v>
      </c>
      <c r="AC24" s="72">
        <f t="shared" si="6"/>
        <v>0.20524746886262438</v>
      </c>
      <c r="AD24" s="72">
        <f t="shared" si="7"/>
        <v>0.19641021926564589</v>
      </c>
      <c r="AE24" s="73">
        <f t="shared" si="8"/>
        <v>-4.957886590367111E-3</v>
      </c>
      <c r="AF24" s="127">
        <f t="shared" si="9"/>
        <v>0.13147902702931855</v>
      </c>
      <c r="AG24" s="127">
        <f t="shared" si="10"/>
        <v>0.12480502652188506</v>
      </c>
      <c r="AH24" s="127">
        <f t="shared" si="11"/>
        <v>0.11979582533925684</v>
      </c>
      <c r="AI24" s="127">
        <f t="shared" si="12"/>
        <v>0.10770043604904826</v>
      </c>
      <c r="AJ24" s="127">
        <f t="shared" si="13"/>
        <v>0.11395833924518863</v>
      </c>
      <c r="AK24" s="127">
        <f t="shared" si="14"/>
        <v>0.14042238322590059</v>
      </c>
      <c r="AL24" s="128">
        <f t="shared" si="15"/>
        <v>0.12513403617823804</v>
      </c>
      <c r="AM24" s="129">
        <v>32.227750220768435</v>
      </c>
      <c r="AN24" s="129">
        <v>30.705235750449756</v>
      </c>
      <c r="AO24" s="129">
        <v>29.872237125966812</v>
      </c>
      <c r="AP24" s="129">
        <v>28.59574946581256</v>
      </c>
      <c r="AQ24" s="129">
        <v>28.756999248581337</v>
      </c>
      <c r="AR24" s="130">
        <f>AQ24/AM24-1</f>
        <v>-0.1076944852933126</v>
      </c>
      <c r="AS24" s="131">
        <v>66.154713185882159</v>
      </c>
    </row>
    <row r="25" spans="1:45" hidden="1" x14ac:dyDescent="0.55000000000000004">
      <c r="A25" s="68">
        <v>210024</v>
      </c>
      <c r="B25" s="69" t="s">
        <v>31</v>
      </c>
      <c r="C25" s="70">
        <v>45423680</v>
      </c>
      <c r="D25">
        <v>45110786.089999989</v>
      </c>
      <c r="E25">
        <v>44806764.179999992</v>
      </c>
      <c r="F25">
        <v>46761288.810000002</v>
      </c>
      <c r="G25">
        <v>44863794.389999993</v>
      </c>
      <c r="H25">
        <v>51455950.709999986</v>
      </c>
      <c r="I25">
        <v>54569493.970000014</v>
      </c>
      <c r="J25" s="71">
        <f t="shared" si="0"/>
        <v>0.20967730114764738</v>
      </c>
      <c r="K25" s="4">
        <v>122599969.88999999</v>
      </c>
      <c r="L25">
        <v>247222724.09999996</v>
      </c>
      <c r="M25">
        <v>253216472.24999997</v>
      </c>
      <c r="N25">
        <v>253220320.64999986</v>
      </c>
      <c r="O25">
        <v>250958001.62000003</v>
      </c>
      <c r="P25">
        <v>258199457.22000006</v>
      </c>
      <c r="Q25">
        <v>270184457.57000005</v>
      </c>
      <c r="R25" s="120">
        <v>423996709</v>
      </c>
      <c r="S25" s="118">
        <v>401034800.79004109</v>
      </c>
      <c r="T25" s="118">
        <v>418627100.52999926</v>
      </c>
      <c r="U25" s="118">
        <v>422855403.19999051</v>
      </c>
      <c r="V25" s="118">
        <v>430576572.49001169</v>
      </c>
      <c r="W25" s="118">
        <v>437290822.5800035</v>
      </c>
      <c r="X25" s="72">
        <f t="shared" si="1"/>
        <v>0.37050319050449487</v>
      </c>
      <c r="Y25" s="72">
        <f t="shared" si="2"/>
        <v>0.1824702249933666</v>
      </c>
      <c r="Z25" s="72">
        <f t="shared" si="3"/>
        <v>0.17695043210207267</v>
      </c>
      <c r="AA25" s="72">
        <f t="shared" si="4"/>
        <v>0.18466641496214387</v>
      </c>
      <c r="AB25" s="72">
        <f t="shared" si="5"/>
        <v>0.17877012926622135</v>
      </c>
      <c r="AC25" s="72">
        <f t="shared" si="6"/>
        <v>0.19928760216624586</v>
      </c>
      <c r="AD25" s="72">
        <f t="shared" si="7"/>
        <v>0.20197125497443544</v>
      </c>
      <c r="AE25" s="73">
        <f t="shared" si="8"/>
        <v>1.950102998106884E-2</v>
      </c>
      <c r="AF25" s="127">
        <f t="shared" si="9"/>
        <v>0.1071321522922481</v>
      </c>
      <c r="AG25" s="127">
        <f t="shared" si="10"/>
        <v>0.11248596381444068</v>
      </c>
      <c r="AH25" s="127">
        <f t="shared" si="11"/>
        <v>0.10703264103846304</v>
      </c>
      <c r="AI25" s="127">
        <f t="shared" si="12"/>
        <v>0.11058458389352574</v>
      </c>
      <c r="AJ25" s="127">
        <f t="shared" si="13"/>
        <v>0.10419469440836966</v>
      </c>
      <c r="AK25" s="127">
        <f t="shared" si="14"/>
        <v>0.11766986191571854</v>
      </c>
      <c r="AL25" s="128">
        <f t="shared" si="15"/>
        <v>4.6084844059560481E-2</v>
      </c>
      <c r="AM25" s="129">
        <v>21.564466004699462</v>
      </c>
      <c r="AN25" s="129">
        <v>20.078974817463866</v>
      </c>
      <c r="AO25" s="129">
        <v>22.619002963351964</v>
      </c>
      <c r="AP25" s="129">
        <v>23.420404775382877</v>
      </c>
      <c r="AQ25" s="129">
        <v>13.529902220874705</v>
      </c>
      <c r="AR25" s="130">
        <f>AQ25/AM25-1</f>
        <v>-0.37258347978910378</v>
      </c>
      <c r="AS25" s="131">
        <v>35.067431357534673</v>
      </c>
    </row>
    <row r="26" spans="1:45" hidden="1" x14ac:dyDescent="0.55000000000000004">
      <c r="A26" s="68">
        <v>210017</v>
      </c>
      <c r="B26" s="69" t="s">
        <v>28</v>
      </c>
      <c r="C26" s="70">
        <v>4680302</v>
      </c>
      <c r="D26">
        <v>3422052.1599999997</v>
      </c>
      <c r="E26">
        <v>4582623.6099999994</v>
      </c>
      <c r="F26">
        <v>4285075.5799999991</v>
      </c>
      <c r="G26">
        <v>4263662.72</v>
      </c>
      <c r="H26">
        <v>4400542.3800000008</v>
      </c>
      <c r="I26">
        <v>5291509.0999999996</v>
      </c>
      <c r="J26" s="71">
        <f t="shared" si="0"/>
        <v>0.546297032480066</v>
      </c>
      <c r="K26" s="4">
        <v>10206957.980000002</v>
      </c>
      <c r="L26">
        <v>19725103.259999998</v>
      </c>
      <c r="M26">
        <v>21968545.82</v>
      </c>
      <c r="N26">
        <v>20912916.52</v>
      </c>
      <c r="O26">
        <v>22008513.379999999</v>
      </c>
      <c r="P26">
        <v>22802301.330000002</v>
      </c>
      <c r="Q26">
        <v>25637448.02</v>
      </c>
      <c r="R26" s="120">
        <v>45086884</v>
      </c>
      <c r="S26" s="118">
        <v>44382312.780001014</v>
      </c>
      <c r="T26" s="118">
        <v>48113046.619998738</v>
      </c>
      <c r="U26" s="118">
        <v>46556234.560000338</v>
      </c>
      <c r="V26" s="118">
        <v>52237036.689999074</v>
      </c>
      <c r="W26" s="118">
        <v>55355018.059999652</v>
      </c>
      <c r="X26" s="72">
        <f t="shared" si="1"/>
        <v>0.45854034171305552</v>
      </c>
      <c r="Y26" s="72">
        <f t="shared" si="2"/>
        <v>0.17348716074604723</v>
      </c>
      <c r="Z26" s="72">
        <f t="shared" si="3"/>
        <v>0.20859931501829371</v>
      </c>
      <c r="AA26" s="72">
        <f t="shared" si="4"/>
        <v>0.2049009078146504</v>
      </c>
      <c r="AB26" s="72">
        <f t="shared" si="5"/>
        <v>0.19372788367771163</v>
      </c>
      <c r="AC26" s="72">
        <f t="shared" si="6"/>
        <v>0.19298676551609278</v>
      </c>
      <c r="AD26" s="72">
        <f t="shared" si="7"/>
        <v>0.20639765299073631</v>
      </c>
      <c r="AE26" s="73">
        <f t="shared" si="8"/>
        <v>3.2910492244689088E-2</v>
      </c>
      <c r="AF26" s="127">
        <f t="shared" si="9"/>
        <v>0.10380628654665956</v>
      </c>
      <c r="AG26" s="127">
        <f t="shared" si="10"/>
        <v>7.7103962043681529E-2</v>
      </c>
      <c r="AH26" s="127">
        <f t="shared" si="11"/>
        <v>9.524700537452932E-2</v>
      </c>
      <c r="AI26" s="127">
        <f t="shared" si="12"/>
        <v>9.2040853829738242E-2</v>
      </c>
      <c r="AJ26" s="127">
        <f t="shared" si="13"/>
        <v>8.162145079750073E-2</v>
      </c>
      <c r="AK26" s="127">
        <f t="shared" si="14"/>
        <v>7.9496720156973399E-2</v>
      </c>
      <c r="AL26" s="128">
        <f t="shared" si="15"/>
        <v>3.1032881448249228E-2</v>
      </c>
      <c r="AM26" s="129"/>
      <c r="AN26" s="129"/>
      <c r="AO26" s="129"/>
      <c r="AP26" s="129"/>
      <c r="AQ26" s="129"/>
      <c r="AR26" s="130"/>
      <c r="AS26" s="131"/>
    </row>
    <row r="27" spans="1:45" hidden="1" x14ac:dyDescent="0.55000000000000004">
      <c r="A27" s="68">
        <v>210055</v>
      </c>
      <c r="B27" s="69" t="s">
        <v>145</v>
      </c>
      <c r="C27" s="70">
        <v>12247124</v>
      </c>
      <c r="D27">
        <v>13970415.970000001</v>
      </c>
      <c r="E27">
        <v>12260545.149999999</v>
      </c>
      <c r="F27">
        <v>12306290.189999999</v>
      </c>
      <c r="G27">
        <v>12052953.850000001</v>
      </c>
      <c r="H27">
        <v>10910191.120000001</v>
      </c>
      <c r="I27">
        <v>12246399.709999997</v>
      </c>
      <c r="J27" s="71">
        <f t="shared" si="0"/>
        <v>-0.12340479078805866</v>
      </c>
      <c r="K27" s="4">
        <v>39065470.219999999</v>
      </c>
      <c r="L27">
        <v>81171155.87000002</v>
      </c>
      <c r="M27">
        <v>72464657.719999984</v>
      </c>
      <c r="N27">
        <v>65468754.80999998</v>
      </c>
      <c r="O27">
        <v>68174666.520000011</v>
      </c>
      <c r="P27">
        <v>60152099.07</v>
      </c>
      <c r="Q27">
        <v>58396395.640000001</v>
      </c>
      <c r="R27" s="120">
        <v>104297652</v>
      </c>
      <c r="S27" s="118">
        <v>121821794.45000216</v>
      </c>
      <c r="T27" s="118">
        <v>113193900.0099999</v>
      </c>
      <c r="U27" s="118">
        <v>102535293.26000047</v>
      </c>
      <c r="V27" s="118">
        <v>104726082.24000013</v>
      </c>
      <c r="W27" s="118">
        <v>101374120.33000028</v>
      </c>
      <c r="X27" s="72">
        <f t="shared" si="1"/>
        <v>0.31350253640950543</v>
      </c>
      <c r="Y27" s="72">
        <f t="shared" si="2"/>
        <v>0.17211059544814633</v>
      </c>
      <c r="Z27" s="72">
        <f t="shared" si="3"/>
        <v>0.1691934459605697</v>
      </c>
      <c r="AA27" s="72">
        <f t="shared" si="4"/>
        <v>0.18797196045219855</v>
      </c>
      <c r="AB27" s="72">
        <f t="shared" si="5"/>
        <v>0.17679520069913501</v>
      </c>
      <c r="AC27" s="72">
        <f t="shared" si="6"/>
        <v>0.18137673146374542</v>
      </c>
      <c r="AD27" s="72">
        <f t="shared" si="7"/>
        <v>0.20971156825322168</v>
      </c>
      <c r="AE27" s="73">
        <f t="shared" si="8"/>
        <v>3.760097280507535E-2</v>
      </c>
      <c r="AF27" s="127">
        <f t="shared" si="9"/>
        <v>0.11742473358844166</v>
      </c>
      <c r="AG27" s="127">
        <f t="shared" si="10"/>
        <v>0.11467911824048617</v>
      </c>
      <c r="AH27" s="127">
        <f t="shared" si="11"/>
        <v>0.10831453946649831</v>
      </c>
      <c r="AI27" s="127">
        <f t="shared" si="12"/>
        <v>0.12002004186787404</v>
      </c>
      <c r="AJ27" s="127">
        <f t="shared" si="13"/>
        <v>0.11509027734254701</v>
      </c>
      <c r="AK27" s="127">
        <f t="shared" si="14"/>
        <v>0.10762304111231118</v>
      </c>
      <c r="AL27" s="128">
        <f t="shared" si="15"/>
        <v>-6.1528874972496261E-2</v>
      </c>
      <c r="AM27" s="129">
        <v>10.974016968461196</v>
      </c>
      <c r="AN27" s="129">
        <v>10.693475087791006</v>
      </c>
      <c r="AO27" s="129">
        <v>11.095528090449799</v>
      </c>
      <c r="AP27" s="129">
        <v>10.999574372054271</v>
      </c>
      <c r="AQ27" s="129">
        <v>11.206292578160706</v>
      </c>
      <c r="AR27" s="130">
        <f t="shared" ref="AR27:AR51" si="17">AQ27/AM27-1</f>
        <v>2.1165960501706715E-2</v>
      </c>
      <c r="AS27" s="131">
        <v>42.116736331489804</v>
      </c>
    </row>
    <row r="28" spans="1:45" hidden="1" x14ac:dyDescent="0.55000000000000004">
      <c r="A28" s="68">
        <v>210029</v>
      </c>
      <c r="B28" s="69" t="s">
        <v>9</v>
      </c>
      <c r="C28" s="70">
        <v>67908101</v>
      </c>
      <c r="D28">
        <v>73312951.019999996</v>
      </c>
      <c r="E28">
        <v>72558648.600000009</v>
      </c>
      <c r="F28">
        <v>71582517.370000005</v>
      </c>
      <c r="G28">
        <v>75030134.670000002</v>
      </c>
      <c r="H28">
        <v>76878823.090000004</v>
      </c>
      <c r="I28">
        <v>80232396.230000019</v>
      </c>
      <c r="J28" s="71">
        <f t="shared" si="0"/>
        <v>9.438230372301315E-2</v>
      </c>
      <c r="K28" s="4">
        <v>181799434.17000014</v>
      </c>
      <c r="L28">
        <v>367252845.58999997</v>
      </c>
      <c r="M28">
        <v>368056194.16000003</v>
      </c>
      <c r="N28">
        <v>364603780.74000013</v>
      </c>
      <c r="O28">
        <v>364576889.37999982</v>
      </c>
      <c r="P28">
        <v>372844717.68000025</v>
      </c>
      <c r="Q28">
        <v>377106865.41999996</v>
      </c>
      <c r="R28" s="120">
        <v>548330469</v>
      </c>
      <c r="S28" s="118">
        <v>599055199.19974613</v>
      </c>
      <c r="T28" s="118">
        <v>605245253.7202239</v>
      </c>
      <c r="U28" s="118">
        <v>627188552.23029566</v>
      </c>
      <c r="V28" s="118">
        <v>639042714.09018207</v>
      </c>
      <c r="W28" s="118">
        <v>654854513.58013415</v>
      </c>
      <c r="X28" s="72">
        <f t="shared" si="1"/>
        <v>0.37353307126632379</v>
      </c>
      <c r="Y28" s="72">
        <f t="shared" si="2"/>
        <v>0.19962527697292878</v>
      </c>
      <c r="Z28" s="72">
        <f t="shared" si="3"/>
        <v>0.19714013716192907</v>
      </c>
      <c r="AA28" s="72">
        <f t="shared" si="4"/>
        <v>0.19632960806033353</v>
      </c>
      <c r="AB28" s="72">
        <f t="shared" si="5"/>
        <v>0.20580057830214196</v>
      </c>
      <c r="AC28" s="72">
        <f t="shared" si="6"/>
        <v>0.20619528571672682</v>
      </c>
      <c r="AD28" s="72">
        <f t="shared" si="7"/>
        <v>0.21275771826811424</v>
      </c>
      <c r="AE28" s="73">
        <f t="shared" si="8"/>
        <v>1.3132441295185454E-2</v>
      </c>
      <c r="AF28" s="127">
        <f t="shared" si="9"/>
        <v>0.12384520802545444</v>
      </c>
      <c r="AG28" s="127">
        <f t="shared" si="10"/>
        <v>0.12238096108327885</v>
      </c>
      <c r="AH28" s="127">
        <f t="shared" si="11"/>
        <v>0.11988305262041828</v>
      </c>
      <c r="AI28" s="127">
        <f t="shared" si="12"/>
        <v>0.11413237233914916</v>
      </c>
      <c r="AJ28" s="127">
        <f t="shared" si="13"/>
        <v>0.11741020281691485</v>
      </c>
      <c r="AK28" s="127">
        <f t="shared" si="14"/>
        <v>0.11739832511758719</v>
      </c>
      <c r="AL28" s="128">
        <f t="shared" si="15"/>
        <v>-4.071414312803967E-2</v>
      </c>
      <c r="AM28" s="129">
        <v>11.371440966859119</v>
      </c>
      <c r="AN28" s="129">
        <v>11.202000819041224</v>
      </c>
      <c r="AO28" s="129">
        <v>11.251807294647124</v>
      </c>
      <c r="AP28" s="129">
        <v>10.52689242907713</v>
      </c>
      <c r="AQ28" s="129">
        <v>10.930845215270752</v>
      </c>
      <c r="AR28" s="130">
        <f t="shared" si="17"/>
        <v>-3.8745815316848287E-2</v>
      </c>
      <c r="AS28" s="131">
        <v>45.797905506447528</v>
      </c>
    </row>
    <row r="29" spans="1:45" hidden="1" x14ac:dyDescent="0.55000000000000004">
      <c r="A29" s="68">
        <v>210001</v>
      </c>
      <c r="B29" s="69" t="s">
        <v>19</v>
      </c>
      <c r="C29" s="70">
        <v>37856360</v>
      </c>
      <c r="D29">
        <v>44647984.390000001</v>
      </c>
      <c r="E29">
        <v>41182728.250000007</v>
      </c>
      <c r="F29">
        <v>38747856.830000006</v>
      </c>
      <c r="G29">
        <v>41028796.209999986</v>
      </c>
      <c r="H29">
        <v>44507250.099999979</v>
      </c>
      <c r="I29">
        <v>47159469.089999989</v>
      </c>
      <c r="J29" s="71">
        <f t="shared" si="0"/>
        <v>5.6250796857080454E-2</v>
      </c>
      <c r="K29" s="4">
        <v>92045192.969999999</v>
      </c>
      <c r="L29">
        <v>210847763.31000003</v>
      </c>
      <c r="M29">
        <v>201856452.38000003</v>
      </c>
      <c r="N29">
        <v>198441861.78000015</v>
      </c>
      <c r="O29">
        <v>204142291.63999984</v>
      </c>
      <c r="P29">
        <v>212216737.09000003</v>
      </c>
      <c r="Q29">
        <v>219012568.09999996</v>
      </c>
      <c r="R29" s="120">
        <v>289878481</v>
      </c>
      <c r="S29" s="118">
        <v>314990872.87999809</v>
      </c>
      <c r="T29" s="118">
        <v>306482001.58999455</v>
      </c>
      <c r="U29" s="118">
        <v>273572076.46000367</v>
      </c>
      <c r="V29" s="118">
        <v>314336462.58000779</v>
      </c>
      <c r="W29" s="118">
        <v>330216632.37000149</v>
      </c>
      <c r="X29" s="72">
        <f t="shared" si="1"/>
        <v>0.41128014161845916</v>
      </c>
      <c r="Y29" s="72">
        <f t="shared" si="2"/>
        <v>0.21175460289021927</v>
      </c>
      <c r="Z29" s="72">
        <f t="shared" si="3"/>
        <v>0.20401987533434129</v>
      </c>
      <c r="AA29" s="72">
        <f t="shared" si="4"/>
        <v>0.19526049837688625</v>
      </c>
      <c r="AB29" s="72">
        <f t="shared" si="5"/>
        <v>0.20098136393194463</v>
      </c>
      <c r="AC29" s="72">
        <f t="shared" si="6"/>
        <v>0.20972544724935943</v>
      </c>
      <c r="AD29" s="72">
        <f t="shared" si="7"/>
        <v>0.21532768415585735</v>
      </c>
      <c r="AE29" s="73">
        <f t="shared" si="8"/>
        <v>3.5730812656380728E-3</v>
      </c>
      <c r="AF29" s="127">
        <f t="shared" si="9"/>
        <v>0.1305938953088415</v>
      </c>
      <c r="AG29" s="127">
        <f t="shared" si="10"/>
        <v>0.14174374000674464</v>
      </c>
      <c r="AH29" s="127">
        <f t="shared" si="11"/>
        <v>0.1343724200323301</v>
      </c>
      <c r="AI29" s="127">
        <f t="shared" si="12"/>
        <v>0.1416367391416315</v>
      </c>
      <c r="AJ29" s="127">
        <f t="shared" si="13"/>
        <v>0.13052509363134085</v>
      </c>
      <c r="AK29" s="127">
        <f t="shared" si="14"/>
        <v>0.13478197563995034</v>
      </c>
      <c r="AL29" s="128">
        <f t="shared" si="15"/>
        <v>-4.9115145165938401E-2</v>
      </c>
      <c r="AM29" s="129">
        <v>14.070232802432331</v>
      </c>
      <c r="AN29" s="129">
        <v>14.265292528309795</v>
      </c>
      <c r="AO29" s="129">
        <v>15.105717799410293</v>
      </c>
      <c r="AP29" s="129">
        <v>13.998636495869587</v>
      </c>
      <c r="AQ29" s="129">
        <v>14.743414287722205</v>
      </c>
      <c r="AR29" s="130">
        <f t="shared" si="17"/>
        <v>4.784437434279698E-2</v>
      </c>
      <c r="AS29" s="131">
        <v>54.092951287261528</v>
      </c>
    </row>
    <row r="30" spans="1:45" hidden="1" x14ac:dyDescent="0.55000000000000004">
      <c r="A30" s="68">
        <v>210039</v>
      </c>
      <c r="B30" s="69" t="s">
        <v>38</v>
      </c>
      <c r="C30" s="70">
        <v>15145037</v>
      </c>
      <c r="D30">
        <v>14649522.25</v>
      </c>
      <c r="E30">
        <v>15428405</v>
      </c>
      <c r="F30">
        <v>16812701.260000002</v>
      </c>
      <c r="G30">
        <v>16479611.390000001</v>
      </c>
      <c r="H30">
        <v>16860005.050000001</v>
      </c>
      <c r="I30">
        <v>16495931.449999999</v>
      </c>
      <c r="J30" s="71">
        <f t="shared" si="0"/>
        <v>0.12603886792280883</v>
      </c>
      <c r="K30" s="4">
        <v>35359210.829999991</v>
      </c>
      <c r="L30">
        <v>67809719.74000001</v>
      </c>
      <c r="M30">
        <v>68211640.24000001</v>
      </c>
      <c r="N30">
        <v>71471824.25</v>
      </c>
      <c r="O30">
        <v>69676888.469999999</v>
      </c>
      <c r="P30">
        <v>72931659.329999968</v>
      </c>
      <c r="Q30">
        <v>74440564.909999982</v>
      </c>
      <c r="R30" s="120">
        <v>137165307</v>
      </c>
      <c r="S30" s="118">
        <v>137309448.51999852</v>
      </c>
      <c r="T30" s="118">
        <v>143106295.92999253</v>
      </c>
      <c r="U30" s="118">
        <v>144689771.15000105</v>
      </c>
      <c r="V30" s="118">
        <v>140047080.55999482</v>
      </c>
      <c r="W30" s="118">
        <v>149435677.11999351</v>
      </c>
      <c r="X30" s="72">
        <f t="shared" si="1"/>
        <v>0.42831942920938781</v>
      </c>
      <c r="Y30" s="72">
        <f t="shared" si="2"/>
        <v>0.21603867861672418</v>
      </c>
      <c r="Z30" s="72">
        <f t="shared" si="3"/>
        <v>0.22618434252153674</v>
      </c>
      <c r="AA30" s="72">
        <f t="shared" si="4"/>
        <v>0.23523537332965166</v>
      </c>
      <c r="AB30" s="72">
        <f t="shared" si="5"/>
        <v>0.2365147432939036</v>
      </c>
      <c r="AC30" s="72">
        <f t="shared" si="6"/>
        <v>0.23117539357924283</v>
      </c>
      <c r="AD30" s="72">
        <f t="shared" si="7"/>
        <v>0.2215986870860516</v>
      </c>
      <c r="AE30" s="73">
        <f t="shared" si="8"/>
        <v>5.5600084693274154E-3</v>
      </c>
      <c r="AF30" s="127">
        <f t="shared" si="9"/>
        <v>0.11041448695186458</v>
      </c>
      <c r="AG30" s="127">
        <f t="shared" si="10"/>
        <v>0.10668983385995</v>
      </c>
      <c r="AH30" s="127">
        <f t="shared" si="11"/>
        <v>0.10781080524610574</v>
      </c>
      <c r="AI30" s="127">
        <f t="shared" si="12"/>
        <v>0.1161982711450289</v>
      </c>
      <c r="AJ30" s="127">
        <f t="shared" si="13"/>
        <v>0.11767193806614408</v>
      </c>
      <c r="AK30" s="127">
        <f t="shared" si="14"/>
        <v>0.11282449663249958</v>
      </c>
      <c r="AL30" s="128">
        <f t="shared" si="15"/>
        <v>5.7499974932967435E-2</v>
      </c>
      <c r="AM30" s="129">
        <v>10.312972068517059</v>
      </c>
      <c r="AN30" s="129">
        <v>10.225436948168444</v>
      </c>
      <c r="AO30" s="129">
        <v>10.039301360877985</v>
      </c>
      <c r="AP30" s="129">
        <v>9.7811466532623914</v>
      </c>
      <c r="AQ30" s="129">
        <v>9.7745621726960312</v>
      </c>
      <c r="AR30" s="130">
        <f t="shared" si="17"/>
        <v>-5.2207054595314939E-2</v>
      </c>
      <c r="AS30" s="131">
        <v>39.678882726965938</v>
      </c>
    </row>
    <row r="31" spans="1:45" hidden="1" x14ac:dyDescent="0.55000000000000004">
      <c r="A31" s="68">
        <v>210018</v>
      </c>
      <c r="B31" s="69" t="s">
        <v>5</v>
      </c>
      <c r="C31" s="70">
        <v>21523622</v>
      </c>
      <c r="D31">
        <v>19840919.369999997</v>
      </c>
      <c r="E31">
        <v>19872010.440000001</v>
      </c>
      <c r="F31">
        <v>20669896.140000004</v>
      </c>
      <c r="G31">
        <v>21484791.170000002</v>
      </c>
      <c r="H31">
        <v>21739185.549999997</v>
      </c>
      <c r="I31">
        <v>22004296.830000006</v>
      </c>
      <c r="J31" s="71">
        <f t="shared" si="0"/>
        <v>0.10903614997151267</v>
      </c>
      <c r="K31" s="4">
        <v>48418633.180000022</v>
      </c>
      <c r="L31">
        <v>94287674.980000004</v>
      </c>
      <c r="M31">
        <v>94413438.079999968</v>
      </c>
      <c r="N31">
        <v>93604500.339999989</v>
      </c>
      <c r="O31">
        <v>93189170.970000014</v>
      </c>
      <c r="P31">
        <v>93628253.780000031</v>
      </c>
      <c r="Q31">
        <v>98539630.010000035</v>
      </c>
      <c r="R31" s="120">
        <v>172024079</v>
      </c>
      <c r="S31" s="118">
        <v>164580573.60999587</v>
      </c>
      <c r="T31" s="118">
        <v>171006226.20999748</v>
      </c>
      <c r="U31" s="118">
        <v>174820103.41000623</v>
      </c>
      <c r="V31" s="118">
        <v>178361906.30999529</v>
      </c>
      <c r="W31" s="118">
        <v>180352241.22000363</v>
      </c>
      <c r="X31" s="72">
        <f t="shared" si="1"/>
        <v>0.44453179667390169</v>
      </c>
      <c r="Y31" s="72">
        <f t="shared" si="2"/>
        <v>0.21042961738327506</v>
      </c>
      <c r="Z31" s="72">
        <f t="shared" si="3"/>
        <v>0.21047862300239209</v>
      </c>
      <c r="AA31" s="72">
        <f t="shared" si="4"/>
        <v>0.22082160649242996</v>
      </c>
      <c r="AB31" s="72">
        <f t="shared" si="5"/>
        <v>0.23055029834868376</v>
      </c>
      <c r="AC31" s="72">
        <f t="shared" si="6"/>
        <v>0.23218616894298752</v>
      </c>
      <c r="AD31" s="72">
        <f t="shared" si="7"/>
        <v>0.22330403339008842</v>
      </c>
      <c r="AE31" s="73">
        <f t="shared" si="8"/>
        <v>1.2874416006813355E-2</v>
      </c>
      <c r="AF31" s="127">
        <f t="shared" si="9"/>
        <v>0.1251198211617805</v>
      </c>
      <c r="AG31" s="127">
        <f t="shared" si="10"/>
        <v>0.12055444293818496</v>
      </c>
      <c r="AH31" s="127">
        <f t="shared" si="11"/>
        <v>0.11620635622703562</v>
      </c>
      <c r="AI31" s="127">
        <f t="shared" si="12"/>
        <v>0.11823523574701716</v>
      </c>
      <c r="AJ31" s="127">
        <f t="shared" si="13"/>
        <v>0.12045616474102468</v>
      </c>
      <c r="AK31" s="127">
        <f t="shared" si="14"/>
        <v>0.12053737399071929</v>
      </c>
      <c r="AL31" s="128">
        <f t="shared" si="15"/>
        <v>-1.4158704606537231E-4</v>
      </c>
      <c r="AM31" s="129">
        <v>21.326977057818063</v>
      </c>
      <c r="AN31" s="129">
        <v>20.101489111064126</v>
      </c>
      <c r="AO31" s="129">
        <v>19.936082788007912</v>
      </c>
      <c r="AP31" s="129">
        <v>18.102922493032438</v>
      </c>
      <c r="AQ31" s="129">
        <v>20.811862607866363</v>
      </c>
      <c r="AR31" s="130">
        <f t="shared" si="17"/>
        <v>-2.4153186293360274E-2</v>
      </c>
      <c r="AS31" s="131">
        <v>56.999859529371491</v>
      </c>
    </row>
    <row r="32" spans="1:45" hidden="1" x14ac:dyDescent="0.55000000000000004">
      <c r="A32" s="68">
        <v>210035</v>
      </c>
      <c r="B32" s="69" t="s">
        <v>10</v>
      </c>
      <c r="C32" s="70">
        <v>22798783</v>
      </c>
      <c r="D32">
        <v>22706741.98</v>
      </c>
      <c r="E32">
        <v>23122038.249999989</v>
      </c>
      <c r="F32">
        <v>22212969.960000001</v>
      </c>
      <c r="G32">
        <v>21363913.539999999</v>
      </c>
      <c r="H32">
        <v>19124811.98</v>
      </c>
      <c r="I32">
        <v>19466148.920000002</v>
      </c>
      <c r="J32" s="71">
        <f t="shared" si="0"/>
        <v>-0.14271501666132014</v>
      </c>
      <c r="K32" s="4">
        <v>41322585.819999985</v>
      </c>
      <c r="L32">
        <v>84892858.999999985</v>
      </c>
      <c r="M32">
        <v>83514885.299999982</v>
      </c>
      <c r="N32">
        <v>82338546.240000024</v>
      </c>
      <c r="O32">
        <v>82977350.800000027</v>
      </c>
      <c r="P32">
        <v>82326375.600000009</v>
      </c>
      <c r="Q32">
        <v>85962417.129999951</v>
      </c>
      <c r="R32" s="120">
        <v>130068088</v>
      </c>
      <c r="S32" s="118">
        <v>143526981.739999</v>
      </c>
      <c r="T32" s="118">
        <v>141197925.04000053</v>
      </c>
      <c r="U32" s="118">
        <v>151942028.20999968</v>
      </c>
      <c r="V32" s="118">
        <v>147824610.92000031</v>
      </c>
      <c r="W32" s="118">
        <v>151361134.38999963</v>
      </c>
      <c r="X32" s="72">
        <f t="shared" si="1"/>
        <v>0.55172691997811685</v>
      </c>
      <c r="Y32" s="72">
        <f t="shared" si="2"/>
        <v>0.26747528882258526</v>
      </c>
      <c r="Z32" s="72">
        <f t="shared" si="3"/>
        <v>0.27686128247607128</v>
      </c>
      <c r="AA32" s="72">
        <f t="shared" si="4"/>
        <v>0.26977607662945297</v>
      </c>
      <c r="AB32" s="72">
        <f t="shared" si="5"/>
        <v>0.25746680671323618</v>
      </c>
      <c r="AC32" s="72">
        <f t="shared" si="6"/>
        <v>0.23230479710320198</v>
      </c>
      <c r="AD32" s="72">
        <f t="shared" si="7"/>
        <v>0.22644952957245926</v>
      </c>
      <c r="AE32" s="73">
        <f t="shared" si="8"/>
        <v>-4.1025759250125998E-2</v>
      </c>
      <c r="AF32" s="127">
        <f t="shared" si="9"/>
        <v>0.17528344846585275</v>
      </c>
      <c r="AG32" s="127">
        <f t="shared" si="10"/>
        <v>0.15820538901273323</v>
      </c>
      <c r="AH32" s="127">
        <f t="shared" si="11"/>
        <v>0.16375621839662058</v>
      </c>
      <c r="AI32" s="127">
        <f t="shared" si="12"/>
        <v>0.14619371757562277</v>
      </c>
      <c r="AJ32" s="127">
        <f t="shared" si="13"/>
        <v>0.14452203463983218</v>
      </c>
      <c r="AK32" s="127">
        <f t="shared" si="14"/>
        <v>0.12635219772284931</v>
      </c>
      <c r="AL32" s="128">
        <f t="shared" si="15"/>
        <v>-0.20134074754760856</v>
      </c>
      <c r="AM32" s="129">
        <v>14.732693152855155</v>
      </c>
      <c r="AN32" s="129">
        <v>14.430454887602316</v>
      </c>
      <c r="AO32" s="129">
        <v>14.680944839401914</v>
      </c>
      <c r="AP32" s="129">
        <v>15.0268428220405</v>
      </c>
      <c r="AQ32" s="129">
        <v>13.87992654194445</v>
      </c>
      <c r="AR32" s="130">
        <f t="shared" si="17"/>
        <v>-5.7882601779800313E-2</v>
      </c>
      <c r="AS32" s="131">
        <v>42.661174872322206</v>
      </c>
    </row>
    <row r="33" spans="1:45" x14ac:dyDescent="0.55000000000000004">
      <c r="A33" s="68">
        <v>210015</v>
      </c>
      <c r="B33" s="69" t="s">
        <v>27</v>
      </c>
      <c r="C33" s="70">
        <v>75063892</v>
      </c>
      <c r="D33">
        <v>76532813.390000015</v>
      </c>
      <c r="E33">
        <v>73513781.50999999</v>
      </c>
      <c r="F33">
        <v>78059736.23999998</v>
      </c>
      <c r="G33">
        <v>78980700.150000006</v>
      </c>
      <c r="H33">
        <v>76194453.989999995</v>
      </c>
      <c r="I33">
        <v>80466146.579999998</v>
      </c>
      <c r="J33" s="71">
        <f t="shared" si="0"/>
        <v>5.1394075505316827E-2</v>
      </c>
      <c r="K33" s="4">
        <v>150807269.87</v>
      </c>
      <c r="L33">
        <v>315944148.93000001</v>
      </c>
      <c r="M33">
        <v>321338131.14999998</v>
      </c>
      <c r="N33">
        <v>333637487.37</v>
      </c>
      <c r="O33">
        <v>329991628.58000004</v>
      </c>
      <c r="P33">
        <v>322792763.91000003</v>
      </c>
      <c r="Q33">
        <v>329295028.53000021</v>
      </c>
      <c r="R33" s="120">
        <v>478733180</v>
      </c>
      <c r="S33" s="118">
        <v>481816544.69003445</v>
      </c>
      <c r="T33" s="118">
        <v>481705632.71000624</v>
      </c>
      <c r="U33" s="118">
        <v>502509327.27003551</v>
      </c>
      <c r="V33" s="118">
        <v>511230210.80000818</v>
      </c>
      <c r="W33" s="118">
        <v>522328515.02002996</v>
      </c>
      <c r="X33" s="72">
        <f t="shared" si="1"/>
        <v>0.4977471713711622</v>
      </c>
      <c r="Y33" s="72">
        <f t="shared" si="2"/>
        <v>0.24223526103962281</v>
      </c>
      <c r="Z33" s="72">
        <f t="shared" si="3"/>
        <v>0.22877391253540311</v>
      </c>
      <c r="AA33" s="72">
        <f t="shared" si="4"/>
        <v>0.2339657238619372</v>
      </c>
      <c r="AB33" s="72">
        <f t="shared" si="5"/>
        <v>0.23934152660134125</v>
      </c>
      <c r="AC33" s="72">
        <f t="shared" si="6"/>
        <v>0.2360475899987779</v>
      </c>
      <c r="AD33" s="72">
        <f t="shared" si="7"/>
        <v>0.24435882600234635</v>
      </c>
      <c r="AE33" s="73">
        <f t="shared" si="8"/>
        <v>2.1235649627235342E-3</v>
      </c>
      <c r="AF33" s="127">
        <f t="shared" si="9"/>
        <v>0.15679692809259638</v>
      </c>
      <c r="AG33" s="127">
        <f t="shared" si="10"/>
        <v>0.15884222788413302</v>
      </c>
      <c r="AH33" s="127">
        <f t="shared" si="11"/>
        <v>0.15261142182710649</v>
      </c>
      <c r="AI33" s="127">
        <f t="shared" si="12"/>
        <v>0.15533987530952376</v>
      </c>
      <c r="AJ33" s="127">
        <f t="shared" si="13"/>
        <v>0.15449145704125267</v>
      </c>
      <c r="AK33" s="127">
        <f t="shared" si="14"/>
        <v>0.14587458237289253</v>
      </c>
      <c r="AL33" s="128">
        <f t="shared" si="15"/>
        <v>-8.1638527008697559E-2</v>
      </c>
      <c r="AM33" s="129">
        <v>7.0613523203820119</v>
      </c>
      <c r="AN33" s="129">
        <v>7.1144508656594265</v>
      </c>
      <c r="AO33" s="129">
        <v>7.4180261718415403</v>
      </c>
      <c r="AP33" s="129">
        <v>7.6669286698654764</v>
      </c>
      <c r="AQ33" s="129">
        <v>7.2925599352844586</v>
      </c>
      <c r="AR33" s="130">
        <f t="shared" si="17"/>
        <v>3.274268219631038E-2</v>
      </c>
      <c r="AS33" s="131">
        <v>27.326368797432945</v>
      </c>
    </row>
    <row r="34" spans="1:45" hidden="1" x14ac:dyDescent="0.55000000000000004">
      <c r="A34" s="68">
        <v>210062</v>
      </c>
      <c r="B34" s="69" t="s">
        <v>15</v>
      </c>
      <c r="C34" s="70">
        <v>41352135</v>
      </c>
      <c r="D34">
        <v>46317041.689999998</v>
      </c>
      <c r="E34">
        <v>46250021.989999995</v>
      </c>
      <c r="F34">
        <v>46279788.029999994</v>
      </c>
      <c r="G34">
        <v>43998163.639999993</v>
      </c>
      <c r="H34">
        <v>45565462.730000019</v>
      </c>
      <c r="I34">
        <v>42343871.099999994</v>
      </c>
      <c r="J34" s="71">
        <f t="shared" si="0"/>
        <v>-8.578204576605819E-2</v>
      </c>
      <c r="K34" s="4">
        <v>84298471.26000002</v>
      </c>
      <c r="L34">
        <v>181143014.31999993</v>
      </c>
      <c r="M34">
        <v>181274530.77000001</v>
      </c>
      <c r="N34">
        <v>181611883.59999993</v>
      </c>
      <c r="O34">
        <v>186377164.40000001</v>
      </c>
      <c r="P34">
        <v>182478984.76000002</v>
      </c>
      <c r="Q34">
        <v>177444007.01000011</v>
      </c>
      <c r="R34" s="120">
        <v>253754224</v>
      </c>
      <c r="S34" s="118">
        <v>257380686.27000999</v>
      </c>
      <c r="T34" s="118">
        <v>264137022.97999591</v>
      </c>
      <c r="U34" s="118">
        <v>264274046.27000105</v>
      </c>
      <c r="V34" s="118">
        <v>272527271.01999652</v>
      </c>
      <c r="W34" s="118">
        <v>272271420.53999758</v>
      </c>
      <c r="X34" s="72">
        <f t="shared" si="1"/>
        <v>0.49054430503797003</v>
      </c>
      <c r="Y34" s="72">
        <f t="shared" si="2"/>
        <v>0.25569322595117128</v>
      </c>
      <c r="Z34" s="72">
        <f t="shared" si="3"/>
        <v>0.25513800418373023</v>
      </c>
      <c r="AA34" s="72">
        <f t="shared" si="4"/>
        <v>0.2548279722263726</v>
      </c>
      <c r="AB34" s="72">
        <f t="shared" si="5"/>
        <v>0.23607057110050114</v>
      </c>
      <c r="AC34" s="72">
        <f t="shared" si="6"/>
        <v>0.24970252212838984</v>
      </c>
      <c r="AD34" s="72">
        <f t="shared" si="7"/>
        <v>0.23863229766679944</v>
      </c>
      <c r="AE34" s="73">
        <f t="shared" si="8"/>
        <v>-1.7060928284371835E-2</v>
      </c>
      <c r="AF34" s="127">
        <f t="shared" si="9"/>
        <v>0.16296136611306222</v>
      </c>
      <c r="AG34" s="127">
        <f t="shared" si="10"/>
        <v>0.17995538966513688</v>
      </c>
      <c r="AH34" s="127">
        <f t="shared" si="11"/>
        <v>0.17509859643380127</v>
      </c>
      <c r="AI34" s="127">
        <f t="shared" si="12"/>
        <v>0.17512044290084122</v>
      </c>
      <c r="AJ34" s="127">
        <f t="shared" si="13"/>
        <v>0.16144499401959539</v>
      </c>
      <c r="AK34" s="127">
        <f t="shared" si="14"/>
        <v>0.16735308700277743</v>
      </c>
      <c r="AL34" s="128">
        <f t="shared" si="15"/>
        <v>-7.0030148504081846E-2</v>
      </c>
      <c r="AM34" s="129">
        <v>16.512876041617627</v>
      </c>
      <c r="AN34" s="129">
        <v>16.145465006172913</v>
      </c>
      <c r="AO34" s="129">
        <v>16.249233526720438</v>
      </c>
      <c r="AP34" s="129">
        <v>16.352394425522242</v>
      </c>
      <c r="AQ34" s="129">
        <v>17.295197576822584</v>
      </c>
      <c r="AR34" s="130">
        <f t="shared" si="17"/>
        <v>4.7376455393552286E-2</v>
      </c>
      <c r="AS34" s="131">
        <v>64.183688604166193</v>
      </c>
    </row>
    <row r="35" spans="1:45" ht="21.6" hidden="1" x14ac:dyDescent="0.55000000000000004">
      <c r="A35" s="68">
        <v>210049</v>
      </c>
      <c r="B35" s="69" t="s">
        <v>13</v>
      </c>
      <c r="C35" s="70">
        <v>32051181</v>
      </c>
      <c r="D35">
        <v>34602732.090000004</v>
      </c>
      <c r="E35">
        <v>38516212.740000002</v>
      </c>
      <c r="F35">
        <v>37937358.019999988</v>
      </c>
      <c r="G35">
        <v>35942728.769999996</v>
      </c>
      <c r="H35">
        <v>37782729.120000005</v>
      </c>
      <c r="I35">
        <v>43094259.030000001</v>
      </c>
      <c r="J35" s="71">
        <f t="shared" si="0"/>
        <v>0.2454004764107629</v>
      </c>
      <c r="K35" s="4">
        <v>83299448.570000023</v>
      </c>
      <c r="L35">
        <v>167049005.51000005</v>
      </c>
      <c r="M35">
        <v>169538073.24999988</v>
      </c>
      <c r="N35">
        <v>174730613.77999991</v>
      </c>
      <c r="O35">
        <v>167106073.39999995</v>
      </c>
      <c r="P35">
        <v>172385182.26999998</v>
      </c>
      <c r="Q35">
        <v>179267356.90000001</v>
      </c>
      <c r="R35" s="120">
        <v>283546948</v>
      </c>
      <c r="S35" s="118">
        <v>290026208.59001338</v>
      </c>
      <c r="T35" s="118">
        <v>316199578.43999541</v>
      </c>
      <c r="U35" s="118">
        <v>324534984.63000417</v>
      </c>
      <c r="V35" s="118">
        <v>327024628.54996181</v>
      </c>
      <c r="W35" s="118">
        <v>344276438.86002928</v>
      </c>
      <c r="X35" s="72">
        <f t="shared" si="1"/>
        <v>0.3847706263393334</v>
      </c>
      <c r="Y35" s="72">
        <f t="shared" si="2"/>
        <v>0.20714120377046233</v>
      </c>
      <c r="Z35" s="72">
        <f t="shared" si="3"/>
        <v>0.22718326333226763</v>
      </c>
      <c r="AA35" s="72">
        <f t="shared" si="4"/>
        <v>0.21711912525967667</v>
      </c>
      <c r="AB35" s="72">
        <f t="shared" si="5"/>
        <v>0.21508930249329888</v>
      </c>
      <c r="AC35" s="72">
        <f t="shared" si="6"/>
        <v>0.21917619961570964</v>
      </c>
      <c r="AD35" s="72">
        <f t="shared" si="7"/>
        <v>0.24039099909326547</v>
      </c>
      <c r="AE35" s="73">
        <f t="shared" si="8"/>
        <v>3.3249795322803144E-2</v>
      </c>
      <c r="AF35" s="127">
        <f t="shared" si="9"/>
        <v>0.11303659314999927</v>
      </c>
      <c r="AG35" s="127">
        <f t="shared" si="10"/>
        <v>0.11930898334403664</v>
      </c>
      <c r="AH35" s="127">
        <f t="shared" si="11"/>
        <v>0.12180981685688475</v>
      </c>
      <c r="AI35" s="127">
        <f t="shared" si="12"/>
        <v>0.11689759137447572</v>
      </c>
      <c r="AJ35" s="127">
        <f t="shared" si="13"/>
        <v>0.10990832381454346</v>
      </c>
      <c r="AK35" s="127">
        <f t="shared" si="14"/>
        <v>0.10974532339507885</v>
      </c>
      <c r="AL35" s="128">
        <f t="shared" si="15"/>
        <v>-8.0158758216724024E-2</v>
      </c>
      <c r="AM35" s="129">
        <v>14.398417756170177</v>
      </c>
      <c r="AN35" s="129">
        <v>15.536259358138423</v>
      </c>
      <c r="AO35" s="129">
        <v>14.892743895079564</v>
      </c>
      <c r="AP35" s="129">
        <v>13.721135699719939</v>
      </c>
      <c r="AQ35" s="129">
        <v>12.965396245836606</v>
      </c>
      <c r="AR35" s="130">
        <f t="shared" si="17"/>
        <v>-9.9526318419221882E-2</v>
      </c>
      <c r="AS35" s="131">
        <v>53.151430564140533</v>
      </c>
    </row>
    <row r="36" spans="1:45" hidden="1" x14ac:dyDescent="0.55000000000000004">
      <c r="A36" s="68">
        <v>210034</v>
      </c>
      <c r="B36" s="69" t="s">
        <v>35</v>
      </c>
      <c r="C36" s="70">
        <v>31891784</v>
      </c>
      <c r="D36">
        <v>25436656.150000002</v>
      </c>
      <c r="E36">
        <v>25997418.569999997</v>
      </c>
      <c r="F36">
        <v>26885933.020000003</v>
      </c>
      <c r="G36">
        <v>28246063.469999999</v>
      </c>
      <c r="H36">
        <v>31085677.260000002</v>
      </c>
      <c r="I36">
        <v>29699958.640000004</v>
      </c>
      <c r="J36" s="71">
        <f t="shared" si="0"/>
        <v>0.16760467511371391</v>
      </c>
      <c r="K36" s="4">
        <v>67310327.839999914</v>
      </c>
      <c r="L36">
        <v>131527193.43999998</v>
      </c>
      <c r="M36">
        <v>132542773.27999999</v>
      </c>
      <c r="N36">
        <v>127366376.33</v>
      </c>
      <c r="O36">
        <v>123505832.84999999</v>
      </c>
      <c r="P36">
        <v>125035477.65999998</v>
      </c>
      <c r="Q36">
        <v>122631153.63999997</v>
      </c>
      <c r="R36" s="120">
        <v>210126692</v>
      </c>
      <c r="S36" s="121">
        <v>198880187.80999666</v>
      </c>
      <c r="T36" s="121">
        <v>209078046.35001111</v>
      </c>
      <c r="U36" s="118">
        <v>203418315.1999917</v>
      </c>
      <c r="V36" s="118">
        <v>193214913.15001112</v>
      </c>
      <c r="W36" s="118">
        <v>197053928.52999336</v>
      </c>
      <c r="X36" s="72">
        <f t="shared" si="1"/>
        <v>0.47380223842927044</v>
      </c>
      <c r="Y36" s="72">
        <f t="shared" si="2"/>
        <v>0.19339465463165748</v>
      </c>
      <c r="Z36" s="72">
        <f t="shared" si="3"/>
        <v>0.1961436140700013</v>
      </c>
      <c r="AA36" s="72">
        <f t="shared" si="4"/>
        <v>0.21109129265277893</v>
      </c>
      <c r="AB36" s="72">
        <f t="shared" si="5"/>
        <v>0.22870226302838134</v>
      </c>
      <c r="AC36" s="72">
        <f t="shared" si="6"/>
        <v>0.24861485589337337</v>
      </c>
      <c r="AD36" s="72">
        <f t="shared" si="7"/>
        <v>0.24218934388555274</v>
      </c>
      <c r="AE36" s="73">
        <f t="shared" si="8"/>
        <v>4.8794689253895268E-2</v>
      </c>
      <c r="AF36" s="127">
        <f t="shared" si="9"/>
        <v>0.15177407351941752</v>
      </c>
      <c r="AG36" s="127">
        <f t="shared" si="10"/>
        <v>0.12789939727078956</v>
      </c>
      <c r="AH36" s="127">
        <f t="shared" si="11"/>
        <v>0.12434312939044073</v>
      </c>
      <c r="AI36" s="127">
        <f t="shared" si="12"/>
        <v>0.13217066021595433</v>
      </c>
      <c r="AJ36" s="127">
        <f t="shared" si="13"/>
        <v>0.14618987224899091</v>
      </c>
      <c r="AK36" s="127">
        <f t="shared" si="14"/>
        <v>0.15775213157076687</v>
      </c>
      <c r="AL36" s="128">
        <f t="shared" si="15"/>
        <v>0.23340793574478602</v>
      </c>
      <c r="AM36" s="129">
        <v>30.130872302246971</v>
      </c>
      <c r="AN36" s="129">
        <v>28.54580785453485</v>
      </c>
      <c r="AO36" s="129">
        <v>27.06275972938613</v>
      </c>
      <c r="AP36" s="129">
        <v>25.865093767804787</v>
      </c>
      <c r="AQ36" s="129">
        <v>26.957401070030631</v>
      </c>
      <c r="AR36" s="130">
        <f t="shared" si="17"/>
        <v>-0.1053229126718539</v>
      </c>
      <c r="AS36" s="131">
        <v>76.606668288266846</v>
      </c>
    </row>
    <row r="37" spans="1:45" x14ac:dyDescent="0.55000000000000004">
      <c r="A37" s="68">
        <v>210011</v>
      </c>
      <c r="B37" s="69" t="s">
        <v>24</v>
      </c>
      <c r="C37" s="70">
        <v>59517769</v>
      </c>
      <c r="D37">
        <v>61415043.080000013</v>
      </c>
      <c r="E37">
        <v>62204924.37999998</v>
      </c>
      <c r="F37">
        <v>60256049.719999999</v>
      </c>
      <c r="G37">
        <v>61450709.530000009</v>
      </c>
      <c r="H37">
        <v>63265442.640000001</v>
      </c>
      <c r="I37">
        <v>67175707.75999999</v>
      </c>
      <c r="J37" s="71">
        <f t="shared" si="0"/>
        <v>9.3798919468249142E-2</v>
      </c>
      <c r="K37" s="4">
        <v>128827784.22999994</v>
      </c>
      <c r="L37">
        <v>257229518.83000025</v>
      </c>
      <c r="M37">
        <v>258218578.85000014</v>
      </c>
      <c r="N37">
        <v>259476309.91</v>
      </c>
      <c r="O37">
        <v>264701339.8600001</v>
      </c>
      <c r="P37">
        <v>258713505.65000013</v>
      </c>
      <c r="Q37">
        <v>262836582.49999994</v>
      </c>
      <c r="R37" s="120">
        <v>403829083</v>
      </c>
      <c r="S37" s="118">
        <v>407168959.04004383</v>
      </c>
      <c r="T37" s="118">
        <v>412090808.49007332</v>
      </c>
      <c r="U37" s="118">
        <v>420128458.11994833</v>
      </c>
      <c r="V37" s="118">
        <v>434283695.9999671</v>
      </c>
      <c r="W37" s="118">
        <v>432176868.60002136</v>
      </c>
      <c r="X37" s="72">
        <f t="shared" si="1"/>
        <v>0.46199482010605114</v>
      </c>
      <c r="Y37" s="72">
        <f t="shared" si="2"/>
        <v>0.2387558137158762</v>
      </c>
      <c r="Z37" s="72">
        <f t="shared" si="3"/>
        <v>0.24090026618934723</v>
      </c>
      <c r="AA37" s="72">
        <f t="shared" si="4"/>
        <v>0.23222177678147171</v>
      </c>
      <c r="AB37" s="72">
        <f t="shared" si="5"/>
        <v>0.23215110872691894</v>
      </c>
      <c r="AC37" s="72">
        <f t="shared" si="6"/>
        <v>0.24453861610761243</v>
      </c>
      <c r="AD37" s="72">
        <f t="shared" si="7"/>
        <v>0.25557974891109386</v>
      </c>
      <c r="AE37" s="73">
        <f t="shared" si="8"/>
        <v>1.682393519521766E-2</v>
      </c>
      <c r="AF37" s="127">
        <f t="shared" si="9"/>
        <v>0.14738356276335848</v>
      </c>
      <c r="AG37" s="127">
        <f t="shared" si="10"/>
        <v>0.15083429548459276</v>
      </c>
      <c r="AH37" s="127">
        <f t="shared" si="11"/>
        <v>0.15094955553103148</v>
      </c>
      <c r="AI37" s="127">
        <f t="shared" si="12"/>
        <v>0.14342291876547114</v>
      </c>
      <c r="AJ37" s="127">
        <f t="shared" si="13"/>
        <v>0.14149900191050382</v>
      </c>
      <c r="AK37" s="127">
        <f t="shared" si="14"/>
        <v>0.14638785005995314</v>
      </c>
      <c r="AL37" s="128">
        <f t="shared" si="15"/>
        <v>-2.9479008141711449E-2</v>
      </c>
      <c r="AM37" s="129">
        <v>14.607562222596775</v>
      </c>
      <c r="AN37" s="129">
        <v>14.172818816186775</v>
      </c>
      <c r="AO37" s="129">
        <v>15.535976924504862</v>
      </c>
      <c r="AP37" s="129">
        <v>15.109693624650298</v>
      </c>
      <c r="AQ37" s="129">
        <v>15.351986066632957</v>
      </c>
      <c r="AR37" s="130">
        <f t="shared" si="17"/>
        <v>5.0961538461538503E-2</v>
      </c>
      <c r="AS37" s="131">
        <v>50.633638072821881</v>
      </c>
    </row>
    <row r="38" spans="1:45" hidden="1" x14ac:dyDescent="0.55000000000000004">
      <c r="A38" s="68">
        <v>210032</v>
      </c>
      <c r="B38" s="69" t="s">
        <v>33</v>
      </c>
      <c r="C38" s="70">
        <v>17200803</v>
      </c>
      <c r="D38">
        <v>14921134.290000001</v>
      </c>
      <c r="E38">
        <v>18676011.919999998</v>
      </c>
      <c r="F38">
        <v>21447460.909999993</v>
      </c>
      <c r="G38">
        <v>20272418.889999997</v>
      </c>
      <c r="H38">
        <v>18915909.619999997</v>
      </c>
      <c r="I38">
        <v>18827756.280000005</v>
      </c>
      <c r="J38" s="71">
        <f t="shared" si="0"/>
        <v>0.2618180303234845</v>
      </c>
      <c r="K38" s="4">
        <v>35833796.600000001</v>
      </c>
      <c r="L38">
        <v>72548883.150000021</v>
      </c>
      <c r="M38">
        <v>82934816.100000009</v>
      </c>
      <c r="N38">
        <v>82410932.430000007</v>
      </c>
      <c r="O38">
        <v>78894505.679999962</v>
      </c>
      <c r="P38">
        <v>75987439.900000006</v>
      </c>
      <c r="Q38">
        <v>76913448.820000023</v>
      </c>
      <c r="R38" s="120">
        <v>152066598</v>
      </c>
      <c r="S38" s="118">
        <v>151780497.08999455</v>
      </c>
      <c r="T38" s="118">
        <v>159679718.229996</v>
      </c>
      <c r="U38" s="118">
        <v>159179167.87999901</v>
      </c>
      <c r="V38" s="118">
        <v>159595373.72999817</v>
      </c>
      <c r="W38" s="118">
        <v>161753283.70000169</v>
      </c>
      <c r="X38" s="72">
        <f t="shared" si="1"/>
        <v>0.48001620347423635</v>
      </c>
      <c r="Y38" s="72">
        <f t="shared" si="2"/>
        <v>0.20567007570811924</v>
      </c>
      <c r="Z38" s="72">
        <f t="shared" si="3"/>
        <v>0.22518904361566427</v>
      </c>
      <c r="AA38" s="72">
        <f t="shared" si="4"/>
        <v>0.26025019105587116</v>
      </c>
      <c r="AB38" s="72">
        <f t="shared" si="5"/>
        <v>0.25695602900696196</v>
      </c>
      <c r="AC38" s="72">
        <f t="shared" si="6"/>
        <v>0.248934687691722</v>
      </c>
      <c r="AD38" s="72">
        <f t="shared" si="7"/>
        <v>0.24479147104770277</v>
      </c>
      <c r="AE38" s="73">
        <f t="shared" si="8"/>
        <v>3.9121395339583531E-2</v>
      </c>
      <c r="AF38" s="127">
        <f t="shared" si="9"/>
        <v>0.11311361749540816</v>
      </c>
      <c r="AG38" s="127">
        <f t="shared" si="10"/>
        <v>9.8307322588045531E-2</v>
      </c>
      <c r="AH38" s="127">
        <f t="shared" si="11"/>
        <v>0.11695919887020248</v>
      </c>
      <c r="AI38" s="127">
        <f t="shared" si="12"/>
        <v>0.13473786297317919</v>
      </c>
      <c r="AJ38" s="127">
        <f t="shared" si="13"/>
        <v>0.12702385048013151</v>
      </c>
      <c r="AK38" s="127">
        <f t="shared" si="14"/>
        <v>0.11694297134074071</v>
      </c>
      <c r="AL38" s="128">
        <f t="shared" si="15"/>
        <v>0.18956521510393909</v>
      </c>
      <c r="AM38" s="129">
        <v>17.340366206361523</v>
      </c>
      <c r="AN38" s="129">
        <v>16.872587988626524</v>
      </c>
      <c r="AO38" s="129">
        <v>16.875219335057459</v>
      </c>
      <c r="AP38" s="129">
        <v>17.248218188090512</v>
      </c>
      <c r="AQ38" s="129">
        <v>16.553121030043581</v>
      </c>
      <c r="AR38" s="130">
        <f t="shared" si="17"/>
        <v>-4.5399570398295896E-2</v>
      </c>
      <c r="AS38" s="131">
        <v>46.834734675444672</v>
      </c>
    </row>
    <row r="39" spans="1:45" hidden="1" x14ac:dyDescent="0.55000000000000004">
      <c r="A39" s="68">
        <v>210061</v>
      </c>
      <c r="B39" s="69" t="s">
        <v>14</v>
      </c>
      <c r="C39" s="70">
        <v>9839282</v>
      </c>
      <c r="D39">
        <v>12461402.409999996</v>
      </c>
      <c r="E39">
        <v>10195998.920000002</v>
      </c>
      <c r="F39">
        <v>9245010.6400000025</v>
      </c>
      <c r="G39">
        <v>8828606.1099999994</v>
      </c>
      <c r="H39">
        <v>9969470.9699999969</v>
      </c>
      <c r="I39">
        <v>10226072.040000001</v>
      </c>
      <c r="J39" s="71">
        <f t="shared" si="0"/>
        <v>-0.17938032144810545</v>
      </c>
      <c r="K39" s="4">
        <v>20247758.68</v>
      </c>
      <c r="L39">
        <v>43613952.120000012</v>
      </c>
      <c r="M39">
        <v>40340076.849999994</v>
      </c>
      <c r="N39">
        <v>42842351.75</v>
      </c>
      <c r="O39">
        <v>40969290.820000008</v>
      </c>
      <c r="P39">
        <v>40278131.45000001</v>
      </c>
      <c r="Q39">
        <v>41644347.829999991</v>
      </c>
      <c r="R39" s="120">
        <v>99984809</v>
      </c>
      <c r="S39" s="118">
        <v>101962206.85000283</v>
      </c>
      <c r="T39" s="118">
        <v>101169725.80999769</v>
      </c>
      <c r="U39" s="118">
        <v>103203408.86999804</v>
      </c>
      <c r="V39" s="118">
        <v>106408851.52000517</v>
      </c>
      <c r="W39" s="118">
        <v>108859463.5500049</v>
      </c>
      <c r="X39" s="72">
        <f t="shared" si="1"/>
        <v>0.48594425464576901</v>
      </c>
      <c r="Y39" s="72">
        <f t="shared" si="2"/>
        <v>0.28572055051818113</v>
      </c>
      <c r="Z39" s="72">
        <f t="shared" si="3"/>
        <v>0.2527511030262205</v>
      </c>
      <c r="AA39" s="72">
        <f t="shared" si="4"/>
        <v>0.21579139011667356</v>
      </c>
      <c r="AB39" s="72">
        <f t="shared" si="5"/>
        <v>0.21549326174057504</v>
      </c>
      <c r="AC39" s="72">
        <f t="shared" si="6"/>
        <v>0.24751572655190771</v>
      </c>
      <c r="AD39" s="72">
        <f t="shared" si="7"/>
        <v>0.2455572622182664</v>
      </c>
      <c r="AE39" s="73">
        <f t="shared" si="8"/>
        <v>-4.0163288299914723E-2</v>
      </c>
      <c r="AF39" s="127">
        <f t="shared" si="9"/>
        <v>9.8407769124207664E-2</v>
      </c>
      <c r="AG39" s="127">
        <f t="shared" si="10"/>
        <v>0.12221589542811716</v>
      </c>
      <c r="AH39" s="127">
        <f t="shared" si="11"/>
        <v>0.10078112635343747</v>
      </c>
      <c r="AI39" s="127">
        <f t="shared" si="12"/>
        <v>8.9580477439903564E-2</v>
      </c>
      <c r="AJ39" s="127">
        <f t="shared" si="13"/>
        <v>8.296871908574445E-2</v>
      </c>
      <c r="AK39" s="127">
        <f t="shared" si="14"/>
        <v>9.158111426316641E-2</v>
      </c>
      <c r="AL39" s="128">
        <f t="shared" si="15"/>
        <v>-0.25066118492720113</v>
      </c>
      <c r="AM39" s="129">
        <v>35.393689282512902</v>
      </c>
      <c r="AN39" s="129">
        <v>33.720518117217225</v>
      </c>
      <c r="AO39" s="129">
        <v>32.403223875669283</v>
      </c>
      <c r="AP39" s="129">
        <v>29.790125603900801</v>
      </c>
      <c r="AQ39" s="129">
        <v>29.948374938698585</v>
      </c>
      <c r="AR39" s="130">
        <f t="shared" si="17"/>
        <v>-0.15384986573029291</v>
      </c>
      <c r="AS39" s="131">
        <v>71.508902030864235</v>
      </c>
    </row>
    <row r="40" spans="1:45" hidden="1" x14ac:dyDescent="0.55000000000000004">
      <c r="A40" s="68">
        <v>210028</v>
      </c>
      <c r="B40" s="69" t="s">
        <v>8</v>
      </c>
      <c r="C40" s="70">
        <v>18341774</v>
      </c>
      <c r="D40">
        <v>19572660.070000004</v>
      </c>
      <c r="E40">
        <v>18166221.169999998</v>
      </c>
      <c r="F40">
        <v>18748405.59</v>
      </c>
      <c r="G40">
        <v>21852019.299999997</v>
      </c>
      <c r="H40">
        <v>23574951.730000008</v>
      </c>
      <c r="I40">
        <v>23766134.949999999</v>
      </c>
      <c r="J40" s="71">
        <f t="shared" si="0"/>
        <v>0.21425165843591909</v>
      </c>
      <c r="K40" s="4">
        <v>36357551.080000013</v>
      </c>
      <c r="L40">
        <v>76821781.37999998</v>
      </c>
      <c r="M40">
        <v>74442709.219999984</v>
      </c>
      <c r="N40">
        <v>82515147.929999992</v>
      </c>
      <c r="O40">
        <v>91404473.519999996</v>
      </c>
      <c r="P40">
        <v>94523249.340000004</v>
      </c>
      <c r="Q40">
        <v>93508816.299999982</v>
      </c>
      <c r="R40" s="120">
        <v>162790579</v>
      </c>
      <c r="S40" s="118">
        <v>159275884.73000157</v>
      </c>
      <c r="T40" s="118">
        <v>160214785.26000118</v>
      </c>
      <c r="U40" s="118">
        <v>169501643.02000237</v>
      </c>
      <c r="V40" s="118">
        <v>186664221.15000403</v>
      </c>
      <c r="W40" s="118">
        <v>192809977.88999271</v>
      </c>
      <c r="X40" s="72">
        <f t="shared" si="1"/>
        <v>0.50448320789376977</v>
      </c>
      <c r="Y40" s="72">
        <f t="shared" si="2"/>
        <v>0.25478008604335245</v>
      </c>
      <c r="Z40" s="72">
        <f t="shared" si="3"/>
        <v>0.24402955454393122</v>
      </c>
      <c r="AA40" s="72">
        <f t="shared" si="4"/>
        <v>0.22721168246471327</v>
      </c>
      <c r="AB40" s="72">
        <f t="shared" si="5"/>
        <v>0.23906947284389324</v>
      </c>
      <c r="AC40" s="72">
        <f t="shared" si="6"/>
        <v>0.24940902788054753</v>
      </c>
      <c r="AD40" s="72">
        <f t="shared" si="7"/>
        <v>0.25415929631439471</v>
      </c>
      <c r="AE40" s="73">
        <f t="shared" si="8"/>
        <v>-6.2078972895773799E-4</v>
      </c>
      <c r="AF40" s="127">
        <f t="shared" si="9"/>
        <v>0.11267097956571553</v>
      </c>
      <c r="AG40" s="127">
        <f t="shared" si="10"/>
        <v>0.12288526981456631</v>
      </c>
      <c r="AH40" s="127">
        <f t="shared" si="11"/>
        <v>0.11338667115222437</v>
      </c>
      <c r="AI40" s="127">
        <f t="shared" si="12"/>
        <v>0.11060899030806184</v>
      </c>
      <c r="AJ40" s="127">
        <f t="shared" si="13"/>
        <v>0.11706592278570427</v>
      </c>
      <c r="AK40" s="127">
        <f t="shared" si="14"/>
        <v>0.12227039278771476</v>
      </c>
      <c r="AL40" s="128">
        <f t="shared" si="15"/>
        <v>-5.0036674678698434E-3</v>
      </c>
      <c r="AM40" s="129">
        <v>33.824823050155132</v>
      </c>
      <c r="AN40" s="129">
        <v>32.206070936212157</v>
      </c>
      <c r="AO40" s="129">
        <v>32.529732472599136</v>
      </c>
      <c r="AP40" s="129">
        <v>31.82517804819722</v>
      </c>
      <c r="AQ40" s="129">
        <v>31.933909419116031</v>
      </c>
      <c r="AR40" s="130">
        <f t="shared" si="17"/>
        <v>-5.590313445942563E-2</v>
      </c>
      <c r="AS40" s="131">
        <v>100.44379297103266</v>
      </c>
    </row>
    <row r="41" spans="1:45" x14ac:dyDescent="0.55000000000000004">
      <c r="A41" s="68">
        <v>210056</v>
      </c>
      <c r="B41" s="69" t="s">
        <v>43</v>
      </c>
      <c r="C41" s="70">
        <v>53392051</v>
      </c>
      <c r="D41">
        <v>46282896.090000018</v>
      </c>
      <c r="E41">
        <v>46442943.840000004</v>
      </c>
      <c r="F41">
        <v>47221707.18</v>
      </c>
      <c r="G41">
        <v>45205942.450000003</v>
      </c>
      <c r="H41">
        <v>51154234.159999996</v>
      </c>
      <c r="I41">
        <v>49212827.489999995</v>
      </c>
      <c r="J41" s="71">
        <f t="shared" si="0"/>
        <v>6.3304841475402496E-2</v>
      </c>
      <c r="K41" s="4">
        <v>99475483.00999999</v>
      </c>
      <c r="L41">
        <v>180692057.46999997</v>
      </c>
      <c r="M41">
        <v>186611246.59999996</v>
      </c>
      <c r="N41">
        <v>176599777.08999997</v>
      </c>
      <c r="O41">
        <v>169682915.14999998</v>
      </c>
      <c r="P41">
        <v>174177146.97999999</v>
      </c>
      <c r="Q41">
        <v>161818959.45999995</v>
      </c>
      <c r="R41" s="120">
        <v>314813844</v>
      </c>
      <c r="S41" s="118">
        <v>289660396.00000107</v>
      </c>
      <c r="T41" s="118">
        <v>304878206.25999826</v>
      </c>
      <c r="U41" s="118">
        <v>297631706.34998488</v>
      </c>
      <c r="V41" s="118">
        <v>292250622.11998415</v>
      </c>
      <c r="W41" s="118">
        <v>298467393.68000197</v>
      </c>
      <c r="X41" s="72">
        <f t="shared" si="1"/>
        <v>0.53673578035939418</v>
      </c>
      <c r="Y41" s="72">
        <f t="shared" si="2"/>
        <v>0.2561423935176802</v>
      </c>
      <c r="Z41" s="72">
        <f t="shared" si="3"/>
        <v>0.2488753742669656</v>
      </c>
      <c r="AA41" s="72">
        <f t="shared" si="4"/>
        <v>0.26739392290362041</v>
      </c>
      <c r="AB41" s="72">
        <f t="shared" si="5"/>
        <v>0.26641422567521233</v>
      </c>
      <c r="AC41" s="72">
        <f t="shared" si="6"/>
        <v>0.29369084892562752</v>
      </c>
      <c r="AD41" s="72">
        <f t="shared" si="7"/>
        <v>0.30412275331782074</v>
      </c>
      <c r="AE41" s="73">
        <f t="shared" si="8"/>
        <v>4.7980359800140537E-2</v>
      </c>
      <c r="AF41" s="127">
        <f t="shared" si="9"/>
        <v>0.1695988026498606</v>
      </c>
      <c r="AG41" s="127">
        <f t="shared" si="10"/>
        <v>0.15978330738041194</v>
      </c>
      <c r="AH41" s="127">
        <f t="shared" si="11"/>
        <v>0.15233277711032497</v>
      </c>
      <c r="AI41" s="127">
        <f t="shared" si="12"/>
        <v>0.15865818786279454</v>
      </c>
      <c r="AJ41" s="127">
        <f t="shared" si="13"/>
        <v>0.15468210853436815</v>
      </c>
      <c r="AK41" s="127">
        <f t="shared" si="14"/>
        <v>0.17138969027499318</v>
      </c>
      <c r="AL41" s="128">
        <f t="shared" si="15"/>
        <v>7.2638269196348304E-2</v>
      </c>
      <c r="AM41" s="129">
        <v>11.953611400285979</v>
      </c>
      <c r="AN41" s="129">
        <v>11.803947536183006</v>
      </c>
      <c r="AO41" s="129">
        <v>12.600671761750691</v>
      </c>
      <c r="AP41" s="129">
        <v>12.744873469438442</v>
      </c>
      <c r="AQ41" s="129">
        <v>13.075675522642799</v>
      </c>
      <c r="AR41" s="130">
        <f t="shared" si="17"/>
        <v>9.3868211436919813E-2</v>
      </c>
      <c r="AS41" s="131">
        <v>41.113109723838711</v>
      </c>
    </row>
    <row r="42" spans="1:45" hidden="1" x14ac:dyDescent="0.55000000000000004">
      <c r="A42" s="68">
        <v>210010</v>
      </c>
      <c r="B42" s="69" t="s">
        <v>23</v>
      </c>
      <c r="C42" s="70">
        <v>9263850</v>
      </c>
      <c r="D42">
        <v>10577373.460000003</v>
      </c>
      <c r="E42">
        <v>12658113.159999998</v>
      </c>
      <c r="F42">
        <v>11701259.6</v>
      </c>
      <c r="G42">
        <v>9403355.3299999982</v>
      </c>
      <c r="H42">
        <v>8105696.4500000011</v>
      </c>
      <c r="I42">
        <v>6961114.8700000001</v>
      </c>
      <c r="J42" s="71">
        <f t="shared" si="0"/>
        <v>-0.34188625405687445</v>
      </c>
      <c r="K42" s="4">
        <v>13449708.139999997</v>
      </c>
      <c r="L42">
        <v>29560497.09</v>
      </c>
      <c r="M42">
        <v>36220802.249999993</v>
      </c>
      <c r="N42">
        <v>31309992.879999999</v>
      </c>
      <c r="O42">
        <v>26129758.460000001</v>
      </c>
      <c r="P42">
        <v>27721548.030000001</v>
      </c>
      <c r="Q42">
        <v>26810501.500000004</v>
      </c>
      <c r="R42" s="120">
        <v>58151176</v>
      </c>
      <c r="S42" s="118">
        <v>56428026.589998737</v>
      </c>
      <c r="T42" s="118">
        <v>61067906.310001031</v>
      </c>
      <c r="U42" s="118">
        <v>54823272.199998766</v>
      </c>
      <c r="V42" s="118">
        <v>46780260.280000463</v>
      </c>
      <c r="W42" s="118">
        <v>49415492.500000924</v>
      </c>
      <c r="X42" s="72">
        <f t="shared" si="1"/>
        <v>0.68877702798984319</v>
      </c>
      <c r="Y42" s="72">
        <f t="shared" si="2"/>
        <v>0.35782123107727493</v>
      </c>
      <c r="Z42" s="72">
        <f t="shared" si="3"/>
        <v>0.34947081162455479</v>
      </c>
      <c r="AA42" s="72">
        <f t="shared" si="4"/>
        <v>0.37372284448759668</v>
      </c>
      <c r="AB42" s="72">
        <f t="shared" si="5"/>
        <v>0.35987149840649535</v>
      </c>
      <c r="AC42" s="72">
        <f t="shared" si="6"/>
        <v>0.29239696286903211</v>
      </c>
      <c r="AD42" s="72">
        <f t="shared" si="7"/>
        <v>0.25964135247526043</v>
      </c>
      <c r="AE42" s="73">
        <f t="shared" si="8"/>
        <v>-9.8179878602014492E-2</v>
      </c>
      <c r="AF42" s="127">
        <f t="shared" si="9"/>
        <v>0.15930632254109531</v>
      </c>
      <c r="AG42" s="127">
        <f t="shared" si="10"/>
        <v>0.1874489344958721</v>
      </c>
      <c r="AH42" s="127">
        <f t="shared" si="11"/>
        <v>0.20727930470946884</v>
      </c>
      <c r="AI42" s="127">
        <f t="shared" si="12"/>
        <v>0.21343599406677266</v>
      </c>
      <c r="AJ42" s="127">
        <f t="shared" si="13"/>
        <v>0.20101118022252923</v>
      </c>
      <c r="AK42" s="127">
        <f t="shared" si="14"/>
        <v>0.16403148162491449</v>
      </c>
      <c r="AL42" s="128">
        <f t="shared" si="15"/>
        <v>-0.12492710579516952</v>
      </c>
      <c r="AM42" s="129">
        <v>9.7029300072483089</v>
      </c>
      <c r="AN42" s="129">
        <v>9.8951493364856553</v>
      </c>
      <c r="AO42" s="129">
        <v>9.9864212125019254</v>
      </c>
      <c r="AP42" s="129">
        <v>10.154723892456751</v>
      </c>
      <c r="AQ42" s="129">
        <v>9.4054378100558829</v>
      </c>
      <c r="AR42" s="130">
        <f t="shared" si="17"/>
        <v>-3.0660037428920206E-2</v>
      </c>
      <c r="AS42" s="131">
        <v>42.954271623695504</v>
      </c>
    </row>
    <row r="43" spans="1:45" hidden="1" x14ac:dyDescent="0.55000000000000004">
      <c r="A43" s="68">
        <v>210033</v>
      </c>
      <c r="B43" s="69" t="s">
        <v>34</v>
      </c>
      <c r="C43" s="70">
        <v>29995204</v>
      </c>
      <c r="D43">
        <v>32500570.170000002</v>
      </c>
      <c r="E43">
        <v>35528318.939999998</v>
      </c>
      <c r="F43">
        <v>35766578.25</v>
      </c>
      <c r="G43">
        <v>33765487.63000001</v>
      </c>
      <c r="H43">
        <v>38894829.989999995</v>
      </c>
      <c r="I43">
        <v>40739188.689999998</v>
      </c>
      <c r="J43" s="71">
        <f t="shared" si="0"/>
        <v>0.25349150728453185</v>
      </c>
      <c r="K43" s="4">
        <v>72862843.949999958</v>
      </c>
      <c r="L43">
        <v>150480094.58000001</v>
      </c>
      <c r="M43">
        <v>150967076.58000001</v>
      </c>
      <c r="N43">
        <v>149961743.81000003</v>
      </c>
      <c r="O43">
        <v>143449023.71000004</v>
      </c>
      <c r="P43">
        <v>151000569.21999994</v>
      </c>
      <c r="Q43">
        <v>156292291.03999993</v>
      </c>
      <c r="R43" s="120">
        <v>242036790</v>
      </c>
      <c r="S43" s="118">
        <v>249064067.62000239</v>
      </c>
      <c r="T43" s="118">
        <v>252994473.65002221</v>
      </c>
      <c r="U43" s="118">
        <v>256050214.27000648</v>
      </c>
      <c r="V43" s="118">
        <v>241474640.64000505</v>
      </c>
      <c r="W43" s="118">
        <v>235224728.38999268</v>
      </c>
      <c r="X43" s="72">
        <f t="shared" si="1"/>
        <v>0.41166666539372732</v>
      </c>
      <c r="Y43" s="72">
        <f t="shared" si="2"/>
        <v>0.21597919818372829</v>
      </c>
      <c r="Z43" s="72">
        <f t="shared" si="3"/>
        <v>0.23533819257056979</v>
      </c>
      <c r="AA43" s="72">
        <f t="shared" si="4"/>
        <v>0.23850468353659504</v>
      </c>
      <c r="AB43" s="72">
        <f t="shared" si="5"/>
        <v>0.23538318182116821</v>
      </c>
      <c r="AC43" s="72">
        <f t="shared" si="6"/>
        <v>0.25758068456902478</v>
      </c>
      <c r="AD43" s="72">
        <f t="shared" si="7"/>
        <v>0.26066025661863007</v>
      </c>
      <c r="AE43" s="73">
        <f t="shared" si="8"/>
        <v>4.4681058434901777E-2</v>
      </c>
      <c r="AF43" s="127">
        <f t="shared" si="9"/>
        <v>0.1239282837952032</v>
      </c>
      <c r="AG43" s="127">
        <f t="shared" si="10"/>
        <v>0.13049080295109527</v>
      </c>
      <c r="AH43" s="127">
        <f t="shared" si="11"/>
        <v>0.14043120558098751</v>
      </c>
      <c r="AI43" s="127">
        <f t="shared" si="12"/>
        <v>0.13968579699091338</v>
      </c>
      <c r="AJ43" s="127">
        <f t="shared" si="13"/>
        <v>0.13983036703360596</v>
      </c>
      <c r="AK43" s="127">
        <f t="shared" si="14"/>
        <v>0.1653517904185397</v>
      </c>
      <c r="AL43" s="128">
        <f t="shared" si="15"/>
        <v>0.26715283130344036</v>
      </c>
      <c r="AM43" s="129">
        <v>12.469907777325284</v>
      </c>
      <c r="AN43" s="129">
        <v>12.793325407790594</v>
      </c>
      <c r="AO43" s="129">
        <v>12.600979547844096</v>
      </c>
      <c r="AP43" s="129">
        <v>11.360114381079473</v>
      </c>
      <c r="AQ43" s="129">
        <v>13.139894880840954</v>
      </c>
      <c r="AR43" s="130">
        <f t="shared" si="17"/>
        <v>5.3728312629059305E-2</v>
      </c>
      <c r="AS43" s="131">
        <v>46.71354946812562</v>
      </c>
    </row>
    <row r="44" spans="1:45" hidden="1" x14ac:dyDescent="0.55000000000000004">
      <c r="A44" s="68">
        <v>210051</v>
      </c>
      <c r="B44" s="69" t="s">
        <v>42</v>
      </c>
      <c r="C44" s="70">
        <v>36362605</v>
      </c>
      <c r="D44">
        <v>38538856.890000008</v>
      </c>
      <c r="E44">
        <v>34696733.159999996</v>
      </c>
      <c r="F44">
        <v>38669578.880000003</v>
      </c>
      <c r="G44">
        <v>41314214.719999999</v>
      </c>
      <c r="H44">
        <v>41437094.230000012</v>
      </c>
      <c r="I44">
        <v>42970975.290000007</v>
      </c>
      <c r="J44" s="71">
        <f t="shared" si="0"/>
        <v>0.11500388848196574</v>
      </c>
      <c r="K44" s="4">
        <v>69641749.430000007</v>
      </c>
      <c r="L44">
        <v>140958640.40000001</v>
      </c>
      <c r="M44">
        <v>136900852.05000004</v>
      </c>
      <c r="N44">
        <v>142909341.12000003</v>
      </c>
      <c r="O44">
        <v>147975130.09000006</v>
      </c>
      <c r="P44">
        <v>151443623.62</v>
      </c>
      <c r="Q44">
        <v>159742505.94999987</v>
      </c>
      <c r="R44" s="120">
        <v>214073471</v>
      </c>
      <c r="S44" s="118">
        <v>221268088.09999987</v>
      </c>
      <c r="T44" s="118">
        <v>224489597.04999739</v>
      </c>
      <c r="U44" s="118">
        <v>229225535.32000422</v>
      </c>
      <c r="V44" s="118">
        <v>233056175.62000042</v>
      </c>
      <c r="W44" s="118">
        <v>237330620.59999847</v>
      </c>
      <c r="X44" s="72">
        <f t="shared" si="1"/>
        <v>0.52213801774967838</v>
      </c>
      <c r="Y44" s="72">
        <f t="shared" si="2"/>
        <v>0.27340542431906151</v>
      </c>
      <c r="Z44" s="72">
        <f t="shared" si="3"/>
        <v>0.2534442455283461</v>
      </c>
      <c r="AA44" s="72">
        <f t="shared" si="4"/>
        <v>0.27058818252845634</v>
      </c>
      <c r="AB44" s="72">
        <f t="shared" si="5"/>
        <v>0.27919701570711408</v>
      </c>
      <c r="AC44" s="72">
        <f t="shared" si="6"/>
        <v>0.2736139907347524</v>
      </c>
      <c r="AD44" s="72">
        <f t="shared" si="7"/>
        <v>0.26900150986394389</v>
      </c>
      <c r="AE44" s="73">
        <f t="shared" si="8"/>
        <v>-4.403914455117619E-3</v>
      </c>
      <c r="AF44" s="127">
        <f t="shared" si="9"/>
        <v>0.16986039806866121</v>
      </c>
      <c r="AG44" s="127">
        <f t="shared" si="10"/>
        <v>0.17417268446131629</v>
      </c>
      <c r="AH44" s="127">
        <f t="shared" si="11"/>
        <v>0.15455831190374708</v>
      </c>
      <c r="AI44" s="127">
        <f t="shared" si="12"/>
        <v>0.16869664553740213</v>
      </c>
      <c r="AJ44" s="127">
        <f t="shared" si="13"/>
        <v>0.17727148662802691</v>
      </c>
      <c r="AK44" s="127">
        <f t="shared" si="14"/>
        <v>0.17459649380784656</v>
      </c>
      <c r="AL44" s="128">
        <f t="shared" si="15"/>
        <v>2.4332710254828527E-3</v>
      </c>
      <c r="AM44" s="129">
        <v>23.295579972513664</v>
      </c>
      <c r="AN44" s="129">
        <v>24.07623236780482</v>
      </c>
      <c r="AO44" s="129">
        <v>24.490739363466748</v>
      </c>
      <c r="AP44" s="129">
        <v>23.975148578642052</v>
      </c>
      <c r="AQ44" s="129">
        <v>22.493425006533919</v>
      </c>
      <c r="AR44" s="130">
        <f t="shared" si="17"/>
        <v>-3.4433783873430213E-2</v>
      </c>
      <c r="AS44" s="131">
        <v>59.324160143655284</v>
      </c>
    </row>
    <row r="45" spans="1:45" hidden="1" x14ac:dyDescent="0.55000000000000004">
      <c r="A45" s="68">
        <v>210038</v>
      </c>
      <c r="B45" s="69" t="s">
        <v>37</v>
      </c>
      <c r="C45" s="70">
        <v>35348647</v>
      </c>
      <c r="D45">
        <v>33952062.609999999</v>
      </c>
      <c r="E45">
        <v>30456723.329999998</v>
      </c>
      <c r="F45">
        <v>31031165.699999996</v>
      </c>
      <c r="G45">
        <v>29970645.27</v>
      </c>
      <c r="H45">
        <v>34918410.650000006</v>
      </c>
      <c r="I45">
        <v>33956955.079999998</v>
      </c>
      <c r="J45" s="71">
        <f t="shared" si="0"/>
        <v>1.440993454859818E-4</v>
      </c>
      <c r="K45" s="4">
        <v>73449442.939999983</v>
      </c>
      <c r="L45">
        <v>142436907.84</v>
      </c>
      <c r="M45">
        <v>135399559.48999998</v>
      </c>
      <c r="N45">
        <v>128733621.83000003</v>
      </c>
      <c r="O45">
        <v>126900899.41000001</v>
      </c>
      <c r="P45">
        <v>129003448.87000002</v>
      </c>
      <c r="Q45">
        <v>123570303.64</v>
      </c>
      <c r="R45" s="120">
        <v>187827049</v>
      </c>
      <c r="S45" s="118">
        <v>215125247.47000483</v>
      </c>
      <c r="T45" s="118">
        <v>226534519.99000561</v>
      </c>
      <c r="U45" s="118">
        <v>228490144.41999602</v>
      </c>
      <c r="V45" s="118">
        <v>232838005.38999104</v>
      </c>
      <c r="W45" s="118">
        <v>239656540.73000944</v>
      </c>
      <c r="X45" s="72">
        <f t="shared" si="1"/>
        <v>0.48126501148382989</v>
      </c>
      <c r="Y45" s="72">
        <f t="shared" si="2"/>
        <v>0.23836562534858238</v>
      </c>
      <c r="Z45" s="72">
        <f t="shared" si="3"/>
        <v>0.22493960426990459</v>
      </c>
      <c r="AA45" s="72">
        <f t="shared" si="4"/>
        <v>0.2410494263959915</v>
      </c>
      <c r="AB45" s="72">
        <f t="shared" si="5"/>
        <v>0.23617362374374362</v>
      </c>
      <c r="AC45" s="72">
        <f t="shared" si="6"/>
        <v>0.27067811718110074</v>
      </c>
      <c r="AD45" s="72">
        <f t="shared" si="7"/>
        <v>0.27479866990476548</v>
      </c>
      <c r="AE45" s="73">
        <f t="shared" si="8"/>
        <v>3.6433044556183097E-2</v>
      </c>
      <c r="AF45" s="127">
        <f t="shared" si="9"/>
        <v>0.18819785109864554</v>
      </c>
      <c r="AG45" s="127">
        <f t="shared" si="10"/>
        <v>0.15782463011336675</v>
      </c>
      <c r="AH45" s="127">
        <f t="shared" si="11"/>
        <v>0.13444627923083735</v>
      </c>
      <c r="AI45" s="127">
        <f t="shared" si="12"/>
        <v>0.13580964631437445</v>
      </c>
      <c r="AJ45" s="127">
        <f t="shared" si="13"/>
        <v>0.12871887138785953</v>
      </c>
      <c r="AK45" s="127">
        <f t="shared" si="14"/>
        <v>0.14570188880986204</v>
      </c>
      <c r="AL45" s="128">
        <f t="shared" si="15"/>
        <v>-7.6811466592995314E-2</v>
      </c>
      <c r="AM45" s="129">
        <v>8.1321499422715924</v>
      </c>
      <c r="AN45" s="129">
        <v>8.2387800232429278</v>
      </c>
      <c r="AO45" s="129">
        <v>7.8226785873742042</v>
      </c>
      <c r="AP45" s="129">
        <v>7.9573894701432337</v>
      </c>
      <c r="AQ45" s="129">
        <v>8.171860313538307</v>
      </c>
      <c r="AR45" s="130">
        <f t="shared" si="17"/>
        <v>4.8831331872396522E-3</v>
      </c>
      <c r="AS45" s="131">
        <v>34.620598977933355</v>
      </c>
    </row>
    <row r="46" spans="1:45" hidden="1" x14ac:dyDescent="0.55000000000000004">
      <c r="A46" s="68">
        <v>210006</v>
      </c>
      <c r="B46" s="69" t="s">
        <v>21</v>
      </c>
      <c r="C46" s="70">
        <v>15611724</v>
      </c>
      <c r="D46">
        <v>16634360.710000003</v>
      </c>
      <c r="E46">
        <v>17692571.290000003</v>
      </c>
      <c r="F46">
        <v>18495577.640000001</v>
      </c>
      <c r="G46">
        <v>19293635.580000002</v>
      </c>
      <c r="H46">
        <v>17662837.909999996</v>
      </c>
      <c r="I46">
        <v>19211374.769999996</v>
      </c>
      <c r="J46" s="71">
        <f t="shared" si="0"/>
        <v>0.15492113613063485</v>
      </c>
      <c r="K46" s="4">
        <v>30384949.890000001</v>
      </c>
      <c r="L46">
        <v>58525213.580000006</v>
      </c>
      <c r="M46">
        <v>61413681.760000005</v>
      </c>
      <c r="N46">
        <v>61628950.159999996</v>
      </c>
      <c r="O46">
        <v>63191215.95000001</v>
      </c>
      <c r="P46">
        <v>65438252.339999974</v>
      </c>
      <c r="Q46">
        <v>67832377.779999986</v>
      </c>
      <c r="R46" s="120">
        <v>104081620</v>
      </c>
      <c r="S46" s="118">
        <v>104240769.99999765</v>
      </c>
      <c r="T46" s="118">
        <v>104904293.29000044</v>
      </c>
      <c r="U46" s="118">
        <v>104298068.53000033</v>
      </c>
      <c r="V46" s="118">
        <v>103553435.95000257</v>
      </c>
      <c r="W46" s="118">
        <v>106614847.18000159</v>
      </c>
      <c r="X46" s="72">
        <f t="shared" si="1"/>
        <v>0.51379791826275079</v>
      </c>
      <c r="Y46" s="72">
        <f t="shared" si="2"/>
        <v>0.28422554472632477</v>
      </c>
      <c r="Z46" s="72">
        <f t="shared" si="3"/>
        <v>0.28808843213701507</v>
      </c>
      <c r="AA46" s="72">
        <f t="shared" si="4"/>
        <v>0.30011184016573555</v>
      </c>
      <c r="AB46" s="72">
        <f t="shared" si="5"/>
        <v>0.30532148004979159</v>
      </c>
      <c r="AC46" s="72">
        <f t="shared" si="6"/>
        <v>0.26991610072696515</v>
      </c>
      <c r="AD46" s="72">
        <f t="shared" si="7"/>
        <v>0.28321835970881104</v>
      </c>
      <c r="AE46" s="73">
        <f t="shared" si="8"/>
        <v>-1.0071850175137342E-3</v>
      </c>
      <c r="AF46" s="127">
        <f t="shared" si="9"/>
        <v>0.14999501352880557</v>
      </c>
      <c r="AG46" s="127">
        <f t="shared" si="10"/>
        <v>0.15957634148328315</v>
      </c>
      <c r="AH46" s="127">
        <f t="shared" si="11"/>
        <v>0.16865440617468488</v>
      </c>
      <c r="AI46" s="127">
        <f t="shared" si="12"/>
        <v>0.1773338461649453</v>
      </c>
      <c r="AJ46" s="127">
        <f t="shared" si="13"/>
        <v>0.18631574513196561</v>
      </c>
      <c r="AK46" s="127">
        <f t="shared" si="14"/>
        <v>0.16566958896615222</v>
      </c>
      <c r="AL46" s="128">
        <f t="shared" si="15"/>
        <v>3.8183902615084087E-2</v>
      </c>
      <c r="AM46" s="129">
        <v>13.624568602205144</v>
      </c>
      <c r="AN46" s="129">
        <v>13.739030826510144</v>
      </c>
      <c r="AO46" s="129">
        <v>14.087562152281569</v>
      </c>
      <c r="AP46" s="129">
        <v>14.477536352803806</v>
      </c>
      <c r="AQ46" s="129">
        <v>13.671929412929936</v>
      </c>
      <c r="AR46" s="130">
        <f t="shared" si="17"/>
        <v>3.476132867584969E-3</v>
      </c>
      <c r="AS46" s="131">
        <v>54.494790108659828</v>
      </c>
    </row>
    <row r="47" spans="1:45" hidden="1" x14ac:dyDescent="0.55000000000000004">
      <c r="A47" s="68">
        <v>210040</v>
      </c>
      <c r="B47" s="69" t="s">
        <v>39</v>
      </c>
      <c r="C47" s="70">
        <v>46250301</v>
      </c>
      <c r="D47">
        <v>45475021.329999991</v>
      </c>
      <c r="E47">
        <v>43563460.769999996</v>
      </c>
      <c r="F47">
        <v>41768974.300000012</v>
      </c>
      <c r="G47">
        <v>43395315.04999999</v>
      </c>
      <c r="H47">
        <v>42019373.99000001</v>
      </c>
      <c r="I47">
        <v>43557132.149999999</v>
      </c>
      <c r="J47" s="71">
        <f t="shared" si="0"/>
        <v>-4.2174563615537175E-2</v>
      </c>
      <c r="K47" s="4">
        <v>71457868.999999955</v>
      </c>
      <c r="L47">
        <v>146022230.49000001</v>
      </c>
      <c r="M47">
        <v>139659364.86000004</v>
      </c>
      <c r="N47">
        <v>136086876.78</v>
      </c>
      <c r="O47">
        <v>136009332.53000003</v>
      </c>
      <c r="P47">
        <v>141667121.18000007</v>
      </c>
      <c r="Q47">
        <v>148489104.35999992</v>
      </c>
      <c r="R47" s="120">
        <v>242464481</v>
      </c>
      <c r="S47" s="118">
        <v>250053954.38000304</v>
      </c>
      <c r="T47" s="118">
        <v>250458501.34999663</v>
      </c>
      <c r="U47" s="118">
        <v>254249523.03000081</v>
      </c>
      <c r="V47" s="118">
        <v>254419038.59000349</v>
      </c>
      <c r="W47" s="118">
        <v>262737561.79999512</v>
      </c>
      <c r="X47" s="72">
        <f t="shared" si="1"/>
        <v>0.64723873867551285</v>
      </c>
      <c r="Y47" s="72">
        <f t="shared" si="2"/>
        <v>0.31142533008434109</v>
      </c>
      <c r="Z47" s="72">
        <f t="shared" si="3"/>
        <v>0.31192652790358666</v>
      </c>
      <c r="AA47" s="72">
        <f t="shared" si="4"/>
        <v>0.30692874499224737</v>
      </c>
      <c r="AB47" s="72">
        <f t="shared" si="5"/>
        <v>0.31906130441768132</v>
      </c>
      <c r="AC47" s="72">
        <f t="shared" si="6"/>
        <v>0.29660639420074641</v>
      </c>
      <c r="AD47" s="72">
        <f t="shared" si="7"/>
        <v>0.29333554362614528</v>
      </c>
      <c r="AE47" s="73">
        <f t="shared" si="8"/>
        <v>-1.8089786458195811E-2</v>
      </c>
      <c r="AF47" s="127">
        <f t="shared" si="9"/>
        <v>0.19075083001538687</v>
      </c>
      <c r="AG47" s="127">
        <f t="shared" si="10"/>
        <v>0.18186083656526511</v>
      </c>
      <c r="AH47" s="127">
        <f t="shared" si="11"/>
        <v>0.17393484563386166</v>
      </c>
      <c r="AI47" s="127">
        <f t="shared" si="12"/>
        <v>0.16428339295280164</v>
      </c>
      <c r="AJ47" s="127">
        <f t="shared" si="13"/>
        <v>0.17056630388393054</v>
      </c>
      <c r="AK47" s="127">
        <f t="shared" si="14"/>
        <v>0.15992907029405487</v>
      </c>
      <c r="AL47" s="128">
        <f t="shared" si="15"/>
        <v>-0.12059642243721613</v>
      </c>
      <c r="AM47" s="129">
        <v>29.772022616464753</v>
      </c>
      <c r="AN47" s="129">
        <v>28.316701811681604</v>
      </c>
      <c r="AO47" s="129">
        <v>27.725890488718878</v>
      </c>
      <c r="AP47" s="129">
        <v>27.875676470091985</v>
      </c>
      <c r="AQ47" s="129">
        <v>24.951874846733165</v>
      </c>
      <c r="AR47" s="130">
        <f t="shared" si="17"/>
        <v>-0.1619019248986433</v>
      </c>
      <c r="AS47" s="131">
        <v>78.99237322821989</v>
      </c>
    </row>
    <row r="48" spans="1:45" hidden="1" x14ac:dyDescent="0.55000000000000004">
      <c r="A48" s="68">
        <v>210013</v>
      </c>
      <c r="B48" s="69" t="s">
        <v>26</v>
      </c>
      <c r="C48" s="70">
        <v>29049463</v>
      </c>
      <c r="D48">
        <v>29306773.399999999</v>
      </c>
      <c r="E48">
        <v>30141168.920000002</v>
      </c>
      <c r="F48">
        <v>20043436.269999996</v>
      </c>
      <c r="G48">
        <v>21236316.399999995</v>
      </c>
      <c r="H48">
        <v>21443012.91</v>
      </c>
      <c r="I48">
        <v>21034440.170000006</v>
      </c>
      <c r="J48" s="71">
        <f t="shared" si="0"/>
        <v>-0.28226693935539127</v>
      </c>
      <c r="K48" s="4">
        <v>41195697.309999987</v>
      </c>
      <c r="L48">
        <v>85938988.630000025</v>
      </c>
      <c r="M48">
        <v>85131302.290000007</v>
      </c>
      <c r="N48">
        <v>66297091.569999985</v>
      </c>
      <c r="O48">
        <v>67827234.409999996</v>
      </c>
      <c r="P48">
        <v>65517372.090000011</v>
      </c>
      <c r="Q48">
        <v>69366860.930000007</v>
      </c>
      <c r="R48" s="120">
        <v>123323600</v>
      </c>
      <c r="S48" s="118">
        <v>124484096.03999931</v>
      </c>
      <c r="T48" s="118">
        <v>128208617.17999679</v>
      </c>
      <c r="U48" s="118">
        <v>109768327.09000203</v>
      </c>
      <c r="V48" s="118">
        <v>111279162.15000147</v>
      </c>
      <c r="W48" s="118">
        <v>107924524.94000016</v>
      </c>
      <c r="X48" s="72">
        <f t="shared" si="1"/>
        <v>0.7051576959943443</v>
      </c>
      <c r="Y48" s="72">
        <f t="shared" si="2"/>
        <v>0.34101836508894451</v>
      </c>
      <c r="Z48" s="72">
        <f t="shared" si="3"/>
        <v>0.35405506681107768</v>
      </c>
      <c r="AA48" s="72">
        <f t="shared" si="4"/>
        <v>0.30232753496941978</v>
      </c>
      <c r="AB48" s="72">
        <f t="shared" si="5"/>
        <v>0.31309423986877244</v>
      </c>
      <c r="AC48" s="72">
        <f t="shared" si="6"/>
        <v>0.32728743882682182</v>
      </c>
      <c r="AD48" s="72">
        <f t="shared" si="7"/>
        <v>0.30323471306026711</v>
      </c>
      <c r="AE48" s="73">
        <f t="shared" si="8"/>
        <v>-3.7783652028677395E-2</v>
      </c>
      <c r="AF48" s="127">
        <f t="shared" si="9"/>
        <v>0.23555477621477156</v>
      </c>
      <c r="AG48" s="127">
        <f t="shared" si="10"/>
        <v>0.23542584420248452</v>
      </c>
      <c r="AH48" s="127">
        <f t="shared" si="11"/>
        <v>0.2350947197073634</v>
      </c>
      <c r="AI48" s="127">
        <f t="shared" si="12"/>
        <v>0.18259762903707039</v>
      </c>
      <c r="AJ48" s="127">
        <f t="shared" si="13"/>
        <v>0.19083821256107214</v>
      </c>
      <c r="AK48" s="127">
        <f t="shared" si="14"/>
        <v>0.19868526566988443</v>
      </c>
      <c r="AL48" s="128">
        <f t="shared" si="15"/>
        <v>-0.156060090416413</v>
      </c>
      <c r="AM48" s="129">
        <v>18.260072853804527</v>
      </c>
      <c r="AN48" s="129">
        <v>18.617321106128923</v>
      </c>
      <c r="AO48" s="129">
        <v>19.799879884683634</v>
      </c>
      <c r="AP48" s="129">
        <v>18.953442813583205</v>
      </c>
      <c r="AQ48" s="129">
        <v>18.920649836586215</v>
      </c>
      <c r="AR48" s="130">
        <f t="shared" si="17"/>
        <v>3.6176032158823146E-2</v>
      </c>
      <c r="AS48" s="131">
        <v>50.192971493649104</v>
      </c>
    </row>
    <row r="49" spans="1:45" x14ac:dyDescent="0.55000000000000004">
      <c r="A49" s="68">
        <v>210065</v>
      </c>
      <c r="B49" s="69" t="s">
        <v>17</v>
      </c>
      <c r="C49" s="70">
        <v>0</v>
      </c>
      <c r="D49"/>
      <c r="E49">
        <v>1768735.72</v>
      </c>
      <c r="F49">
        <v>11033319.580000002</v>
      </c>
      <c r="G49">
        <v>12845307.379999999</v>
      </c>
      <c r="H49">
        <v>12447644.490000002</v>
      </c>
      <c r="I49">
        <v>11703051.680000002</v>
      </c>
      <c r="J49" s="71"/>
      <c r="L49"/>
      <c r="M49">
        <v>6916738.0300000012</v>
      </c>
      <c r="N49">
        <v>46776706.589999989</v>
      </c>
      <c r="O49">
        <v>58956771.889999963</v>
      </c>
      <c r="P49">
        <v>59717513.219999999</v>
      </c>
      <c r="Q49">
        <v>61856081.019999996</v>
      </c>
      <c r="R49" s="120" t="s">
        <v>144</v>
      </c>
      <c r="T49" s="118">
        <v>10839747.260000002</v>
      </c>
      <c r="U49" s="118">
        <v>68074961.879999727</v>
      </c>
      <c r="V49" s="118">
        <v>91237531.690000385</v>
      </c>
      <c r="W49" s="118">
        <v>96788772.399999976</v>
      </c>
      <c r="X49" s="72">
        <f t="shared" si="1"/>
        <v>0</v>
      </c>
      <c r="Y49" s="72">
        <f t="shared" si="2"/>
        <v>0</v>
      </c>
      <c r="Z49" s="72">
        <f t="shared" si="3"/>
        <v>0.25571818859243389</v>
      </c>
      <c r="AA49" s="72">
        <f t="shared" si="4"/>
        <v>0.23587209071189133</v>
      </c>
      <c r="AB49" s="72">
        <f t="shared" si="5"/>
        <v>0.21787670810685572</v>
      </c>
      <c r="AC49" s="72">
        <f t="shared" si="6"/>
        <v>0.20844211051024075</v>
      </c>
      <c r="AD49" s="72">
        <f t="shared" si="7"/>
        <v>0.18919807862085605</v>
      </c>
      <c r="AE49" s="73">
        <f t="shared" si="8"/>
        <v>0.18919807862085605</v>
      </c>
      <c r="AF49" s="127"/>
      <c r="AG49" s="127"/>
      <c r="AH49" s="127">
        <f t="shared" ref="AH49:AK51" si="18">E49/T49</f>
        <v>0.1631713062653086</v>
      </c>
      <c r="AI49" s="127">
        <f t="shared" si="18"/>
        <v>0.16207603023633227</v>
      </c>
      <c r="AJ49" s="127">
        <f t="shared" si="18"/>
        <v>0.14078972920535335</v>
      </c>
      <c r="AK49" s="127">
        <f t="shared" si="18"/>
        <v>0.1286062854331646</v>
      </c>
      <c r="AL49" s="128" t="e">
        <f t="shared" si="15"/>
        <v>#DIV/0!</v>
      </c>
      <c r="AM49" s="129">
        <v>25.318463974831207</v>
      </c>
      <c r="AN49" s="129">
        <v>24.094750443888206</v>
      </c>
      <c r="AO49" s="129">
        <v>24.705598810912324</v>
      </c>
      <c r="AP49" s="129">
        <v>24.15419329873092</v>
      </c>
      <c r="AQ49" s="129">
        <v>24.041922311190852</v>
      </c>
      <c r="AR49" s="130">
        <f t="shared" si="17"/>
        <v>-5.0419396094065982E-2</v>
      </c>
      <c r="AS49" s="131">
        <v>59.513390074756771</v>
      </c>
    </row>
    <row r="50" spans="1:45" hidden="1" x14ac:dyDescent="0.55000000000000004">
      <c r="A50" s="68">
        <v>210060</v>
      </c>
      <c r="B50" s="69" t="s">
        <v>48</v>
      </c>
      <c r="C50" s="70">
        <v>7061180</v>
      </c>
      <c r="D50">
        <v>7328987.9600000018</v>
      </c>
      <c r="E50">
        <v>7864477.3499999987</v>
      </c>
      <c r="F50">
        <v>7260339.3400000008</v>
      </c>
      <c r="G50">
        <v>7650197.1400000006</v>
      </c>
      <c r="H50">
        <v>7058698.8200000003</v>
      </c>
      <c r="I50">
        <v>8222189.7799999993</v>
      </c>
      <c r="J50" s="71">
        <f>I50/D50-1</f>
        <v>0.12187246382104822</v>
      </c>
      <c r="K50" s="4">
        <v>10833648.629999997</v>
      </c>
      <c r="L50">
        <v>23492751.579999998</v>
      </c>
      <c r="M50">
        <v>23893919.369999997</v>
      </c>
      <c r="N50">
        <v>22685523.879999999</v>
      </c>
      <c r="O50">
        <v>23491809.380000006</v>
      </c>
      <c r="P50">
        <v>23548651.530000001</v>
      </c>
      <c r="Q50">
        <v>25363080.549999997</v>
      </c>
      <c r="R50" s="120">
        <v>45977766</v>
      </c>
      <c r="S50" s="122">
        <v>46141048.310001329</v>
      </c>
      <c r="T50" s="122">
        <v>48360163.020000383</v>
      </c>
      <c r="U50" s="118">
        <v>48120521.069999993</v>
      </c>
      <c r="V50" s="118">
        <v>48681492.980000846</v>
      </c>
      <c r="W50" s="118">
        <v>48654238.399999402</v>
      </c>
      <c r="X50" s="72">
        <f t="shared" si="1"/>
        <v>0.65178226109775561</v>
      </c>
      <c r="Y50" s="72">
        <f t="shared" si="2"/>
        <v>0.3119680525732611</v>
      </c>
      <c r="Z50" s="72">
        <f t="shared" si="3"/>
        <v>0.32914136974423042</v>
      </c>
      <c r="AA50" s="72">
        <f t="shared" si="4"/>
        <v>0.32004283341240614</v>
      </c>
      <c r="AB50" s="72">
        <f t="shared" si="5"/>
        <v>0.32565380623738055</v>
      </c>
      <c r="AC50" s="72">
        <f t="shared" si="6"/>
        <v>0.29974959759404957</v>
      </c>
      <c r="AD50" s="72">
        <f t="shared" si="7"/>
        <v>0.32417946092120109</v>
      </c>
      <c r="AE50" s="73">
        <f t="shared" si="8"/>
        <v>1.2211408347939989E-2</v>
      </c>
      <c r="AF50" s="127">
        <f>C50/R50</f>
        <v>0.15357814470585632</v>
      </c>
      <c r="AG50" s="127">
        <f>D50/S50</f>
        <v>0.15883878300206289</v>
      </c>
      <c r="AH50" s="127">
        <f t="shared" si="18"/>
        <v>0.1626230529195585</v>
      </c>
      <c r="AI50" s="127">
        <f t="shared" si="18"/>
        <v>0.1508782361154927</v>
      </c>
      <c r="AJ50" s="127">
        <f t="shared" si="18"/>
        <v>0.15714795647583829</v>
      </c>
      <c r="AK50" s="127">
        <f t="shared" si="18"/>
        <v>0.14507880612514298</v>
      </c>
      <c r="AL50" s="128">
        <f t="shared" si="15"/>
        <v>-8.6628571541883415E-2</v>
      </c>
      <c r="AM50" s="129">
        <v>27.838432306851491</v>
      </c>
      <c r="AN50" s="129">
        <v>26.851667317241947</v>
      </c>
      <c r="AO50" s="129">
        <v>26.561069462228556</v>
      </c>
      <c r="AP50" s="129">
        <v>25.063504873592414</v>
      </c>
      <c r="AQ50" s="129">
        <v>25.179177294073764</v>
      </c>
      <c r="AR50" s="130">
        <f t="shared" si="17"/>
        <v>-9.5524596481075585E-2</v>
      </c>
      <c r="AS50" s="131">
        <v>60.956887838571056</v>
      </c>
    </row>
    <row r="51" spans="1:45" hidden="1" x14ac:dyDescent="0.55000000000000004">
      <c r="A51" s="68">
        <v>210045</v>
      </c>
      <c r="B51" s="69" t="s">
        <v>40</v>
      </c>
      <c r="C51" s="70">
        <v>2038143</v>
      </c>
      <c r="D51">
        <v>2240142.4600000004</v>
      </c>
      <c r="E51">
        <v>1624257.21</v>
      </c>
      <c r="F51">
        <v>970992.24</v>
      </c>
      <c r="G51">
        <v>1149778.3799999999</v>
      </c>
      <c r="H51">
        <v>1104739.28</v>
      </c>
      <c r="I51">
        <v>1104995.8699999999</v>
      </c>
      <c r="J51" s="71">
        <f>I51/D51-1</f>
        <v>-0.50672964343526639</v>
      </c>
      <c r="K51" s="4">
        <v>2218815.2800000003</v>
      </c>
      <c r="L51">
        <v>5100940.6899999995</v>
      </c>
      <c r="M51">
        <v>3757859.9999999995</v>
      </c>
      <c r="N51">
        <v>2939983.0900000003</v>
      </c>
      <c r="O51">
        <v>3082624.2</v>
      </c>
      <c r="P51">
        <v>2836432.44</v>
      </c>
      <c r="Q51">
        <v>2684698.46</v>
      </c>
      <c r="R51" s="120">
        <v>16528661</v>
      </c>
      <c r="S51" s="118">
        <v>19211568.770000264</v>
      </c>
      <c r="T51" s="118">
        <v>15382744.879999595</v>
      </c>
      <c r="U51" s="118">
        <v>14307428.199999422</v>
      </c>
      <c r="V51" s="118">
        <v>16394840.800000729</v>
      </c>
      <c r="W51" s="118">
        <v>17680115.120000519</v>
      </c>
      <c r="X51" s="72">
        <f t="shared" si="1"/>
        <v>0.91857263575361703</v>
      </c>
      <c r="Y51" s="72">
        <f t="shared" si="2"/>
        <v>0.43916261649378258</v>
      </c>
      <c r="Z51" s="72">
        <f t="shared" si="3"/>
        <v>0.43222930338011534</v>
      </c>
      <c r="AA51" s="72">
        <f t="shared" si="4"/>
        <v>0.33027136900981285</v>
      </c>
      <c r="AB51" s="72">
        <f t="shared" si="5"/>
        <v>0.37298687916613377</v>
      </c>
      <c r="AC51" s="72">
        <f t="shared" si="6"/>
        <v>0.38948196488684922</v>
      </c>
      <c r="AD51" s="72">
        <f t="shared" si="7"/>
        <v>0.41159030947557512</v>
      </c>
      <c r="AE51" s="73">
        <f t="shared" si="8"/>
        <v>-2.7572307018207454E-2</v>
      </c>
      <c r="AF51" s="127">
        <f>C51/R51</f>
        <v>0.12330962562545145</v>
      </c>
      <c r="AG51" s="127">
        <f>D51/S51</f>
        <v>0.11660382797567706</v>
      </c>
      <c r="AH51" s="127">
        <f t="shared" si="18"/>
        <v>0.10558955652393572</v>
      </c>
      <c r="AI51" s="127">
        <f t="shared" si="18"/>
        <v>6.7866301785812155E-2</v>
      </c>
      <c r="AJ51" s="127">
        <f t="shared" si="18"/>
        <v>7.0130499833822649E-2</v>
      </c>
      <c r="AK51" s="127">
        <f t="shared" si="18"/>
        <v>6.2484846535318689E-2</v>
      </c>
      <c r="AL51" s="128">
        <f t="shared" si="15"/>
        <v>-0.46412697061409769</v>
      </c>
      <c r="AM51" s="129">
        <v>19.837620171835344</v>
      </c>
      <c r="AN51" s="129">
        <v>19.584882164224332</v>
      </c>
      <c r="AO51" s="129">
        <v>19.453905267701256</v>
      </c>
      <c r="AP51" s="129">
        <v>19.744219561422639</v>
      </c>
      <c r="AQ51" s="129">
        <v>17.243684441647538</v>
      </c>
      <c r="AR51" s="130">
        <f t="shared" si="17"/>
        <v>-0.13075841294060919</v>
      </c>
      <c r="AS51" s="131">
        <v>51.274266280929389</v>
      </c>
    </row>
    <row r="52" spans="1:45" hidden="1" x14ac:dyDescent="0.55000000000000004">
      <c r="A52" s="68"/>
      <c r="B52" s="69"/>
      <c r="C52" s="70"/>
      <c r="D52" s="117"/>
      <c r="E52" s="117"/>
      <c r="F52" s="117"/>
      <c r="G52" s="117"/>
      <c r="H52" s="117"/>
      <c r="I52" s="117"/>
      <c r="J52" s="71"/>
      <c r="K52" s="70"/>
      <c r="L52" s="117">
        <v>9707078478.6000023</v>
      </c>
      <c r="M52" s="117">
        <v>9717698645.3400021</v>
      </c>
      <c r="N52" s="117">
        <v>9888646137.1499977</v>
      </c>
      <c r="O52" s="117">
        <v>9821462894.6299992</v>
      </c>
      <c r="P52" s="117">
        <v>10211785749.800001</v>
      </c>
      <c r="Q52" s="117">
        <v>10429162035.479998</v>
      </c>
      <c r="R52" s="120"/>
      <c r="S52" s="120"/>
      <c r="T52" s="120"/>
      <c r="U52" s="120"/>
      <c r="V52" s="120"/>
      <c r="W52" s="120"/>
      <c r="X52" s="72"/>
      <c r="Y52" s="72"/>
      <c r="Z52" s="72"/>
      <c r="AA52" s="72"/>
      <c r="AB52" s="72"/>
      <c r="AC52" s="72"/>
      <c r="AD52" s="72"/>
      <c r="AE52" s="73"/>
      <c r="AF52" s="127"/>
      <c r="AG52" s="127"/>
      <c r="AH52" s="127"/>
      <c r="AI52" s="127"/>
      <c r="AJ52" s="127"/>
      <c r="AK52" s="127"/>
      <c r="AL52" s="128"/>
      <c r="AM52" s="132"/>
      <c r="AN52" s="132"/>
      <c r="AO52" s="132"/>
      <c r="AP52" s="132"/>
      <c r="AQ52" s="132"/>
      <c r="AR52" s="130"/>
      <c r="AS52" s="131"/>
    </row>
    <row r="53" spans="1:45" x14ac:dyDescent="0.55000000000000004">
      <c r="A53" s="63"/>
      <c r="B53" s="63"/>
      <c r="C53" s="74"/>
      <c r="D53" s="74"/>
      <c r="E53" s="74"/>
      <c r="F53" s="74"/>
      <c r="G53" s="74"/>
      <c r="H53" s="74"/>
      <c r="I53" s="74"/>
      <c r="J53" s="71"/>
      <c r="K53" s="74"/>
      <c r="L53" s="74"/>
      <c r="M53" s="74"/>
      <c r="N53" s="74"/>
      <c r="O53" s="74"/>
      <c r="P53" s="74"/>
      <c r="Q53" s="74"/>
      <c r="R53" s="122"/>
      <c r="S53" s="122"/>
      <c r="T53" s="122"/>
      <c r="U53" s="122"/>
      <c r="V53" s="122"/>
      <c r="W53" s="122"/>
      <c r="X53" s="72"/>
      <c r="Y53" s="72"/>
      <c r="Z53" s="72"/>
      <c r="AA53" s="72"/>
      <c r="AB53" s="72"/>
      <c r="AC53" s="72"/>
      <c r="AD53" s="72"/>
      <c r="AE53" s="73"/>
      <c r="AF53" s="127"/>
      <c r="AG53" s="127"/>
      <c r="AH53" s="127"/>
      <c r="AI53" s="127"/>
      <c r="AJ53" s="127"/>
      <c r="AK53" s="127"/>
      <c r="AL53" s="128"/>
      <c r="AM53" s="132"/>
      <c r="AN53" s="132"/>
      <c r="AO53" s="132"/>
      <c r="AP53" s="132"/>
      <c r="AQ53" s="132"/>
      <c r="AR53" s="130"/>
    </row>
    <row r="54" spans="1:45" x14ac:dyDescent="0.55000000000000004">
      <c r="A54" s="63"/>
      <c r="B54" s="69" t="s">
        <v>147</v>
      </c>
      <c r="C54" s="74">
        <f t="shared" ref="C54:I54" si="19">SUBTOTAL(9,C4:C51)</f>
        <v>325334272</v>
      </c>
      <c r="D54" s="74">
        <f t="shared" si="19"/>
        <v>324550934.12000006</v>
      </c>
      <c r="E54" s="74">
        <f t="shared" si="19"/>
        <v>331602056.37</v>
      </c>
      <c r="F54" s="74">
        <f t="shared" si="19"/>
        <v>348786381.19999993</v>
      </c>
      <c r="G54" s="74">
        <f t="shared" si="19"/>
        <v>352726368.34999996</v>
      </c>
      <c r="H54" s="74">
        <f t="shared" si="19"/>
        <v>350495082.32999992</v>
      </c>
      <c r="I54" s="74">
        <f t="shared" si="19"/>
        <v>360446589.02999997</v>
      </c>
      <c r="J54" s="71">
        <f>H54/D54-1</f>
        <v>7.9938602796956415E-2</v>
      </c>
      <c r="K54" s="74">
        <f t="shared" ref="K54:W54" si="20">SUBTOTAL(9,K4:K51)</f>
        <v>786341439.14000082</v>
      </c>
      <c r="L54" s="74">
        <f t="shared" si="20"/>
        <v>1586001082.4600027</v>
      </c>
      <c r="M54" s="74">
        <f t="shared" si="20"/>
        <v>1634282701.04</v>
      </c>
      <c r="N54" s="74">
        <f t="shared" si="20"/>
        <v>1704606358.0299995</v>
      </c>
      <c r="O54" s="74">
        <f t="shared" si="20"/>
        <v>1722264642.1400003</v>
      </c>
      <c r="P54" s="74">
        <f t="shared" si="20"/>
        <v>1737961461.71</v>
      </c>
      <c r="Q54" s="74">
        <f t="shared" si="20"/>
        <v>1770485432.51</v>
      </c>
      <c r="R54" s="122">
        <f t="shared" si="20"/>
        <v>2398927153</v>
      </c>
      <c r="S54" s="122">
        <f t="shared" si="20"/>
        <v>2437585550.2100992</v>
      </c>
      <c r="T54" s="122">
        <f t="shared" si="20"/>
        <v>2490335722.1700783</v>
      </c>
      <c r="U54" s="122">
        <f t="shared" si="20"/>
        <v>2605999484.2899919</v>
      </c>
      <c r="V54" s="122">
        <f t="shared" si="20"/>
        <v>2670484172.1799674</v>
      </c>
      <c r="W54" s="122">
        <f t="shared" si="20"/>
        <v>2723587367.1700559</v>
      </c>
      <c r="X54" s="72">
        <f t="shared" ref="X54:AC54" si="21">C54/K54</f>
        <v>0.41373156215168921</v>
      </c>
      <c r="Y54" s="72">
        <f t="shared" si="21"/>
        <v>0.20463474943951365</v>
      </c>
      <c r="Z54" s="72">
        <f t="shared" si="21"/>
        <v>0.20290373027810923</v>
      </c>
      <c r="AA54" s="72">
        <f t="shared" si="21"/>
        <v>0.20461403276888493</v>
      </c>
      <c r="AB54" s="72">
        <f t="shared" si="21"/>
        <v>0.2048038145355639</v>
      </c>
      <c r="AC54" s="72">
        <f t="shared" si="21"/>
        <v>0.20167022690200725</v>
      </c>
      <c r="AD54" s="72">
        <f>I54/Q54</f>
        <v>0.20358630599913966</v>
      </c>
      <c r="AE54" s="75">
        <f>IFERROR(AD54-Y54,0)</f>
        <v>-1.0484434403739973E-3</v>
      </c>
      <c r="AF54" s="127">
        <f t="shared" ref="AF54:AK54" si="22">C54/R54</f>
        <v>0.13561656992924953</v>
      </c>
      <c r="AG54" s="127">
        <f t="shared" si="22"/>
        <v>0.13314442813792793</v>
      </c>
      <c r="AH54" s="127">
        <f t="shared" si="22"/>
        <v>0.13315556349207489</v>
      </c>
      <c r="AI54" s="127">
        <f t="shared" si="22"/>
        <v>0.13383977368477004</v>
      </c>
      <c r="AJ54" s="127">
        <f t="shared" si="22"/>
        <v>0.13208330235564086</v>
      </c>
      <c r="AK54" s="127">
        <f t="shared" si="22"/>
        <v>0.12868876047629121</v>
      </c>
      <c r="AL54" s="128">
        <f>AK54/AG54-1</f>
        <v>-3.3464920191936032E-2</v>
      </c>
      <c r="AM54" s="133">
        <v>16.642912136344929</v>
      </c>
      <c r="AN54" s="133">
        <v>16.608094832316482</v>
      </c>
      <c r="AO54" s="133">
        <v>16.568845359328982</v>
      </c>
      <c r="AP54" s="133">
        <v>16.167241223309606</v>
      </c>
      <c r="AQ54" s="133">
        <v>15.802058537778406</v>
      </c>
      <c r="AR54" s="130">
        <f t="shared" ref="AR54" si="23">AQ54/AM54-1</f>
        <v>-5.0523225243150782E-2</v>
      </c>
      <c r="AS54" s="131">
        <v>52.572005845008299</v>
      </c>
    </row>
    <row r="56" spans="1:45" x14ac:dyDescent="0.55000000000000004">
      <c r="A56" s="23">
        <v>990099</v>
      </c>
      <c r="C56" s="4">
        <f>SUMIF($A:$A,"210004",C:C)+SUMIF($A:$A,"210065",C:C)</f>
        <v>51949201</v>
      </c>
      <c r="D56" s="4">
        <f t="shared" ref="D56:H56" si="24">SUMIF($A:$A,"210004",D:D)+SUMIF($A:$A,"210065",D:D)</f>
        <v>50166296.61999999</v>
      </c>
      <c r="E56" s="4">
        <f t="shared" si="24"/>
        <v>57957940.24000001</v>
      </c>
      <c r="F56" s="4">
        <f t="shared" si="24"/>
        <v>69774066.109999999</v>
      </c>
      <c r="G56" s="4">
        <f t="shared" si="24"/>
        <v>71857149.139999986</v>
      </c>
      <c r="H56" s="4">
        <f t="shared" si="24"/>
        <v>67883788.75</v>
      </c>
      <c r="I56" s="4">
        <f>SUMIF($A:$A,"210004",I:I)+SUMIF($A:$A,"210065",I:I)</f>
        <v>67831397.409999996</v>
      </c>
      <c r="J56" s="8">
        <f>SUMIF($A:$A,"210004",J:J)+SUMIF($A:$A,"210065",J:J)</f>
        <v>0.11884570940449057</v>
      </c>
      <c r="K56" s="4">
        <f t="shared" ref="K56:W56" si="25">SUMIF($A:$A,"210004",K:K)+SUMIF($A:$A,"210065",K:K)</f>
        <v>168602705.51000077</v>
      </c>
      <c r="L56" s="4">
        <f t="shared" si="25"/>
        <v>329956701.0100022</v>
      </c>
      <c r="M56" s="4">
        <f t="shared" si="25"/>
        <v>353273500.03000009</v>
      </c>
      <c r="N56" s="4">
        <f t="shared" si="25"/>
        <v>405998089.16999966</v>
      </c>
      <c r="O56" s="4">
        <f t="shared" si="25"/>
        <v>429045117.90000021</v>
      </c>
      <c r="P56" s="4">
        <f t="shared" si="25"/>
        <v>437524176.20999968</v>
      </c>
      <c r="Q56" s="4">
        <f t="shared" si="25"/>
        <v>445975037.96999985</v>
      </c>
      <c r="R56" s="118">
        <f t="shared" si="25"/>
        <v>458095133</v>
      </c>
      <c r="S56" s="118">
        <f t="shared" si="25"/>
        <v>465179147.20000935</v>
      </c>
      <c r="T56" s="118">
        <f t="shared" si="25"/>
        <v>483693333.81998408</v>
      </c>
      <c r="U56" s="118">
        <f t="shared" si="25"/>
        <v>554510942.79999745</v>
      </c>
      <c r="V56" s="118">
        <f t="shared" si="25"/>
        <v>599085237.20000815</v>
      </c>
      <c r="W56" s="118">
        <f t="shared" si="25"/>
        <v>609075862.9799912</v>
      </c>
      <c r="X56" s="72">
        <f>C56/K56</f>
        <v>0.30811605806004461</v>
      </c>
      <c r="Y56" s="72">
        <f t="shared" ref="Y56" si="26">D56/L56</f>
        <v>0.15203902956491031</v>
      </c>
      <c r="Z56" s="72">
        <f t="shared" ref="Z56" si="27">E56/M56</f>
        <v>0.16405968813137187</v>
      </c>
      <c r="AA56" s="72">
        <f t="shared" ref="AA56" si="28">F56/N56</f>
        <v>0.17185811453606173</v>
      </c>
      <c r="AB56" s="72">
        <f t="shared" ref="AB56" si="29">G56/O56</f>
        <v>0.16748156811971487</v>
      </c>
      <c r="AC56" s="72">
        <f t="shared" ref="AC56:AD56" si="30">H56/P56</f>
        <v>0.15515437189788028</v>
      </c>
      <c r="AD56" s="72">
        <f t="shared" si="30"/>
        <v>0.15209684765935919</v>
      </c>
      <c r="AE56" s="75">
        <f>IFERROR(AC56-Y56,0)</f>
        <v>3.1153423329699781E-3</v>
      </c>
      <c r="AF56" s="127">
        <f>C56/R56</f>
        <v>0.11340264774216668</v>
      </c>
      <c r="AG56" s="127">
        <f t="shared" ref="AG56" si="31">D56/S56</f>
        <v>0.10784296097956943</v>
      </c>
      <c r="AH56" s="127">
        <f t="shared" ref="AH56" si="32">E56/T56</f>
        <v>0.11982373166542376</v>
      </c>
      <c r="AI56" s="127">
        <f t="shared" ref="AI56" si="33">F56/U56</f>
        <v>0.12582991736407681</v>
      </c>
      <c r="AJ56" s="127">
        <f t="shared" ref="AJ56" si="34">G56/V56</f>
        <v>0.11994478361016606</v>
      </c>
      <c r="AK56" s="127">
        <f t="shared" ref="AK56" si="35">H56/W56</f>
        <v>0.1114537496492946</v>
      </c>
      <c r="AL56" s="127">
        <f t="shared" ref="AL56" si="36">J56/X56</f>
        <v>0.38571734999066593</v>
      </c>
      <c r="AM56" s="134"/>
      <c r="AN56" s="134"/>
      <c r="AO56" s="134"/>
      <c r="AP56" s="134"/>
      <c r="AQ56" s="134"/>
    </row>
    <row r="58" spans="1:45" x14ac:dyDescent="0.55000000000000004">
      <c r="A58" s="62" t="s">
        <v>148</v>
      </c>
    </row>
    <row r="59" spans="1:45" x14ac:dyDescent="0.55000000000000004">
      <c r="A59" s="62" t="s">
        <v>149</v>
      </c>
    </row>
    <row r="60" spans="1:45" x14ac:dyDescent="0.55000000000000004">
      <c r="A60" s="62" t="s">
        <v>150</v>
      </c>
    </row>
  </sheetData>
  <autoFilter ref="A3:AS52" xr:uid="{00000000-0009-0000-0000-000004000000}">
    <filterColumn colId="0">
      <customFilters>
        <customFilter operator="notEqual" val=" "/>
      </customFilters>
    </filterColumn>
    <filterColumn colId="1">
      <filters>
        <filter val="HC-Germantown"/>
        <filter val="Holy Cross"/>
        <filter val="MedStar Fr Square"/>
        <filter val="MedStar Good Sam"/>
        <filter val="St. Agnes"/>
        <filter val="Suburban"/>
        <filter val="UM-BWMC"/>
        <filter val="UMROI"/>
      </filters>
    </filterColumn>
    <sortState xmlns:xlrd2="http://schemas.microsoft.com/office/spreadsheetml/2017/richdata2" ref="A4:AS49">
      <sortCondition ref="AE3:AE52"/>
    </sortState>
  </autoFilter>
  <mergeCells count="6">
    <mergeCell ref="AM2:AR2"/>
    <mergeCell ref="C2:J2"/>
    <mergeCell ref="K2:P2"/>
    <mergeCell ref="R2:W2"/>
    <mergeCell ref="X2:AE2"/>
    <mergeCell ref="AF2:AL2"/>
  </mergeCell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D40D51286D8B4D9C836A50BBB33558" ma:contentTypeVersion="2" ma:contentTypeDescription="Create a new document." ma:contentTypeScope="" ma:versionID="d14e5c4da1db565cb04c30bec4da997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328a1cd662c37536c074f55b1464a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4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5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F854EC-C8DD-49F0-AD28-3DD1E4554FDA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B02A12D4-C93F-4F59-AE37-755C01C2F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C21C768-E61C-4286-97C3-F80BAD6C206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Capital Threshold Calculator</vt:lpstr>
      <vt:lpstr>Rate Support Calculator</vt:lpstr>
      <vt:lpstr>Regular Peer Group Pivot</vt:lpstr>
      <vt:lpstr>AMC Peer Group Pivot</vt:lpstr>
      <vt:lpstr>PAU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sas user</dc:creator>
  <cp:lastModifiedBy>Lynne Diven</cp:lastModifiedBy>
  <dcterms:created xsi:type="dcterms:W3CDTF">2011-02-11T15:45:55Z</dcterms:created>
  <dcterms:modified xsi:type="dcterms:W3CDTF">2023-11-06T16:04:38Z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0x0101005AD40D51286D8B4D9C836A50BBB33558</vt:lpwstr>
  </property>
</Properties>
</file>