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4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3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site_New\hscrc\documents\commission-meeting\2015\03-11\Finals for Packet\7. Total Amount At Risk Rec\"/>
    </mc:Choice>
  </mc:AlternateContent>
  <bookViews>
    <workbookView xWindow="0" yWindow="0" windowWidth="23040" windowHeight="9396" tabRatio="634" firstSheet="2" activeTab="7"/>
  </bookViews>
  <sheets>
    <sheet name="1.Readmission Scaling" sheetId="20" state="hidden" r:id="rId1"/>
    <sheet name="TwoScaleComparion" sheetId="27" state="hidden" r:id="rId2"/>
    <sheet name="1.Aggregate Summary" sheetId="5" r:id="rId3"/>
    <sheet name="Appendix1.RRIP Modeling Results" sheetId="21" r:id="rId4"/>
    <sheet name="3.QBR Scaling " sheetId="15" state="hidden" r:id="rId5"/>
    <sheet name="Appendix2QBR Modeling Results" sheetId="13" r:id="rId6"/>
    <sheet name="5.MHAC Scaling" sheetId="10" state="hidden" r:id="rId7"/>
    <sheet name="3.MHAC Modeling Results" sheetId="9" r:id="rId8"/>
    <sheet name="4.Consolidated" sheetId="24" r:id="rId9"/>
    <sheet name="Summary Results for all 3 progr" sheetId="4" state="hidden" r:id="rId10"/>
    <sheet name="Revenue" sheetId="12" state="hidden" r:id="rId11"/>
  </sheets>
  <externalReferences>
    <externalReference r:id="rId12"/>
    <externalReference r:id="rId13"/>
    <externalReference r:id="rId14"/>
    <externalReference r:id="rId15"/>
  </externalReferences>
  <definedNames>
    <definedName name="_xlnm._FilterDatabase" localSheetId="7" hidden="1">'3.MHAC Modeling Results'!$B$5:$L$5</definedName>
    <definedName name="_xlnm._FilterDatabase" localSheetId="8" hidden="1">'4.Consolidated'!$B$2:$N$2</definedName>
    <definedName name="_xlnm._FilterDatabase" localSheetId="3" hidden="1">'Appendix1.RRIP Modeling Results'!$A$2:$O$53</definedName>
    <definedName name="_fy13" localSheetId="3">#REF!</definedName>
    <definedName name="_fy13">#REF!</definedName>
    <definedName name="_fy14" localSheetId="3">#REF!</definedName>
    <definedName name="_fy14">#REF!</definedName>
    <definedName name="_fy15" localSheetId="3">#REF!</definedName>
    <definedName name="_fy15">#REF!</definedName>
    <definedName name="_fy152">#REF!</definedName>
    <definedName name="_xlnm.Print_Area" localSheetId="3">'Appendix1.RRIP Modeling Results'!$A$1:$O$55</definedName>
    <definedName name="_xlnm.Print_Area">#REF!</definedName>
    <definedName name="_xlnm.Print_Titles" localSheetId="7">'3.MHAC Modeling Results'!$2:$5</definedName>
    <definedName name="_xlnm.Print_Titles" localSheetId="8">'4.Consolidated'!$2:$2</definedName>
    <definedName name="_xlnm.Print_Titles" localSheetId="5">'Appendix2QBR Modeling Results'!$1:$2</definedName>
  </definedNames>
  <calcPr calcId="152511"/>
</workbook>
</file>

<file path=xl/calcChain.xml><?xml version="1.0" encoding="utf-8"?>
<calcChain xmlns="http://schemas.openxmlformats.org/spreadsheetml/2006/main">
  <c r="E17" i="5" l="1"/>
  <c r="D16" i="5"/>
  <c r="E16" i="5" s="1"/>
  <c r="D2" i="13" l="1"/>
  <c r="E49" i="13"/>
  <c r="E48" i="13"/>
  <c r="E50" i="13"/>
  <c r="B18" i="5"/>
  <c r="F46" i="13" l="1"/>
  <c r="G48" i="24" s="1"/>
  <c r="F45" i="13"/>
  <c r="G18" i="24" s="1"/>
  <c r="K45" i="9" l="1"/>
  <c r="K46" i="9"/>
  <c r="K47" i="9"/>
  <c r="K48" i="9"/>
  <c r="K49" i="9"/>
  <c r="K41" i="9"/>
  <c r="K42" i="9"/>
  <c r="K43" i="9"/>
  <c r="K44" i="9"/>
  <c r="K37" i="9"/>
  <c r="K38" i="9"/>
  <c r="K39" i="9"/>
  <c r="K40" i="9"/>
  <c r="K36" i="9"/>
  <c r="D46" i="20" l="1"/>
  <c r="D13" i="20"/>
  <c r="D14" i="20"/>
  <c r="D15" i="20"/>
  <c r="D16" i="20"/>
  <c r="D17" i="20"/>
  <c r="D18" i="20"/>
  <c r="D19" i="20"/>
  <c r="D20" i="20"/>
  <c r="D21" i="20"/>
  <c r="D22" i="20"/>
  <c r="D23" i="20"/>
  <c r="D12" i="20"/>
  <c r="D5" i="20"/>
  <c r="B5" i="20"/>
  <c r="A14" i="20"/>
  <c r="A15" i="20" s="1"/>
  <c r="A16" i="20" s="1"/>
  <c r="A17" i="20" s="1"/>
  <c r="C17" i="20" l="1"/>
  <c r="A18" i="20"/>
  <c r="A19" i="20" s="1"/>
  <c r="A20" i="20" s="1"/>
  <c r="A21" i="20" s="1"/>
  <c r="C14" i="20"/>
  <c r="C13" i="20"/>
  <c r="C16" i="20"/>
  <c r="C19" i="20"/>
  <c r="C15" i="20"/>
  <c r="E46" i="20" s="1"/>
  <c r="E19" i="20" l="1"/>
  <c r="E16" i="20"/>
  <c r="E17" i="20"/>
  <c r="C18" i="20"/>
  <c r="E18" i="20" s="1"/>
  <c r="C20" i="20"/>
  <c r="E20" i="20" s="1"/>
  <c r="A22" i="20"/>
  <c r="C21" i="20"/>
  <c r="E21" i="20" s="1"/>
  <c r="A23" i="20" l="1"/>
  <c r="C22" i="20"/>
  <c r="E22" i="20" s="1"/>
  <c r="A24" i="20" l="1"/>
  <c r="C23" i="20"/>
  <c r="E23" i="20" s="1"/>
  <c r="A25" i="20" l="1"/>
  <c r="C24" i="20"/>
  <c r="E24" i="20" l="1"/>
  <c r="A26" i="20"/>
  <c r="C25" i="20"/>
  <c r="E25" i="20" l="1"/>
  <c r="A27" i="20"/>
  <c r="C26" i="20"/>
  <c r="E26" i="20" l="1"/>
  <c r="A28" i="20"/>
  <c r="C27" i="20"/>
  <c r="E27" i="20" l="1"/>
  <c r="A29" i="20"/>
  <c r="C28" i="20"/>
  <c r="E28" i="20" l="1"/>
  <c r="A30" i="20"/>
  <c r="C29" i="20"/>
  <c r="E29" i="20" l="1"/>
  <c r="A31" i="20"/>
  <c r="C30" i="20"/>
  <c r="E30" i="20" l="1"/>
  <c r="A32" i="20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C31" i="20"/>
  <c r="E31" i="20" l="1"/>
  <c r="A44" i="20"/>
  <c r="C43" i="20"/>
  <c r="C44" i="20" l="1"/>
  <c r="A45" i="20"/>
  <c r="C45" i="20" s="1"/>
  <c r="C35" i="20" l="1"/>
  <c r="C36" i="20"/>
  <c r="C37" i="20"/>
  <c r="E37" i="20" l="1"/>
  <c r="E36" i="20"/>
  <c r="E35" i="20"/>
  <c r="H56" i="9"/>
  <c r="B64" i="15" l="1"/>
  <c r="B4" i="15"/>
  <c r="D42" i="24" l="1"/>
  <c r="D45" i="24"/>
  <c r="D35" i="24"/>
  <c r="D15" i="24"/>
  <c r="D36" i="24"/>
  <c r="D19" i="24"/>
  <c r="D48" i="24"/>
  <c r="D38" i="24"/>
  <c r="D43" i="24"/>
  <c r="D47" i="24"/>
  <c r="D23" i="24"/>
  <c r="D44" i="24"/>
  <c r="D29" i="24"/>
  <c r="D46" i="24"/>
  <c r="D13" i="24"/>
  <c r="D37" i="24"/>
  <c r="D39" i="24"/>
  <c r="D24" i="24"/>
  <c r="D21" i="24"/>
  <c r="D25" i="24"/>
  <c r="D41" i="24"/>
  <c r="D18" i="24"/>
  <c r="D40" i="24"/>
  <c r="D27" i="24"/>
  <c r="D28" i="24"/>
  <c r="D11" i="24"/>
  <c r="D7" i="24"/>
  <c r="D31" i="24"/>
  <c r="D12" i="24"/>
  <c r="D6" i="24"/>
  <c r="D30" i="24"/>
  <c r="D32" i="24"/>
  <c r="D22" i="24"/>
  <c r="D33" i="24"/>
  <c r="D26" i="24"/>
  <c r="D34" i="24"/>
  <c r="D10" i="24"/>
  <c r="D20" i="24"/>
  <c r="D17" i="24"/>
  <c r="D16" i="24"/>
  <c r="D9" i="24"/>
  <c r="D14" i="24"/>
  <c r="D5" i="24"/>
  <c r="D8" i="24"/>
  <c r="D4" i="24"/>
  <c r="D3" i="24"/>
  <c r="D4" i="10"/>
  <c r="K5" i="9"/>
  <c r="K25" i="9" l="1"/>
  <c r="K26" i="9" s="1"/>
  <c r="K27" i="9" s="1"/>
  <c r="K28" i="9" s="1"/>
  <c r="K29" i="9" s="1"/>
  <c r="K30" i="9" s="1"/>
  <c r="K31" i="9" s="1"/>
  <c r="K32" i="9" s="1"/>
  <c r="K33" i="9" s="1"/>
  <c r="K34" i="9" s="1"/>
  <c r="K35" i="9" s="1"/>
  <c r="K18" i="9"/>
  <c r="K7" i="9"/>
  <c r="K11" i="9"/>
  <c r="K15" i="9"/>
  <c r="K22" i="9"/>
  <c r="K19" i="9"/>
  <c r="K8" i="9"/>
  <c r="K12" i="9"/>
  <c r="K16" i="9"/>
  <c r="K24" i="9"/>
  <c r="K17" i="9"/>
  <c r="K21" i="9"/>
  <c r="K10" i="9"/>
  <c r="K14" i="9"/>
  <c r="K23" i="9"/>
  <c r="K20" i="9"/>
  <c r="K9" i="9"/>
  <c r="K13" i="9"/>
  <c r="K6" i="9"/>
  <c r="D49" i="24"/>
  <c r="A22" i="5" l="1"/>
  <c r="F22" i="5"/>
  <c r="A23" i="5"/>
  <c r="C23" i="5"/>
  <c r="D23" i="5"/>
  <c r="E23" i="5"/>
  <c r="F23" i="5"/>
  <c r="A24" i="5"/>
  <c r="B24" i="5"/>
  <c r="C24" i="5"/>
  <c r="D24" i="5"/>
  <c r="E24" i="5"/>
  <c r="F24" i="5"/>
  <c r="A25" i="5"/>
  <c r="B25" i="5"/>
  <c r="C25" i="5"/>
  <c r="D25" i="5"/>
  <c r="E25" i="5"/>
  <c r="F25" i="5"/>
  <c r="B26" i="5"/>
  <c r="B28" i="5" s="1"/>
  <c r="C26" i="5"/>
  <c r="D26" i="5"/>
  <c r="E26" i="5"/>
  <c r="E15" i="5" l="1"/>
  <c r="E14" i="5"/>
  <c r="E13" i="5"/>
  <c r="C48" i="12" l="1"/>
  <c r="C38" i="20" l="1"/>
  <c r="E38" i="20" l="1"/>
  <c r="B8" i="20"/>
  <c r="B45" i="20" s="1"/>
  <c r="F4" i="21"/>
  <c r="J4" i="21" s="1"/>
  <c r="Q4" i="21" s="1"/>
  <c r="F5" i="21"/>
  <c r="F7" i="21"/>
  <c r="J7" i="21" s="1"/>
  <c r="F14" i="21"/>
  <c r="F12" i="21"/>
  <c r="J12" i="21" s="1"/>
  <c r="F11" i="21"/>
  <c r="F17" i="21"/>
  <c r="F18" i="21"/>
  <c r="F23" i="21"/>
  <c r="J23" i="21" s="1"/>
  <c r="F29" i="21"/>
  <c r="F30" i="21"/>
  <c r="F42" i="21"/>
  <c r="J42" i="21" s="1"/>
  <c r="F45" i="21"/>
  <c r="F13" i="21"/>
  <c r="F8" i="21"/>
  <c r="F10" i="21"/>
  <c r="J10" i="21" s="1"/>
  <c r="F38" i="21"/>
  <c r="F44" i="21"/>
  <c r="F48" i="21"/>
  <c r="F33" i="21"/>
  <c r="F34" i="21"/>
  <c r="F40" i="21"/>
  <c r="F37" i="21"/>
  <c r="J37" i="21" s="1"/>
  <c r="F16" i="21"/>
  <c r="J16" i="21" s="1"/>
  <c r="F15" i="21"/>
  <c r="J15" i="21" s="1"/>
  <c r="F28" i="21"/>
  <c r="F22" i="21"/>
  <c r="J22" i="21" s="1"/>
  <c r="F31" i="21"/>
  <c r="F41" i="21"/>
  <c r="J41" i="21" s="1"/>
  <c r="F26" i="21"/>
  <c r="J26" i="21" s="1"/>
  <c r="F43" i="21"/>
  <c r="F6" i="21"/>
  <c r="F9" i="21"/>
  <c r="F19" i="21"/>
  <c r="J19" i="21" s="1"/>
  <c r="F25" i="21"/>
  <c r="J25" i="21" s="1"/>
  <c r="F21" i="21"/>
  <c r="F24" i="21"/>
  <c r="F20" i="21"/>
  <c r="J20" i="21" s="1"/>
  <c r="F27" i="21"/>
  <c r="F32" i="21"/>
  <c r="J32" i="21" s="1"/>
  <c r="F35" i="21"/>
  <c r="F39" i="21"/>
  <c r="J39" i="21" s="1"/>
  <c r="F36" i="21"/>
  <c r="J36" i="21" s="1"/>
  <c r="F47" i="21"/>
  <c r="F46" i="21"/>
  <c r="F49" i="21"/>
  <c r="J49" i="21" s="1"/>
  <c r="M36" i="21" l="1"/>
  <c r="Q36" i="21"/>
  <c r="M25" i="21"/>
  <c r="Q25" i="21"/>
  <c r="M22" i="21"/>
  <c r="Q22" i="21"/>
  <c r="M37" i="21"/>
  <c r="Q37" i="21"/>
  <c r="M7" i="21"/>
  <c r="Q7" i="21"/>
  <c r="M49" i="21"/>
  <c r="Q49" i="21"/>
  <c r="M19" i="21"/>
  <c r="Q19" i="21"/>
  <c r="M26" i="21"/>
  <c r="Q26" i="21"/>
  <c r="M39" i="21"/>
  <c r="Q39" i="21"/>
  <c r="M41" i="21"/>
  <c r="Q41" i="21"/>
  <c r="M15" i="21"/>
  <c r="Q15" i="21"/>
  <c r="M23" i="21"/>
  <c r="Q23" i="21"/>
  <c r="M12" i="21"/>
  <c r="Q12" i="21"/>
  <c r="M20" i="21"/>
  <c r="Q20" i="21"/>
  <c r="M32" i="21"/>
  <c r="Q32" i="21"/>
  <c r="M16" i="21"/>
  <c r="Q16" i="21"/>
  <c r="M10" i="21"/>
  <c r="Q10" i="21"/>
  <c r="M42" i="21"/>
  <c r="Q42" i="21"/>
  <c r="N4" i="21"/>
  <c r="M4" i="21"/>
  <c r="H37" i="21"/>
  <c r="I37" i="21" s="1"/>
  <c r="K4" i="21"/>
  <c r="P4" i="21" s="1"/>
  <c r="J27" i="21"/>
  <c r="J6" i="21"/>
  <c r="J31" i="21"/>
  <c r="J33" i="21"/>
  <c r="J18" i="21"/>
  <c r="H14" i="21"/>
  <c r="I14" i="21" s="1"/>
  <c r="J14" i="21"/>
  <c r="H43" i="21"/>
  <c r="I43" i="21" s="1"/>
  <c r="J43" i="21"/>
  <c r="H48" i="21"/>
  <c r="I48" i="21" s="1"/>
  <c r="J48" i="21"/>
  <c r="H8" i="21"/>
  <c r="I8" i="21" s="1"/>
  <c r="J8" i="21"/>
  <c r="Q8" i="21" s="1"/>
  <c r="H30" i="21"/>
  <c r="I30" i="21" s="1"/>
  <c r="J30" i="21"/>
  <c r="J17" i="21"/>
  <c r="J46" i="21"/>
  <c r="J47" i="21"/>
  <c r="J35" i="21"/>
  <c r="J24" i="21"/>
  <c r="H28" i="21"/>
  <c r="I28" i="21" s="1"/>
  <c r="J28" i="21"/>
  <c r="H40" i="21"/>
  <c r="I40" i="21" s="1"/>
  <c r="J40" i="21"/>
  <c r="H44" i="21"/>
  <c r="I44" i="21" s="1"/>
  <c r="J44" i="21"/>
  <c r="H13" i="21"/>
  <c r="I13" i="21" s="1"/>
  <c r="J13" i="21"/>
  <c r="J29" i="21"/>
  <c r="J11" i="21"/>
  <c r="J5" i="21"/>
  <c r="J21" i="21"/>
  <c r="J9" i="21"/>
  <c r="J34" i="21"/>
  <c r="H38" i="21"/>
  <c r="I38" i="21" s="1"/>
  <c r="J38" i="21"/>
  <c r="J45" i="21"/>
  <c r="B27" i="20"/>
  <c r="B31" i="20"/>
  <c r="B35" i="20"/>
  <c r="B39" i="20"/>
  <c r="B43" i="20"/>
  <c r="B21" i="20"/>
  <c r="B14" i="20"/>
  <c r="B18" i="20"/>
  <c r="B28" i="20"/>
  <c r="B32" i="20"/>
  <c r="B36" i="20"/>
  <c r="B40" i="20"/>
  <c r="B44" i="20"/>
  <c r="B22" i="20"/>
  <c r="B15" i="20"/>
  <c r="B13" i="20"/>
  <c r="B25" i="20"/>
  <c r="B29" i="20"/>
  <c r="B33" i="20"/>
  <c r="B37" i="20"/>
  <c r="B41" i="20"/>
  <c r="B19" i="20"/>
  <c r="B23" i="20"/>
  <c r="B16" i="20"/>
  <c r="B26" i="20"/>
  <c r="B30" i="20"/>
  <c r="B34" i="20"/>
  <c r="B38" i="20"/>
  <c r="B42" i="20"/>
  <c r="B20" i="20"/>
  <c r="B24" i="20"/>
  <c r="B17" i="20"/>
  <c r="C39" i="20"/>
  <c r="H42" i="21"/>
  <c r="I42" i="21" s="1"/>
  <c r="H29" i="21"/>
  <c r="I29" i="21" s="1"/>
  <c r="H5" i="21"/>
  <c r="I5" i="21" s="1"/>
  <c r="K15" i="21"/>
  <c r="P15" i="21" s="1"/>
  <c r="K12" i="21"/>
  <c r="P12" i="21" s="1"/>
  <c r="H11" i="21"/>
  <c r="I11" i="21" s="1"/>
  <c r="K16" i="21"/>
  <c r="P16" i="21" s="1"/>
  <c r="K10" i="21"/>
  <c r="P10" i="21" s="1"/>
  <c r="K42" i="21"/>
  <c r="P42" i="21" s="1"/>
  <c r="K22" i="21"/>
  <c r="P22" i="21" s="1"/>
  <c r="K37" i="21"/>
  <c r="P37" i="21" s="1"/>
  <c r="K7" i="21"/>
  <c r="P7" i="21" s="1"/>
  <c r="E5" i="20"/>
  <c r="E4" i="20"/>
  <c r="F51" i="21"/>
  <c r="H45" i="21"/>
  <c r="I45" i="21" s="1"/>
  <c r="K26" i="21"/>
  <c r="P26" i="21" s="1"/>
  <c r="H26" i="21"/>
  <c r="I26" i="21" s="1"/>
  <c r="H31" i="21"/>
  <c r="I31" i="21" s="1"/>
  <c r="H23" i="21"/>
  <c r="I23" i="21" s="1"/>
  <c r="H15" i="21"/>
  <c r="I15" i="21" s="1"/>
  <c r="H10" i="21"/>
  <c r="I10" i="21" s="1"/>
  <c r="H4" i="21"/>
  <c r="I4" i="21" s="1"/>
  <c r="H33" i="21"/>
  <c r="I33" i="21" s="1"/>
  <c r="H34" i="21"/>
  <c r="I34" i="21" s="1"/>
  <c r="H12" i="21"/>
  <c r="I12" i="21" s="1"/>
  <c r="H17" i="21"/>
  <c r="I17" i="21" s="1"/>
  <c r="H7" i="21"/>
  <c r="I7" i="21" s="1"/>
  <c r="H22" i="21"/>
  <c r="I22" i="21" s="1"/>
  <c r="H18" i="21"/>
  <c r="I18" i="21" s="1"/>
  <c r="H16" i="21"/>
  <c r="I16" i="21" s="1"/>
  <c r="H41" i="21"/>
  <c r="I41" i="21" s="1"/>
  <c r="H36" i="21"/>
  <c r="I36" i="21" s="1"/>
  <c r="H32" i="21"/>
  <c r="I32" i="21" s="1"/>
  <c r="H20" i="21"/>
  <c r="I20" i="21" s="1"/>
  <c r="H19" i="21"/>
  <c r="I19" i="21" s="1"/>
  <c r="H39" i="21"/>
  <c r="I39" i="21" s="1"/>
  <c r="H35" i="21"/>
  <c r="I35" i="21" s="1"/>
  <c r="H21" i="21"/>
  <c r="I21" i="21" s="1"/>
  <c r="H49" i="21"/>
  <c r="I49" i="21" s="1"/>
  <c r="H47" i="21"/>
  <c r="I47" i="21" s="1"/>
  <c r="H27" i="21"/>
  <c r="I27" i="21" s="1"/>
  <c r="K23" i="21"/>
  <c r="P23" i="21" s="1"/>
  <c r="H25" i="21"/>
  <c r="I25" i="21" s="1"/>
  <c r="H6" i="21"/>
  <c r="I6" i="21" s="1"/>
  <c r="H46" i="21"/>
  <c r="I46" i="21" s="1"/>
  <c r="H24" i="21"/>
  <c r="I24" i="21" s="1"/>
  <c r="H9" i="21"/>
  <c r="I9" i="21" s="1"/>
  <c r="E39" i="20" l="1"/>
  <c r="D24" i="20"/>
  <c r="D25" i="20"/>
  <c r="D26" i="20"/>
  <c r="D27" i="20"/>
  <c r="D28" i="20"/>
  <c r="D29" i="20"/>
  <c r="D30" i="20"/>
  <c r="D31" i="20"/>
  <c r="D36" i="20"/>
  <c r="D37" i="20"/>
  <c r="D35" i="20"/>
  <c r="D38" i="20"/>
  <c r="M35" i="21"/>
  <c r="N35" i="21" s="1"/>
  <c r="Q35" i="21"/>
  <c r="M14" i="21"/>
  <c r="N14" i="21" s="1"/>
  <c r="Q14" i="21"/>
  <c r="M34" i="21"/>
  <c r="Q34" i="21"/>
  <c r="M44" i="21"/>
  <c r="N44" i="21" s="1"/>
  <c r="Q44" i="21"/>
  <c r="M29" i="21"/>
  <c r="N29" i="21" s="1"/>
  <c r="Q29" i="21"/>
  <c r="M18" i="21"/>
  <c r="N18" i="21" s="1"/>
  <c r="Q18" i="21"/>
  <c r="M5" i="21"/>
  <c r="Q5" i="21"/>
  <c r="M30" i="21"/>
  <c r="Q30" i="21"/>
  <c r="M48" i="21"/>
  <c r="Q48" i="21"/>
  <c r="M31" i="21"/>
  <c r="Q31" i="21"/>
  <c r="M11" i="21"/>
  <c r="N11" i="21" s="1"/>
  <c r="Q11" i="21"/>
  <c r="M28" i="21"/>
  <c r="Q28" i="21"/>
  <c r="M47" i="21"/>
  <c r="N47" i="21" s="1"/>
  <c r="Q47" i="21"/>
  <c r="M6" i="21"/>
  <c r="Q6" i="21"/>
  <c r="M45" i="21"/>
  <c r="Q45" i="21"/>
  <c r="M9" i="21"/>
  <c r="N9" i="21" s="1"/>
  <c r="Q9" i="21"/>
  <c r="M46" i="21"/>
  <c r="Q46" i="21"/>
  <c r="M43" i="21"/>
  <c r="Q43" i="21"/>
  <c r="M27" i="21"/>
  <c r="N27" i="21" s="1"/>
  <c r="Q27" i="21"/>
  <c r="M38" i="21"/>
  <c r="Q38" i="21"/>
  <c r="M21" i="21"/>
  <c r="Q21" i="21"/>
  <c r="M13" i="21"/>
  <c r="N13" i="21" s="1"/>
  <c r="Q13" i="21"/>
  <c r="M40" i="21"/>
  <c r="Q40" i="21"/>
  <c r="M24" i="21"/>
  <c r="N24" i="21" s="1"/>
  <c r="Q24" i="21"/>
  <c r="M17" i="21"/>
  <c r="N17" i="21" s="1"/>
  <c r="Q17" i="21"/>
  <c r="M33" i="21"/>
  <c r="Q33" i="21"/>
  <c r="K8" i="21"/>
  <c r="P8" i="21" s="1"/>
  <c r="M8" i="21"/>
  <c r="N8" i="21" s="1"/>
  <c r="N49" i="21"/>
  <c r="N41" i="21"/>
  <c r="N37" i="21"/>
  <c r="N36" i="21"/>
  <c r="N32" i="21"/>
  <c r="N20" i="21"/>
  <c r="N16" i="21"/>
  <c r="N12" i="21"/>
  <c r="N39" i="21"/>
  <c r="N23" i="21"/>
  <c r="N15" i="21"/>
  <c r="N46" i="21"/>
  <c r="N42" i="21"/>
  <c r="N26" i="21"/>
  <c r="N22" i="21"/>
  <c r="N10" i="21"/>
  <c r="N25" i="21"/>
  <c r="N19" i="21"/>
  <c r="K29" i="21"/>
  <c r="P29" i="21" s="1"/>
  <c r="C40" i="20"/>
  <c r="E40" i="20" s="1"/>
  <c r="K5" i="21"/>
  <c r="P5" i="21" s="1"/>
  <c r="N21" i="21"/>
  <c r="K31" i="21"/>
  <c r="P31" i="21" s="1"/>
  <c r="K34" i="21"/>
  <c r="P34" i="21" s="1"/>
  <c r="K38" i="21"/>
  <c r="P38" i="21" s="1"/>
  <c r="K33" i="21"/>
  <c r="P33" i="21" s="1"/>
  <c r="K30" i="21"/>
  <c r="P30" i="21" s="1"/>
  <c r="K40" i="21"/>
  <c r="P40" i="21" s="1"/>
  <c r="K45" i="21"/>
  <c r="P45" i="21" s="1"/>
  <c r="K11" i="21"/>
  <c r="P11" i="21" s="1"/>
  <c r="K43" i="21"/>
  <c r="P43" i="21" s="1"/>
  <c r="K18" i="21"/>
  <c r="P18" i="21" s="1"/>
  <c r="J51" i="21"/>
  <c r="K51" i="21" s="1"/>
  <c r="P51" i="21" s="1"/>
  <c r="K48" i="21"/>
  <c r="P48" i="21" s="1"/>
  <c r="K28" i="21"/>
  <c r="P28" i="21" s="1"/>
  <c r="K44" i="21"/>
  <c r="P44" i="21" s="1"/>
  <c r="K14" i="21"/>
  <c r="P14" i="21" s="1"/>
  <c r="K17" i="21"/>
  <c r="P17" i="21" s="1"/>
  <c r="K13" i="21"/>
  <c r="P13" i="21" s="1"/>
  <c r="I51" i="21"/>
  <c r="K41" i="21"/>
  <c r="P41" i="21" s="1"/>
  <c r="K25" i="21"/>
  <c r="P25" i="21" s="1"/>
  <c r="K47" i="21"/>
  <c r="P47" i="21" s="1"/>
  <c r="K49" i="21"/>
  <c r="P49" i="21" s="1"/>
  <c r="K19" i="21"/>
  <c r="P19" i="21" s="1"/>
  <c r="K20" i="21"/>
  <c r="P20" i="21" s="1"/>
  <c r="K46" i="21"/>
  <c r="P46" i="21" s="1"/>
  <c r="K6" i="21"/>
  <c r="P6" i="21" s="1"/>
  <c r="K39" i="21"/>
  <c r="P39" i="21" s="1"/>
  <c r="K36" i="21"/>
  <c r="P36" i="21" s="1"/>
  <c r="K27" i="21"/>
  <c r="P27" i="21" s="1"/>
  <c r="K9" i="21"/>
  <c r="P9" i="21" s="1"/>
  <c r="K24" i="21"/>
  <c r="P24" i="21" s="1"/>
  <c r="K21" i="21"/>
  <c r="P21" i="21" s="1"/>
  <c r="K35" i="21"/>
  <c r="P35" i="21" s="1"/>
  <c r="K32" i="21"/>
  <c r="P32" i="21" s="1"/>
  <c r="Q51" i="21" l="1"/>
  <c r="N38" i="21"/>
  <c r="N28" i="21"/>
  <c r="N34" i="21"/>
  <c r="N40" i="21"/>
  <c r="N43" i="21"/>
  <c r="N48" i="21"/>
  <c r="N45" i="21"/>
  <c r="N30" i="21"/>
  <c r="N31" i="21"/>
  <c r="N33" i="21"/>
  <c r="O4" i="21"/>
  <c r="H42" i="24" s="1"/>
  <c r="N5" i="21"/>
  <c r="N6" i="21"/>
  <c r="C41" i="20"/>
  <c r="E41" i="20" s="1"/>
  <c r="O5" i="21" l="1"/>
  <c r="H35" i="24" s="1"/>
  <c r="O6" i="21"/>
  <c r="H48" i="24" s="1"/>
  <c r="C42" i="20"/>
  <c r="O14" i="21" l="1"/>
  <c r="H27" i="24" s="1"/>
  <c r="O8" i="21"/>
  <c r="H44" i="24" s="1"/>
  <c r="O24" i="21"/>
  <c r="H43" i="24" s="1"/>
  <c r="O13" i="21"/>
  <c r="H28" i="24" s="1"/>
  <c r="O7" i="21"/>
  <c r="H33" i="24" s="1"/>
  <c r="O23" i="21"/>
  <c r="H38" i="24" s="1"/>
  <c r="O17" i="21"/>
  <c r="H23" i="24" s="1"/>
  <c r="O22" i="21"/>
  <c r="H47" i="24" s="1"/>
  <c r="O11" i="21"/>
  <c r="H25" i="24" s="1"/>
  <c r="O27" i="21"/>
  <c r="H5" i="24" s="1"/>
  <c r="O16" i="21"/>
  <c r="H22" i="24" s="1"/>
  <c r="O21" i="21"/>
  <c r="H34" i="24" s="1"/>
  <c r="O19" i="21"/>
  <c r="H39" i="24" s="1"/>
  <c r="O18" i="21"/>
  <c r="H32" i="24" s="1"/>
  <c r="O12" i="21"/>
  <c r="H31" i="24" s="1"/>
  <c r="O10" i="21"/>
  <c r="H20" i="24" s="1"/>
  <c r="O26" i="21"/>
  <c r="H9" i="24" s="1"/>
  <c r="O15" i="21"/>
  <c r="H40" i="24" s="1"/>
  <c r="O20" i="21"/>
  <c r="H14" i="24" s="1"/>
  <c r="O9" i="21"/>
  <c r="H45" i="24" s="1"/>
  <c r="O25" i="21"/>
  <c r="H30" i="24" s="1"/>
  <c r="C32" i="20" l="1"/>
  <c r="E32" i="20" l="1"/>
  <c r="D32" i="20"/>
  <c r="C33" i="20"/>
  <c r="E33" i="20" l="1"/>
  <c r="D33" i="20"/>
  <c r="C34" i="20"/>
  <c r="E34" i="20" l="1"/>
  <c r="D34" i="20"/>
  <c r="F4" i="13"/>
  <c r="G5" i="24" s="1"/>
  <c r="C4" i="15" l="1"/>
  <c r="B5" i="15"/>
  <c r="B6" i="15" s="1"/>
  <c r="B7" i="15" s="1"/>
  <c r="B8" i="15" s="1"/>
  <c r="B9" i="15" s="1"/>
  <c r="D4" i="13"/>
  <c r="G4" i="13" s="1"/>
  <c r="D46" i="13"/>
  <c r="D45" i="13"/>
  <c r="D44" i="13"/>
  <c r="D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C4" i="10"/>
  <c r="G5" i="9" s="1"/>
  <c r="C66" i="15" l="1"/>
  <c r="C67" i="15" s="1"/>
  <c r="C2" i="21"/>
  <c r="B10" i="15"/>
  <c r="D47" i="13"/>
  <c r="C7" i="15" l="1"/>
  <c r="C9" i="15"/>
  <c r="C6" i="15"/>
  <c r="C8" i="15"/>
  <c r="C5" i="15"/>
  <c r="F30" i="13"/>
  <c r="G29" i="24" s="1"/>
  <c r="F37" i="13"/>
  <c r="G45" i="24" s="1"/>
  <c r="F34" i="13"/>
  <c r="G26" i="24" s="1"/>
  <c r="F26" i="13"/>
  <c r="G32" i="24" s="1"/>
  <c r="F27" i="13"/>
  <c r="G39" i="24" s="1"/>
  <c r="F40" i="13"/>
  <c r="G40" i="24" s="1"/>
  <c r="F43" i="13"/>
  <c r="G37" i="24" s="1"/>
  <c r="F36" i="13"/>
  <c r="G13" i="24" s="1"/>
  <c r="F29" i="13"/>
  <c r="G30" i="24" s="1"/>
  <c r="F41" i="13"/>
  <c r="G47" i="24" s="1"/>
  <c r="F38" i="13"/>
  <c r="G33" i="24" s="1"/>
  <c r="F32" i="13"/>
  <c r="G44" i="24" s="1"/>
  <c r="F35" i="13"/>
  <c r="G11" i="24" s="1"/>
  <c r="F42" i="13"/>
  <c r="G34" i="24" s="1"/>
  <c r="F33" i="13"/>
  <c r="G12" i="24" s="1"/>
  <c r="F44" i="13"/>
  <c r="G16" i="24" s="1"/>
  <c r="F28" i="13"/>
  <c r="G15" i="24" s="1"/>
  <c r="F31" i="13"/>
  <c r="G17" i="24" s="1"/>
  <c r="F25" i="13"/>
  <c r="G36" i="24" s="1"/>
  <c r="F39" i="13"/>
  <c r="G41" i="24" s="1"/>
  <c r="F14" i="13"/>
  <c r="G7" i="24" s="1"/>
  <c r="F9" i="13"/>
  <c r="G14" i="24" s="1"/>
  <c r="F11" i="13"/>
  <c r="G25" i="24" s="1"/>
  <c r="F5" i="13"/>
  <c r="G23" i="24" s="1"/>
  <c r="F13" i="13"/>
  <c r="G8" i="24" s="1"/>
  <c r="F17" i="13"/>
  <c r="G27" i="24" s="1"/>
  <c r="F7" i="13"/>
  <c r="G35" i="24" s="1"/>
  <c r="F24" i="13"/>
  <c r="G43" i="24" s="1"/>
  <c r="F21" i="13"/>
  <c r="G20" i="24" s="1"/>
  <c r="F12" i="13"/>
  <c r="G19" i="24" s="1"/>
  <c r="F6" i="13"/>
  <c r="G9" i="24" s="1"/>
  <c r="F18" i="13"/>
  <c r="G28" i="24" s="1"/>
  <c r="F10" i="13"/>
  <c r="G38" i="24" s="1"/>
  <c r="F16" i="13"/>
  <c r="G24" i="24" s="1"/>
  <c r="F15" i="13"/>
  <c r="G22" i="24" s="1"/>
  <c r="F22" i="13"/>
  <c r="G10" i="24" s="1"/>
  <c r="F8" i="13"/>
  <c r="G3" i="24" s="1"/>
  <c r="F20" i="13"/>
  <c r="G6" i="24" s="1"/>
  <c r="F19" i="13"/>
  <c r="G21" i="24" s="1"/>
  <c r="F23" i="13"/>
  <c r="G4" i="24" s="1"/>
  <c r="B11" i="15"/>
  <c r="C10" i="15"/>
  <c r="E2" i="4"/>
  <c r="E3" i="4"/>
  <c r="N3" i="4" s="1"/>
  <c r="E4" i="4"/>
  <c r="N4" i="4" s="1"/>
  <c r="E5" i="4"/>
  <c r="N5" i="4" s="1"/>
  <c r="E6" i="4"/>
  <c r="N6" i="4" s="1"/>
  <c r="E7" i="4"/>
  <c r="N7" i="4" s="1"/>
  <c r="E8" i="4"/>
  <c r="N8" i="4" s="1"/>
  <c r="E9" i="4"/>
  <c r="N9" i="4" s="1"/>
  <c r="E10" i="4"/>
  <c r="N10" i="4" s="1"/>
  <c r="E11" i="4"/>
  <c r="N11" i="4" s="1"/>
  <c r="E12" i="4"/>
  <c r="N12" i="4" s="1"/>
  <c r="E13" i="4"/>
  <c r="N13" i="4" s="1"/>
  <c r="E14" i="4"/>
  <c r="N14" i="4" s="1"/>
  <c r="E15" i="4"/>
  <c r="N15" i="4" s="1"/>
  <c r="E16" i="4"/>
  <c r="N16" i="4" s="1"/>
  <c r="E17" i="4"/>
  <c r="N17" i="4" s="1"/>
  <c r="E18" i="4"/>
  <c r="N18" i="4" s="1"/>
  <c r="E19" i="4"/>
  <c r="N19" i="4" s="1"/>
  <c r="E20" i="4"/>
  <c r="N20" i="4" s="1"/>
  <c r="E21" i="4"/>
  <c r="N21" i="4" s="1"/>
  <c r="E22" i="4"/>
  <c r="N22" i="4" s="1"/>
  <c r="E23" i="4"/>
  <c r="N23" i="4" s="1"/>
  <c r="E24" i="4"/>
  <c r="N24" i="4" s="1"/>
  <c r="E25" i="4"/>
  <c r="N25" i="4" s="1"/>
  <c r="E26" i="4"/>
  <c r="N26" i="4" s="1"/>
  <c r="E27" i="4"/>
  <c r="N27" i="4" s="1"/>
  <c r="E28" i="4"/>
  <c r="N28" i="4" s="1"/>
  <c r="E29" i="4"/>
  <c r="N29" i="4" s="1"/>
  <c r="E30" i="4"/>
  <c r="N30" i="4" s="1"/>
  <c r="E31" i="4"/>
  <c r="N31" i="4" s="1"/>
  <c r="E32" i="4"/>
  <c r="N32" i="4" s="1"/>
  <c r="E33" i="4"/>
  <c r="N33" i="4" s="1"/>
  <c r="E34" i="4"/>
  <c r="N34" i="4" s="1"/>
  <c r="E35" i="4"/>
  <c r="N35" i="4" s="1"/>
  <c r="E36" i="4"/>
  <c r="N36" i="4" s="1"/>
  <c r="E37" i="4"/>
  <c r="N37" i="4" s="1"/>
  <c r="E38" i="4"/>
  <c r="N38" i="4" s="1"/>
  <c r="E39" i="4"/>
  <c r="N39" i="4" s="1"/>
  <c r="E40" i="4"/>
  <c r="N40" i="4" s="1"/>
  <c r="E41" i="4"/>
  <c r="N41" i="4" s="1"/>
  <c r="E42" i="4"/>
  <c r="N42" i="4" s="1"/>
  <c r="E43" i="4"/>
  <c r="N43" i="4" s="1"/>
  <c r="E44" i="4"/>
  <c r="N44" i="4" s="1"/>
  <c r="E45" i="4"/>
  <c r="N45" i="4" s="1"/>
  <c r="E46" i="4"/>
  <c r="N46" i="4" s="1"/>
  <c r="E47" i="4"/>
  <c r="N47" i="4" s="1"/>
  <c r="G6" i="13" l="1"/>
  <c r="G20" i="13"/>
  <c r="G16" i="13"/>
  <c r="G17" i="13"/>
  <c r="G25" i="13"/>
  <c r="G33" i="13"/>
  <c r="G38" i="13"/>
  <c r="G45" i="13"/>
  <c r="G26" i="13"/>
  <c r="G21" i="13"/>
  <c r="G13" i="13"/>
  <c r="G14" i="13"/>
  <c r="G31" i="13"/>
  <c r="G42" i="13"/>
  <c r="G41" i="13"/>
  <c r="G43" i="13"/>
  <c r="G34" i="13"/>
  <c r="G23" i="13"/>
  <c r="G22" i="13"/>
  <c r="G18" i="13"/>
  <c r="G24" i="13"/>
  <c r="G5" i="13"/>
  <c r="G46" i="13"/>
  <c r="G28" i="13"/>
  <c r="G35" i="13"/>
  <c r="G29" i="13"/>
  <c r="G40" i="13"/>
  <c r="G37" i="13"/>
  <c r="G19" i="13"/>
  <c r="G15" i="13"/>
  <c r="G39" i="13"/>
  <c r="G44" i="13"/>
  <c r="G32" i="13"/>
  <c r="G36" i="13"/>
  <c r="G27" i="13"/>
  <c r="G30" i="13"/>
  <c r="G7" i="13"/>
  <c r="B12" i="15"/>
  <c r="C11" i="15"/>
  <c r="N2" i="4"/>
  <c r="D18" i="5"/>
  <c r="D28" i="5" s="1"/>
  <c r="C18" i="5"/>
  <c r="C28" i="5" s="1"/>
  <c r="D29" i="5" l="1"/>
  <c r="C29" i="5"/>
  <c r="G8" i="13"/>
  <c r="B13" i="15"/>
  <c r="C12" i="15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2" i="4"/>
  <c r="D8" i="9"/>
  <c r="D9" i="9"/>
  <c r="D10" i="9"/>
  <c r="D11" i="9"/>
  <c r="D12" i="9"/>
  <c r="D13" i="9"/>
  <c r="D14" i="9"/>
  <c r="D15" i="9"/>
  <c r="D16" i="9"/>
  <c r="D17" i="9"/>
  <c r="D18" i="9"/>
  <c r="D20" i="9"/>
  <c r="D21" i="9"/>
  <c r="D19" i="9"/>
  <c r="D25" i="9"/>
  <c r="D22" i="9"/>
  <c r="D23" i="9"/>
  <c r="D24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1" i="9"/>
  <c r="D40" i="9"/>
  <c r="D42" i="9"/>
  <c r="D43" i="9"/>
  <c r="D44" i="9"/>
  <c r="D45" i="9"/>
  <c r="D46" i="9"/>
  <c r="D47" i="9"/>
  <c r="D48" i="9"/>
  <c r="D49" i="9"/>
  <c r="D50" i="9"/>
  <c r="D51" i="9"/>
  <c r="D6" i="9"/>
  <c r="D7" i="9"/>
  <c r="D23" i="4"/>
  <c r="R23" i="4" s="1"/>
  <c r="D24" i="4"/>
  <c r="R24" i="4" s="1"/>
  <c r="D25" i="4"/>
  <c r="R25" i="4" s="1"/>
  <c r="D26" i="4"/>
  <c r="R26" i="4" s="1"/>
  <c r="D27" i="4"/>
  <c r="R27" i="4" s="1"/>
  <c r="D28" i="4"/>
  <c r="R28" i="4" s="1"/>
  <c r="D29" i="4"/>
  <c r="R29" i="4" s="1"/>
  <c r="D30" i="4"/>
  <c r="R30" i="4" s="1"/>
  <c r="D31" i="4"/>
  <c r="R31" i="4" s="1"/>
  <c r="D32" i="4"/>
  <c r="R32" i="4" s="1"/>
  <c r="D33" i="4"/>
  <c r="R33" i="4" s="1"/>
  <c r="D34" i="4"/>
  <c r="R34" i="4" s="1"/>
  <c r="D35" i="4"/>
  <c r="R35" i="4" s="1"/>
  <c r="D36" i="4"/>
  <c r="R36" i="4" s="1"/>
  <c r="D37" i="4"/>
  <c r="R37" i="4" s="1"/>
  <c r="D38" i="4"/>
  <c r="R38" i="4" s="1"/>
  <c r="D39" i="4"/>
  <c r="R39" i="4" s="1"/>
  <c r="D40" i="4"/>
  <c r="R40" i="4" s="1"/>
  <c r="D41" i="4"/>
  <c r="R41" i="4" s="1"/>
  <c r="D42" i="4"/>
  <c r="R42" i="4" s="1"/>
  <c r="D43" i="4"/>
  <c r="R43" i="4" s="1"/>
  <c r="D44" i="4"/>
  <c r="R44" i="4" s="1"/>
  <c r="D45" i="4"/>
  <c r="R45" i="4" s="1"/>
  <c r="D46" i="4"/>
  <c r="R46" i="4" s="1"/>
  <c r="D47" i="4"/>
  <c r="R47" i="4" s="1"/>
  <c r="D22" i="4"/>
  <c r="R22" i="4" s="1"/>
  <c r="D3" i="4"/>
  <c r="R3" i="4" s="1"/>
  <c r="D4" i="4"/>
  <c r="R4" i="4" s="1"/>
  <c r="D5" i="4"/>
  <c r="R5" i="4" s="1"/>
  <c r="D6" i="4"/>
  <c r="R6" i="4" s="1"/>
  <c r="D7" i="4"/>
  <c r="R7" i="4" s="1"/>
  <c r="D8" i="4"/>
  <c r="R8" i="4" s="1"/>
  <c r="D9" i="4"/>
  <c r="R9" i="4" s="1"/>
  <c r="D10" i="4"/>
  <c r="R10" i="4" s="1"/>
  <c r="D11" i="4"/>
  <c r="R11" i="4" s="1"/>
  <c r="D12" i="4"/>
  <c r="R12" i="4" s="1"/>
  <c r="D13" i="4"/>
  <c r="R13" i="4" s="1"/>
  <c r="D14" i="4"/>
  <c r="R14" i="4" s="1"/>
  <c r="D15" i="4"/>
  <c r="R15" i="4" s="1"/>
  <c r="D16" i="4"/>
  <c r="R16" i="4" s="1"/>
  <c r="D17" i="4"/>
  <c r="R17" i="4" s="1"/>
  <c r="D18" i="4"/>
  <c r="R18" i="4" s="1"/>
  <c r="D19" i="4"/>
  <c r="R19" i="4" s="1"/>
  <c r="D20" i="4"/>
  <c r="R20" i="4" s="1"/>
  <c r="D21" i="4"/>
  <c r="R21" i="4" s="1"/>
  <c r="D2" i="4"/>
  <c r="R2" i="4" s="1"/>
  <c r="D52" i="9" l="1"/>
  <c r="H57" i="9" s="1"/>
  <c r="G9" i="13"/>
  <c r="C13" i="15"/>
  <c r="B14" i="15"/>
  <c r="C48" i="4"/>
  <c r="F47" i="24" l="1"/>
  <c r="F37" i="24"/>
  <c r="G10" i="13"/>
  <c r="C14" i="15"/>
  <c r="B15" i="15"/>
  <c r="B5" i="10"/>
  <c r="C69" i="10"/>
  <c r="L34" i="9"/>
  <c r="F24" i="24" s="1"/>
  <c r="L35" i="9"/>
  <c r="F39" i="24" s="1"/>
  <c r="L37" i="9"/>
  <c r="F13" i="24" s="1"/>
  <c r="L36" i="9"/>
  <c r="L38" i="9"/>
  <c r="F46" i="24" s="1"/>
  <c r="L39" i="9"/>
  <c r="F29" i="24" s="1"/>
  <c r="L40" i="9"/>
  <c r="F44" i="24" s="1"/>
  <c r="G41" i="9"/>
  <c r="L41" i="9"/>
  <c r="F23" i="24" s="1"/>
  <c r="G42" i="9"/>
  <c r="L42" i="9"/>
  <c r="G43" i="9"/>
  <c r="L43" i="9"/>
  <c r="F43" i="24" s="1"/>
  <c r="G45" i="9"/>
  <c r="G44" i="9"/>
  <c r="L44" i="9"/>
  <c r="F38" i="24" s="1"/>
  <c r="G46" i="9"/>
  <c r="G47" i="9"/>
  <c r="G48" i="9"/>
  <c r="G49" i="9"/>
  <c r="H49" i="9" s="1"/>
  <c r="G50" i="9"/>
  <c r="L50" i="9"/>
  <c r="F45" i="24" s="1"/>
  <c r="G51" i="9"/>
  <c r="L51" i="9"/>
  <c r="F42" i="24" s="1"/>
  <c r="B6" i="10" l="1"/>
  <c r="B7" i="10" s="1"/>
  <c r="D5" i="10"/>
  <c r="C5" i="10"/>
  <c r="M45" i="24"/>
  <c r="M42" i="24"/>
  <c r="N42" i="24" s="1"/>
  <c r="E38" i="24"/>
  <c r="H44" i="9"/>
  <c r="E42" i="24"/>
  <c r="H51" i="9"/>
  <c r="E36" i="24"/>
  <c r="H47" i="9"/>
  <c r="E48" i="24"/>
  <c r="H45" i="9"/>
  <c r="E47" i="24"/>
  <c r="H42" i="9"/>
  <c r="E19" i="24"/>
  <c r="H46" i="9"/>
  <c r="E15" i="24"/>
  <c r="H48" i="9"/>
  <c r="E45" i="24"/>
  <c r="H50" i="9"/>
  <c r="E43" i="24"/>
  <c r="H43" i="9"/>
  <c r="E23" i="24"/>
  <c r="H41" i="9"/>
  <c r="E35" i="24"/>
  <c r="G12" i="13"/>
  <c r="G11" i="13"/>
  <c r="C15" i="15"/>
  <c r="B16" i="15"/>
  <c r="G47" i="4"/>
  <c r="O47" i="4" s="1"/>
  <c r="D7" i="10"/>
  <c r="B8" i="10"/>
  <c r="C7" i="10"/>
  <c r="D6" i="10"/>
  <c r="C6" i="10"/>
  <c r="G48" i="13" l="1"/>
  <c r="N45" i="24"/>
  <c r="G50" i="13"/>
  <c r="G47" i="13"/>
  <c r="C16" i="15"/>
  <c r="B17" i="15"/>
  <c r="C8" i="10"/>
  <c r="D8" i="10"/>
  <c r="B9" i="10"/>
  <c r="L10" i="5" l="1"/>
  <c r="K10" i="5"/>
  <c r="C17" i="15"/>
  <c r="B18" i="15"/>
  <c r="D9" i="10"/>
  <c r="B10" i="10"/>
  <c r="C9" i="10"/>
  <c r="M10" i="5" l="1"/>
  <c r="C18" i="15"/>
  <c r="B19" i="15"/>
  <c r="G6" i="9"/>
  <c r="H6" i="9" s="1"/>
  <c r="G7" i="9"/>
  <c r="C10" i="10"/>
  <c r="G8" i="9" s="1"/>
  <c r="D10" i="10"/>
  <c r="B11" i="10"/>
  <c r="E8" i="24" l="1"/>
  <c r="H8" i="9"/>
  <c r="E3" i="24"/>
  <c r="E4" i="24"/>
  <c r="J23" i="24" s="1"/>
  <c r="H7" i="9"/>
  <c r="C19" i="15"/>
  <c r="B20" i="15"/>
  <c r="C11" i="10"/>
  <c r="G9" i="9" s="1"/>
  <c r="D11" i="10"/>
  <c r="B12" i="10"/>
  <c r="K23" i="24" l="1"/>
  <c r="E5" i="24"/>
  <c r="H9" i="9"/>
  <c r="C20" i="15"/>
  <c r="B21" i="15"/>
  <c r="C12" i="10"/>
  <c r="D12" i="10"/>
  <c r="B13" i="10"/>
  <c r="C21" i="15" l="1"/>
  <c r="B22" i="15"/>
  <c r="D13" i="10"/>
  <c r="B14" i="10"/>
  <c r="C13" i="10"/>
  <c r="C22" i="15" l="1"/>
  <c r="B23" i="15"/>
  <c r="B15" i="10"/>
  <c r="C14" i="10"/>
  <c r="D14" i="10"/>
  <c r="C23" i="15" l="1"/>
  <c r="B24" i="15"/>
  <c r="G10" i="9"/>
  <c r="H10" i="9" s="1"/>
  <c r="G11" i="9"/>
  <c r="H11" i="9" s="1"/>
  <c r="D15" i="10"/>
  <c r="B16" i="10"/>
  <c r="C15" i="10"/>
  <c r="E9" i="24" l="1"/>
  <c r="L6" i="9"/>
  <c r="F3" i="24"/>
  <c r="L8" i="9"/>
  <c r="F8" i="24" s="1"/>
  <c r="L7" i="9"/>
  <c r="F4" i="24"/>
  <c r="E14" i="24"/>
  <c r="C24" i="15"/>
  <c r="B25" i="15"/>
  <c r="C16" i="10"/>
  <c r="D16" i="10"/>
  <c r="B17" i="10"/>
  <c r="L9" i="9" l="1"/>
  <c r="F5" i="24"/>
  <c r="M23" i="24"/>
  <c r="C25" i="15"/>
  <c r="B26" i="15"/>
  <c r="D17" i="10"/>
  <c r="B18" i="10"/>
  <c r="C17" i="10"/>
  <c r="G12" i="9"/>
  <c r="G13" i="9"/>
  <c r="G14" i="9"/>
  <c r="E20" i="24" l="1"/>
  <c r="J20" i="24" s="1"/>
  <c r="H14" i="9"/>
  <c r="E17" i="24"/>
  <c r="H13" i="9"/>
  <c r="E16" i="24"/>
  <c r="H12" i="9"/>
  <c r="N23" i="24"/>
  <c r="C26" i="15"/>
  <c r="B27" i="15"/>
  <c r="C18" i="10"/>
  <c r="G15" i="9" s="1"/>
  <c r="B19" i="10"/>
  <c r="D18" i="10"/>
  <c r="E10" i="24" l="1"/>
  <c r="H15" i="9"/>
  <c r="K20" i="24"/>
  <c r="C27" i="15"/>
  <c r="B28" i="15"/>
  <c r="C19" i="10"/>
  <c r="D19" i="10"/>
  <c r="B20" i="10"/>
  <c r="L12" i="9" l="1"/>
  <c r="F16" i="24" s="1"/>
  <c r="L10" i="9"/>
  <c r="F14" i="24"/>
  <c r="L11" i="9"/>
  <c r="F9" i="24"/>
  <c r="C28" i="15"/>
  <c r="B29" i="15"/>
  <c r="C20" i="10"/>
  <c r="D20" i="10"/>
  <c r="B21" i="10"/>
  <c r="G17" i="9"/>
  <c r="G16" i="9"/>
  <c r="E26" i="24" l="1"/>
  <c r="J47" i="24" s="1"/>
  <c r="K47" i="24" s="1"/>
  <c r="H17" i="9"/>
  <c r="E34" i="24"/>
  <c r="J34" i="24" s="1"/>
  <c r="H16" i="9"/>
  <c r="M14" i="24"/>
  <c r="C29" i="15"/>
  <c r="B30" i="15"/>
  <c r="C21" i="10"/>
  <c r="G18" i="9" s="1"/>
  <c r="D21" i="10"/>
  <c r="B22" i="10"/>
  <c r="E33" i="24" l="1"/>
  <c r="J33" i="24" s="1"/>
  <c r="H18" i="9"/>
  <c r="K34" i="24"/>
  <c r="N14" i="24"/>
  <c r="L13" i="9"/>
  <c r="L14" i="9"/>
  <c r="F20" i="24"/>
  <c r="C30" i="15"/>
  <c r="B31" i="15"/>
  <c r="B23" i="10"/>
  <c r="C22" i="10"/>
  <c r="D22" i="10"/>
  <c r="F17" i="24" l="1"/>
  <c r="K33" i="24"/>
  <c r="M20" i="24"/>
  <c r="L15" i="9"/>
  <c r="F10" i="24"/>
  <c r="C31" i="15"/>
  <c r="B32" i="15"/>
  <c r="C23" i="10"/>
  <c r="D23" i="10"/>
  <c r="B24" i="10"/>
  <c r="N20" i="24" l="1"/>
  <c r="L16" i="9"/>
  <c r="C32" i="15"/>
  <c r="B33" i="15"/>
  <c r="C24" i="10"/>
  <c r="D24" i="10"/>
  <c r="B25" i="10"/>
  <c r="G22" i="9"/>
  <c r="G19" i="9"/>
  <c r="F34" i="24" l="1"/>
  <c r="M34" i="24" s="1"/>
  <c r="E22" i="24"/>
  <c r="J38" i="24" s="1"/>
  <c r="K38" i="24" s="1"/>
  <c r="H19" i="9"/>
  <c r="E6" i="24"/>
  <c r="H22" i="9"/>
  <c r="L17" i="9"/>
  <c r="F26" i="24"/>
  <c r="C33" i="15"/>
  <c r="B34" i="15"/>
  <c r="D25" i="10"/>
  <c r="B26" i="10"/>
  <c r="C25" i="10"/>
  <c r="G20" i="9"/>
  <c r="G23" i="9"/>
  <c r="G21" i="9"/>
  <c r="G24" i="9"/>
  <c r="E12" i="24" l="1"/>
  <c r="H23" i="9"/>
  <c r="E32" i="24"/>
  <c r="J22" i="24" s="1"/>
  <c r="K22" i="24" s="1"/>
  <c r="H20" i="9"/>
  <c r="E31" i="24"/>
  <c r="J31" i="24" s="1"/>
  <c r="H24" i="9"/>
  <c r="E30" i="24"/>
  <c r="J48" i="24" s="1"/>
  <c r="H21" i="9"/>
  <c r="N34" i="24"/>
  <c r="L18" i="9"/>
  <c r="F33" i="24"/>
  <c r="M47" i="24"/>
  <c r="B35" i="15"/>
  <c r="C34" i="15"/>
  <c r="G25" i="9"/>
  <c r="G26" i="9"/>
  <c r="C26" i="10"/>
  <c r="B27" i="10"/>
  <c r="D27" i="10" s="1"/>
  <c r="D26" i="10"/>
  <c r="J32" i="24" l="1"/>
  <c r="K32" i="24" s="1"/>
  <c r="K48" i="24"/>
  <c r="E11" i="24"/>
  <c r="H26" i="9"/>
  <c r="E7" i="24"/>
  <c r="H25" i="9"/>
  <c r="K31" i="24"/>
  <c r="J35" i="24"/>
  <c r="K35" i="24" s="1"/>
  <c r="M33" i="24"/>
  <c r="N47" i="24"/>
  <c r="M44" i="24"/>
  <c r="B36" i="15"/>
  <c r="C35" i="15"/>
  <c r="C27" i="10"/>
  <c r="B28" i="10"/>
  <c r="G27" i="9"/>
  <c r="G28" i="9"/>
  <c r="E27" i="24" l="1"/>
  <c r="H28" i="9"/>
  <c r="E28" i="24"/>
  <c r="J28" i="24" s="1"/>
  <c r="H27" i="9"/>
  <c r="N33" i="24"/>
  <c r="N44" i="24"/>
  <c r="C36" i="15"/>
  <c r="B37" i="15"/>
  <c r="C28" i="10"/>
  <c r="D28" i="10"/>
  <c r="B29" i="10"/>
  <c r="G29" i="9"/>
  <c r="G30" i="9"/>
  <c r="E18" i="24" l="1"/>
  <c r="H30" i="9"/>
  <c r="E40" i="24"/>
  <c r="J40" i="24" s="1"/>
  <c r="K40" i="24" s="1"/>
  <c r="H29" i="9"/>
  <c r="K28" i="24"/>
  <c r="J27" i="24"/>
  <c r="K27" i="24" s="1"/>
  <c r="L20" i="9"/>
  <c r="F32" i="24" s="1"/>
  <c r="L21" i="9"/>
  <c r="F30" i="24"/>
  <c r="L19" i="9"/>
  <c r="F22" i="24" s="1"/>
  <c r="C37" i="15"/>
  <c r="B38" i="15"/>
  <c r="C29" i="10"/>
  <c r="D29" i="10"/>
  <c r="B30" i="10"/>
  <c r="G32" i="9"/>
  <c r="G33" i="9"/>
  <c r="G31" i="9"/>
  <c r="E41" i="24" l="1"/>
  <c r="J43" i="24" s="1"/>
  <c r="H31" i="9"/>
  <c r="E21" i="24"/>
  <c r="H33" i="9"/>
  <c r="E25" i="24"/>
  <c r="H32" i="9"/>
  <c r="L22" i="9"/>
  <c r="F6" i="24"/>
  <c r="L23" i="9"/>
  <c r="F12" i="24"/>
  <c r="M22" i="24"/>
  <c r="L25" i="9"/>
  <c r="F7" i="24"/>
  <c r="M38" i="24"/>
  <c r="L24" i="9"/>
  <c r="F31" i="24"/>
  <c r="C38" i="15"/>
  <c r="B39" i="15"/>
  <c r="B31" i="10"/>
  <c r="C30" i="10"/>
  <c r="D30" i="10"/>
  <c r="K43" i="24" l="1"/>
  <c r="J25" i="24"/>
  <c r="M31" i="24"/>
  <c r="N22" i="24"/>
  <c r="N38" i="24"/>
  <c r="L28" i="9"/>
  <c r="F27" i="24"/>
  <c r="M32" i="24"/>
  <c r="L26" i="9"/>
  <c r="F11" i="24"/>
  <c r="M39" i="24"/>
  <c r="L27" i="9"/>
  <c r="F28" i="24"/>
  <c r="B40" i="15"/>
  <c r="C39" i="15"/>
  <c r="C31" i="10"/>
  <c r="D31" i="10"/>
  <c r="B32" i="10"/>
  <c r="K25" i="24" l="1"/>
  <c r="M28" i="24"/>
  <c r="N31" i="24"/>
  <c r="N39" i="24"/>
  <c r="N32" i="24"/>
  <c r="B41" i="15"/>
  <c r="C40" i="15"/>
  <c r="C32" i="10"/>
  <c r="G34" i="9" s="1"/>
  <c r="D32" i="10"/>
  <c r="B33" i="10"/>
  <c r="E24" i="24" l="1"/>
  <c r="H34" i="9"/>
  <c r="N28" i="24"/>
  <c r="L29" i="9"/>
  <c r="F40" i="24"/>
  <c r="L30" i="9"/>
  <c r="F18" i="24"/>
  <c r="L32" i="9"/>
  <c r="F25" i="24"/>
  <c r="L31" i="9"/>
  <c r="F41" i="24"/>
  <c r="B42" i="15"/>
  <c r="C41" i="15"/>
  <c r="D33" i="10"/>
  <c r="B34" i="10"/>
  <c r="C33" i="10"/>
  <c r="G35" i="9" s="1"/>
  <c r="E39" i="24" l="1"/>
  <c r="J39" i="24" s="1"/>
  <c r="K39" i="24" s="1"/>
  <c r="H35" i="9"/>
  <c r="M40" i="24"/>
  <c r="M27" i="24"/>
  <c r="L33" i="9"/>
  <c r="F21" i="24"/>
  <c r="M25" i="24"/>
  <c r="M43" i="24"/>
  <c r="B43" i="15"/>
  <c r="C42" i="15"/>
  <c r="C34" i="10"/>
  <c r="B35" i="10"/>
  <c r="N40" i="24" l="1"/>
  <c r="N25" i="24"/>
  <c r="N27" i="24"/>
  <c r="N43" i="24"/>
  <c r="B44" i="15"/>
  <c r="C43" i="15"/>
  <c r="C35" i="10"/>
  <c r="G37" i="9" s="1"/>
  <c r="B36" i="10"/>
  <c r="E13" i="24" l="1"/>
  <c r="H37" i="9"/>
  <c r="B45" i="15"/>
  <c r="C44" i="15"/>
  <c r="C36" i="10"/>
  <c r="B37" i="10"/>
  <c r="D37" i="10" s="1"/>
  <c r="B46" i="15" l="1"/>
  <c r="C45" i="15"/>
  <c r="C37" i="10"/>
  <c r="B38" i="10"/>
  <c r="D38" i="10" s="1"/>
  <c r="G36" i="9"/>
  <c r="G38" i="9"/>
  <c r="E46" i="24" l="1"/>
  <c r="H38" i="9"/>
  <c r="E37" i="24"/>
  <c r="H36" i="9"/>
  <c r="J14" i="24"/>
  <c r="J42" i="24"/>
  <c r="B47" i="15"/>
  <c r="C46" i="15"/>
  <c r="C38" i="10"/>
  <c r="B39" i="10"/>
  <c r="B40" i="10" l="1"/>
  <c r="D39" i="10"/>
  <c r="K14" i="24"/>
  <c r="K42" i="24"/>
  <c r="B48" i="15"/>
  <c r="C47" i="15"/>
  <c r="G39" i="9"/>
  <c r="G40" i="9"/>
  <c r="B41" i="10" l="1"/>
  <c r="D40" i="10"/>
  <c r="E44" i="24"/>
  <c r="J44" i="24" s="1"/>
  <c r="H40" i="9"/>
  <c r="E29" i="24"/>
  <c r="H39" i="9"/>
  <c r="J45" i="24"/>
  <c r="K45" i="24" s="1"/>
  <c r="C48" i="15"/>
  <c r="B49" i="15"/>
  <c r="B42" i="10" l="1"/>
  <c r="D41" i="10"/>
  <c r="H53" i="9"/>
  <c r="H52" i="9"/>
  <c r="H55" i="9"/>
  <c r="L5" i="5" s="1"/>
  <c r="L45" i="9"/>
  <c r="F48" i="24"/>
  <c r="L47" i="9"/>
  <c r="F36" i="24"/>
  <c r="L46" i="9"/>
  <c r="F19" i="24"/>
  <c r="K44" i="24"/>
  <c r="C49" i="15"/>
  <c r="B50" i="15"/>
  <c r="B43" i="10" l="1"/>
  <c r="D42" i="10"/>
  <c r="K5" i="5"/>
  <c r="M5" i="5" s="1"/>
  <c r="I58" i="9"/>
  <c r="L48" i="9"/>
  <c r="F15" i="24"/>
  <c r="M48" i="24"/>
  <c r="C50" i="15"/>
  <c r="B51" i="15"/>
  <c r="B44" i="10" l="1"/>
  <c r="D43" i="10"/>
  <c r="I49" i="9"/>
  <c r="I41" i="9"/>
  <c r="F8" i="4" s="1"/>
  <c r="G8" i="4" s="1"/>
  <c r="O8" i="4" s="1"/>
  <c r="I51" i="9"/>
  <c r="F39" i="4" s="1"/>
  <c r="I47" i="9"/>
  <c r="F38" i="4" s="1"/>
  <c r="S38" i="4" s="1"/>
  <c r="I50" i="9"/>
  <c r="F44" i="4" s="1"/>
  <c r="I43" i="9"/>
  <c r="F36" i="4" s="1"/>
  <c r="S36" i="4" s="1"/>
  <c r="I44" i="9"/>
  <c r="F24" i="4" s="1"/>
  <c r="S24" i="4" s="1"/>
  <c r="I48" i="9"/>
  <c r="F41" i="4" s="1"/>
  <c r="S41" i="4" s="1"/>
  <c r="I46" i="9"/>
  <c r="F26" i="4" s="1"/>
  <c r="S26" i="4" s="1"/>
  <c r="I45" i="9"/>
  <c r="F47" i="4" s="1"/>
  <c r="S47" i="4" s="1"/>
  <c r="I42" i="9"/>
  <c r="F46" i="4" s="1"/>
  <c r="G46" i="4" s="1"/>
  <c r="O46" i="4" s="1"/>
  <c r="I6" i="9"/>
  <c r="F3" i="4" s="1"/>
  <c r="I7" i="9"/>
  <c r="F7" i="4" s="1"/>
  <c r="I8" i="9"/>
  <c r="F5" i="4" s="1"/>
  <c r="I9" i="9"/>
  <c r="F2" i="4" s="1"/>
  <c r="S2" i="4" s="1"/>
  <c r="I10" i="9"/>
  <c r="F6" i="4" s="1"/>
  <c r="I11" i="9"/>
  <c r="F4" i="4" s="1"/>
  <c r="S4" i="4" s="1"/>
  <c r="I13" i="9"/>
  <c r="F15" i="4" s="1"/>
  <c r="I12" i="9"/>
  <c r="F28" i="4" s="1"/>
  <c r="S28" i="4" s="1"/>
  <c r="I14" i="9"/>
  <c r="F9" i="4" s="1"/>
  <c r="I15" i="9"/>
  <c r="F10" i="4" s="1"/>
  <c r="I16" i="9"/>
  <c r="F32" i="4" s="1"/>
  <c r="S32" i="4" s="1"/>
  <c r="I17" i="9"/>
  <c r="F19" i="4" s="1"/>
  <c r="I18" i="9"/>
  <c r="F29" i="4" s="1"/>
  <c r="I22" i="9"/>
  <c r="F13" i="4" s="1"/>
  <c r="G13" i="4" s="1"/>
  <c r="O13" i="4" s="1"/>
  <c r="I19" i="9"/>
  <c r="F12" i="4" s="1"/>
  <c r="I21" i="9"/>
  <c r="F25" i="4" s="1"/>
  <c r="G25" i="4" s="1"/>
  <c r="O25" i="4" s="1"/>
  <c r="I24" i="9"/>
  <c r="F21" i="4" s="1"/>
  <c r="S21" i="4" s="1"/>
  <c r="I23" i="9"/>
  <c r="F27" i="4" s="1"/>
  <c r="S27" i="4" s="1"/>
  <c r="I20" i="9"/>
  <c r="F23" i="4" s="1"/>
  <c r="S23" i="4" s="1"/>
  <c r="I26" i="9"/>
  <c r="F30" i="4" s="1"/>
  <c r="I25" i="9"/>
  <c r="F11" i="4" s="1"/>
  <c r="I28" i="9"/>
  <c r="F16" i="4" s="1"/>
  <c r="I27" i="9"/>
  <c r="F17" i="4" s="1"/>
  <c r="G17" i="4" s="1"/>
  <c r="O17" i="4" s="1"/>
  <c r="I30" i="9"/>
  <c r="F33" i="4" s="1"/>
  <c r="I29" i="9"/>
  <c r="F40" i="4" s="1"/>
  <c r="I32" i="9"/>
  <c r="F14" i="4" s="1"/>
  <c r="S14" i="4" s="1"/>
  <c r="I33" i="9"/>
  <c r="F18" i="4" s="1"/>
  <c r="S18" i="4" s="1"/>
  <c r="I31" i="9"/>
  <c r="F37" i="4" s="1"/>
  <c r="G37" i="4" s="1"/>
  <c r="O37" i="4" s="1"/>
  <c r="I34" i="9"/>
  <c r="F20" i="4" s="1"/>
  <c r="G20" i="4" s="1"/>
  <c r="O20" i="4" s="1"/>
  <c r="I35" i="9"/>
  <c r="F34" i="4" s="1"/>
  <c r="G34" i="4" s="1"/>
  <c r="O34" i="4" s="1"/>
  <c r="I37" i="9"/>
  <c r="F31" i="4" s="1"/>
  <c r="S31" i="4" s="1"/>
  <c r="I36" i="9"/>
  <c r="F45" i="4" s="1"/>
  <c r="S45" i="4" s="1"/>
  <c r="I38" i="9"/>
  <c r="F35" i="4" s="1"/>
  <c r="S35" i="4" s="1"/>
  <c r="I39" i="9"/>
  <c r="F42" i="4" s="1"/>
  <c r="S42" i="4" s="1"/>
  <c r="I40" i="9"/>
  <c r="F43" i="4" s="1"/>
  <c r="N48" i="24"/>
  <c r="C51" i="15"/>
  <c r="B52" i="15"/>
  <c r="B45" i="10" l="1"/>
  <c r="D44" i="10"/>
  <c r="G42" i="4"/>
  <c r="O42" i="4" s="1"/>
  <c r="S6" i="4"/>
  <c r="G6" i="4"/>
  <c r="O6" i="4" s="1"/>
  <c r="I55" i="9"/>
  <c r="I52" i="9"/>
  <c r="I53" i="9"/>
  <c r="G14" i="4"/>
  <c r="O14" i="4" s="1"/>
  <c r="G21" i="4"/>
  <c r="O21" i="4" s="1"/>
  <c r="G26" i="4"/>
  <c r="O26" i="4" s="1"/>
  <c r="G28" i="4"/>
  <c r="O28" i="4" s="1"/>
  <c r="G32" i="4"/>
  <c r="O32" i="4" s="1"/>
  <c r="S34" i="4"/>
  <c r="G18" i="4"/>
  <c r="O18" i="4" s="1"/>
  <c r="S25" i="4"/>
  <c r="G27" i="4"/>
  <c r="O27" i="4" s="1"/>
  <c r="G41" i="4"/>
  <c r="O41" i="4" s="1"/>
  <c r="S20" i="4"/>
  <c r="G23" i="4"/>
  <c r="O23" i="4" s="1"/>
  <c r="S46" i="4"/>
  <c r="G38" i="4"/>
  <c r="O38" i="4" s="1"/>
  <c r="S13" i="4"/>
  <c r="G2" i="4"/>
  <c r="O2" i="4" s="1"/>
  <c r="S37" i="4"/>
  <c r="G36" i="4"/>
  <c r="O36" i="4" s="1"/>
  <c r="G24" i="4"/>
  <c r="O24" i="4" s="1"/>
  <c r="S17" i="4"/>
  <c r="G43" i="4"/>
  <c r="O43" i="4" s="1"/>
  <c r="S43" i="4"/>
  <c r="G35" i="4"/>
  <c r="O35" i="4" s="1"/>
  <c r="G31" i="4"/>
  <c r="O31" i="4" s="1"/>
  <c r="S8" i="4"/>
  <c r="G4" i="4"/>
  <c r="O4" i="4" s="1"/>
  <c r="G45" i="4"/>
  <c r="O45" i="4" s="1"/>
  <c r="S19" i="4"/>
  <c r="G19" i="4"/>
  <c r="O19" i="4" s="1"/>
  <c r="S29" i="4"/>
  <c r="G29" i="4"/>
  <c r="O29" i="4" s="1"/>
  <c r="S5" i="4"/>
  <c r="G5" i="4"/>
  <c r="O5" i="4" s="1"/>
  <c r="S15" i="4"/>
  <c r="G15" i="4"/>
  <c r="O15" i="4" s="1"/>
  <c r="S33" i="4"/>
  <c r="G33" i="4"/>
  <c r="O33" i="4" s="1"/>
  <c r="G30" i="4"/>
  <c r="O30" i="4" s="1"/>
  <c r="S30" i="4"/>
  <c r="S16" i="4"/>
  <c r="G16" i="4"/>
  <c r="O16" i="4" s="1"/>
  <c r="S12" i="4"/>
  <c r="G12" i="4"/>
  <c r="O12" i="4" s="1"/>
  <c r="S44" i="4"/>
  <c r="G44" i="4"/>
  <c r="O44" i="4" s="1"/>
  <c r="G40" i="4"/>
  <c r="O40" i="4" s="1"/>
  <c r="S40" i="4"/>
  <c r="S11" i="4"/>
  <c r="G11" i="4"/>
  <c r="O11" i="4" s="1"/>
  <c r="S10" i="4"/>
  <c r="G10" i="4"/>
  <c r="O10" i="4" s="1"/>
  <c r="G9" i="4"/>
  <c r="O9" i="4" s="1"/>
  <c r="S9" i="4"/>
  <c r="G39" i="4"/>
  <c r="O39" i="4" s="1"/>
  <c r="S39" i="4"/>
  <c r="G7" i="4"/>
  <c r="O7" i="4" s="1"/>
  <c r="S7" i="4"/>
  <c r="G3" i="4"/>
  <c r="O3" i="4" s="1"/>
  <c r="S3" i="4"/>
  <c r="C52" i="15"/>
  <c r="B53" i="15"/>
  <c r="B46" i="10" l="1"/>
  <c r="D45" i="10"/>
  <c r="C53" i="15"/>
  <c r="B54" i="15"/>
  <c r="B47" i="10" l="1"/>
  <c r="D46" i="10"/>
  <c r="C54" i="15"/>
  <c r="B55" i="15"/>
  <c r="B48" i="10" l="1"/>
  <c r="D47" i="10"/>
  <c r="L49" i="9"/>
  <c r="F35" i="24"/>
  <c r="C55" i="15"/>
  <c r="B56" i="15"/>
  <c r="D48" i="10" l="1"/>
  <c r="B49" i="10"/>
  <c r="L55" i="9"/>
  <c r="L6" i="5" s="1"/>
  <c r="L53" i="9"/>
  <c r="L54" i="9" s="1"/>
  <c r="L52" i="9"/>
  <c r="M35" i="24"/>
  <c r="C56" i="15"/>
  <c r="B57" i="15"/>
  <c r="D49" i="10" l="1"/>
  <c r="B50" i="10"/>
  <c r="K6" i="5"/>
  <c r="M6" i="5" s="1"/>
  <c r="N35" i="24"/>
  <c r="C57" i="15"/>
  <c r="B58" i="15"/>
  <c r="D50" i="10" l="1"/>
  <c r="B51" i="10"/>
  <c r="C58" i="15"/>
  <c r="B59" i="15"/>
  <c r="D51" i="10" l="1"/>
  <c r="B52" i="10"/>
  <c r="C59" i="15"/>
  <c r="B60" i="15"/>
  <c r="D52" i="10" l="1"/>
  <c r="B53" i="10"/>
  <c r="C60" i="15"/>
  <c r="B61" i="15"/>
  <c r="D53" i="10" l="1"/>
  <c r="B54" i="10"/>
  <c r="C61" i="15"/>
  <c r="B62" i="15"/>
  <c r="D54" i="10" l="1"/>
  <c r="B55" i="10"/>
  <c r="C62" i="15"/>
  <c r="B63" i="15"/>
  <c r="C63" i="15" s="1"/>
  <c r="B56" i="10" l="1"/>
  <c r="D55" i="10"/>
  <c r="F22" i="4" s="1"/>
  <c r="G22" i="4" l="1"/>
  <c r="O22" i="4" s="1"/>
  <c r="S22" i="4"/>
  <c r="D56" i="10"/>
  <c r="B57" i="10"/>
  <c r="H14" i="4"/>
  <c r="T14" i="4" s="1"/>
  <c r="I14" i="4"/>
  <c r="P14" i="4" s="1"/>
  <c r="H43" i="4"/>
  <c r="T43" i="4" s="1"/>
  <c r="I43" i="4"/>
  <c r="P43" i="4" s="1"/>
  <c r="H25" i="4"/>
  <c r="T25" i="4" s="1"/>
  <c r="I25" i="4"/>
  <c r="P25" i="4" s="1"/>
  <c r="H24" i="4"/>
  <c r="T24" i="4" s="1"/>
  <c r="I24" i="4"/>
  <c r="P24" i="4" s="1"/>
  <c r="H32" i="4"/>
  <c r="T32" i="4" s="1"/>
  <c r="I32" i="4"/>
  <c r="P32" i="4" s="1"/>
  <c r="H46" i="4"/>
  <c r="T46" i="4" s="1"/>
  <c r="I46" i="4"/>
  <c r="P46" i="4" s="1"/>
  <c r="H23" i="4"/>
  <c r="I23" i="4"/>
  <c r="P23" i="4" s="1"/>
  <c r="H40" i="4"/>
  <c r="T40" i="4" s="1"/>
  <c r="I40" i="4"/>
  <c r="P40" i="4" s="1"/>
  <c r="H8" i="4"/>
  <c r="T8" i="4" s="1"/>
  <c r="I8" i="4"/>
  <c r="P8" i="4" s="1"/>
  <c r="H26" i="4"/>
  <c r="T26" i="4" s="1"/>
  <c r="I26" i="4"/>
  <c r="P26" i="4" s="1"/>
  <c r="H35" i="4"/>
  <c r="T35" i="4" s="1"/>
  <c r="I35" i="4"/>
  <c r="P35" i="4" s="1"/>
  <c r="H34" i="4"/>
  <c r="T34" i="4" s="1"/>
  <c r="I34" i="4"/>
  <c r="P34" i="4" s="1"/>
  <c r="H13" i="4"/>
  <c r="T13" i="4" s="1"/>
  <c r="I13" i="4"/>
  <c r="P13" i="4" s="1"/>
  <c r="H15" i="4"/>
  <c r="T15" i="4" s="1"/>
  <c r="I15" i="4"/>
  <c r="P15" i="4" s="1"/>
  <c r="H39" i="4"/>
  <c r="T39" i="4" s="1"/>
  <c r="I39" i="4"/>
  <c r="P39" i="4" s="1"/>
  <c r="H29" i="4"/>
  <c r="T29" i="4" s="1"/>
  <c r="I29" i="4"/>
  <c r="P29" i="4" s="1"/>
  <c r="H10" i="4"/>
  <c r="T10" i="4" s="1"/>
  <c r="I10" i="4"/>
  <c r="P10" i="4" s="1"/>
  <c r="H5" i="4"/>
  <c r="T5" i="4" s="1"/>
  <c r="I5" i="4"/>
  <c r="P5" i="4" s="1"/>
  <c r="H45" i="4"/>
  <c r="T45" i="4" s="1"/>
  <c r="I45" i="4"/>
  <c r="P45" i="4" s="1"/>
  <c r="H2" i="4"/>
  <c r="T2" i="4" s="1"/>
  <c r="I2" i="4"/>
  <c r="H20" i="4"/>
  <c r="T20" i="4" s="1"/>
  <c r="I20" i="4"/>
  <c r="P20" i="4" s="1"/>
  <c r="H27" i="4"/>
  <c r="T27" i="4" s="1"/>
  <c r="I27" i="4"/>
  <c r="P27" i="4" s="1"/>
  <c r="H19" i="4"/>
  <c r="T19" i="4" s="1"/>
  <c r="I19" i="4"/>
  <c r="P19" i="4" s="1"/>
  <c r="H31" i="4"/>
  <c r="I31" i="4"/>
  <c r="P31" i="4" s="1"/>
  <c r="H42" i="4"/>
  <c r="T42" i="4" s="1"/>
  <c r="I42" i="4"/>
  <c r="P42" i="4" s="1"/>
  <c r="H37" i="4"/>
  <c r="I37" i="4"/>
  <c r="P37" i="4" s="1"/>
  <c r="H3" i="4"/>
  <c r="I3" i="4"/>
  <c r="P3" i="4" s="1"/>
  <c r="H18" i="4"/>
  <c r="T18" i="4" s="1"/>
  <c r="I18" i="4"/>
  <c r="P18" i="4" s="1"/>
  <c r="H33" i="4"/>
  <c r="T33" i="4" s="1"/>
  <c r="I33" i="4"/>
  <c r="P33" i="4" s="1"/>
  <c r="H30" i="4"/>
  <c r="T30" i="4" s="1"/>
  <c r="I30" i="4"/>
  <c r="P30" i="4" s="1"/>
  <c r="H11" i="4"/>
  <c r="T11" i="4" s="1"/>
  <c r="I11" i="4"/>
  <c r="P11" i="4" s="1"/>
  <c r="H21" i="4"/>
  <c r="T21" i="4" s="1"/>
  <c r="I21" i="4"/>
  <c r="P21" i="4" s="1"/>
  <c r="H6" i="4"/>
  <c r="T6" i="4" s="1"/>
  <c r="I6" i="4"/>
  <c r="P6" i="4" s="1"/>
  <c r="H47" i="4"/>
  <c r="T47" i="4" s="1"/>
  <c r="I47" i="4"/>
  <c r="P47" i="4" s="1"/>
  <c r="H17" i="4"/>
  <c r="T17" i="4" s="1"/>
  <c r="I17" i="4"/>
  <c r="P17" i="4" s="1"/>
  <c r="H38" i="4"/>
  <c r="T38" i="4" s="1"/>
  <c r="I38" i="4"/>
  <c r="P38" i="4" s="1"/>
  <c r="H36" i="4"/>
  <c r="T36" i="4" s="1"/>
  <c r="I36" i="4"/>
  <c r="P36" i="4" s="1"/>
  <c r="H4" i="4"/>
  <c r="T4" i="4" s="1"/>
  <c r="I4" i="4"/>
  <c r="P4" i="4" s="1"/>
  <c r="H12" i="4"/>
  <c r="T12" i="4" s="1"/>
  <c r="I12" i="4"/>
  <c r="P12" i="4" s="1"/>
  <c r="H41" i="4"/>
  <c r="T41" i="4" s="1"/>
  <c r="I41" i="4"/>
  <c r="P41" i="4" s="1"/>
  <c r="H44" i="4"/>
  <c r="T44" i="4" s="1"/>
  <c r="I44" i="4"/>
  <c r="P44" i="4" s="1"/>
  <c r="H9" i="4"/>
  <c r="T9" i="4" s="1"/>
  <c r="I9" i="4"/>
  <c r="P9" i="4" s="1"/>
  <c r="H16" i="4"/>
  <c r="T16" i="4" s="1"/>
  <c r="I16" i="4"/>
  <c r="P16" i="4" s="1"/>
  <c r="H22" i="4"/>
  <c r="T22" i="4" s="1"/>
  <c r="I22" i="4"/>
  <c r="P22" i="4" s="1"/>
  <c r="H28" i="4"/>
  <c r="T28" i="4" s="1"/>
  <c r="I28" i="4"/>
  <c r="P28" i="4" s="1"/>
  <c r="H7" i="4"/>
  <c r="T7" i="4" s="1"/>
  <c r="I7" i="4"/>
  <c r="P7" i="4" s="1"/>
  <c r="J39" i="4"/>
  <c r="K39" i="4" s="1"/>
  <c r="J25" i="4"/>
  <c r="K25" i="4" s="1"/>
  <c r="J11" i="4"/>
  <c r="K11" i="4" s="1"/>
  <c r="J32" i="4"/>
  <c r="K32" i="4" s="1"/>
  <c r="J8" i="4"/>
  <c r="K8" i="4" s="1"/>
  <c r="J10" i="4"/>
  <c r="K10" i="4" s="1"/>
  <c r="J42" i="4"/>
  <c r="K42" i="4" s="1"/>
  <c r="J20" i="4"/>
  <c r="K20" i="4" s="1"/>
  <c r="J33" i="4"/>
  <c r="K33" i="4" s="1"/>
  <c r="J14" i="4"/>
  <c r="K14" i="4" s="1"/>
  <c r="J41" i="4"/>
  <c r="K41" i="4" s="1"/>
  <c r="J6" i="4"/>
  <c r="K6" i="4" s="1"/>
  <c r="J19" i="4"/>
  <c r="K19" i="4" s="1"/>
  <c r="J35" i="4"/>
  <c r="K35" i="4" s="1"/>
  <c r="J43" i="4"/>
  <c r="K43" i="4" s="1"/>
  <c r="J17" i="4"/>
  <c r="K17" i="4" s="1"/>
  <c r="J13" i="4"/>
  <c r="K13" i="4" s="1"/>
  <c r="J45" i="4"/>
  <c r="K45" i="4" s="1"/>
  <c r="J36" i="4"/>
  <c r="K36" i="4" s="1"/>
  <c r="J12" i="4"/>
  <c r="K12" i="4" s="1"/>
  <c r="J44" i="4"/>
  <c r="K44" i="4" s="1"/>
  <c r="F48" i="4"/>
  <c r="D48" i="4"/>
  <c r="B58" i="10" l="1"/>
  <c r="D57" i="10"/>
  <c r="J28" i="4"/>
  <c r="K28" i="4" s="1"/>
  <c r="J16" i="4"/>
  <c r="K16" i="4" s="1"/>
  <c r="J24" i="4"/>
  <c r="K24" i="4" s="1"/>
  <c r="J46" i="4"/>
  <c r="K46" i="4" s="1"/>
  <c r="J47" i="4"/>
  <c r="K47" i="4" s="1"/>
  <c r="J40" i="4"/>
  <c r="K40" i="4" s="1"/>
  <c r="J4" i="4"/>
  <c r="K4" i="4" s="1"/>
  <c r="J21" i="4"/>
  <c r="K21" i="4" s="1"/>
  <c r="J5" i="4"/>
  <c r="K5" i="4" s="1"/>
  <c r="J27" i="4"/>
  <c r="K27" i="4" s="1"/>
  <c r="J7" i="4"/>
  <c r="K7" i="4" s="1"/>
  <c r="J2" i="4"/>
  <c r="K2" i="4" s="1"/>
  <c r="P2" i="4"/>
  <c r="T37" i="4"/>
  <c r="J37" i="4"/>
  <c r="K37" i="4" s="1"/>
  <c r="H48" i="4"/>
  <c r="J34" i="4"/>
  <c r="K34" i="4" s="1"/>
  <c r="J9" i="4"/>
  <c r="K9" i="4" s="1"/>
  <c r="J26" i="4"/>
  <c r="K26" i="4" s="1"/>
  <c r="J38" i="4"/>
  <c r="K38" i="4" s="1"/>
  <c r="J22" i="4"/>
  <c r="K22" i="4" s="1"/>
  <c r="J30" i="4"/>
  <c r="K30" i="4" s="1"/>
  <c r="T31" i="4"/>
  <c r="J31" i="4"/>
  <c r="K31" i="4" s="1"/>
  <c r="J29" i="4"/>
  <c r="K29" i="4" s="1"/>
  <c r="J15" i="4"/>
  <c r="K15" i="4" s="1"/>
  <c r="J18" i="4"/>
  <c r="K18" i="4" s="1"/>
  <c r="T3" i="4"/>
  <c r="J3" i="4"/>
  <c r="K3" i="4" s="1"/>
  <c r="T23" i="4"/>
  <c r="J23" i="4"/>
  <c r="K23" i="4" s="1"/>
  <c r="D58" i="10" l="1"/>
  <c r="B59" i="10"/>
  <c r="J48" i="4"/>
  <c r="K48" i="4" s="1"/>
  <c r="B60" i="10" l="1"/>
  <c r="D59" i="10"/>
  <c r="O35" i="21"/>
  <c r="H21" i="24" s="1"/>
  <c r="D60" i="10" l="1"/>
  <c r="B61" i="10"/>
  <c r="E18" i="5"/>
  <c r="E28" i="5" s="1"/>
  <c r="E29" i="5" s="1"/>
  <c r="O31" i="21"/>
  <c r="H46" i="24" s="1"/>
  <c r="M46" i="24" s="1"/>
  <c r="N46" i="24" s="1"/>
  <c r="O44" i="21"/>
  <c r="H7" i="24" s="1"/>
  <c r="M9" i="24"/>
  <c r="M5" i="24"/>
  <c r="O33" i="21"/>
  <c r="H36" i="24" s="1"/>
  <c r="O48" i="21"/>
  <c r="H4" i="24" s="1"/>
  <c r="O30" i="21"/>
  <c r="H24" i="24" s="1"/>
  <c r="O40" i="21"/>
  <c r="H37" i="24" s="1"/>
  <c r="O34" i="21"/>
  <c r="H17" i="24" s="1"/>
  <c r="M17" i="24" s="1"/>
  <c r="N17" i="24" s="1"/>
  <c r="O43" i="21"/>
  <c r="H11" i="24" s="1"/>
  <c r="M11" i="24" s="1"/>
  <c r="N11" i="24" s="1"/>
  <c r="O47" i="21"/>
  <c r="H6" i="24" s="1"/>
  <c r="M6" i="24" s="1"/>
  <c r="N6" i="24" s="1"/>
  <c r="O39" i="21"/>
  <c r="H29" i="24" s="1"/>
  <c r="M29" i="24" s="1"/>
  <c r="O28" i="21"/>
  <c r="H41" i="24" s="1"/>
  <c r="J41" i="24" s="1"/>
  <c r="O29" i="21"/>
  <c r="H26" i="24" s="1"/>
  <c r="M26" i="24" s="1"/>
  <c r="O45" i="21"/>
  <c r="H3" i="24" s="1"/>
  <c r="J3" i="24" s="1"/>
  <c r="K3" i="24" s="1"/>
  <c r="O32" i="21"/>
  <c r="H8" i="24" s="1"/>
  <c r="O46" i="21"/>
  <c r="H15" i="24" s="1"/>
  <c r="J15" i="24" s="1"/>
  <c r="O41" i="21"/>
  <c r="H12" i="24" s="1"/>
  <c r="M12" i="24" s="1"/>
  <c r="O36" i="21"/>
  <c r="H10" i="24" s="1"/>
  <c r="M10" i="24" s="1"/>
  <c r="N10" i="24" s="1"/>
  <c r="O42" i="21"/>
  <c r="H18" i="24" s="1"/>
  <c r="J6" i="24"/>
  <c r="O37" i="21"/>
  <c r="H19" i="24" s="1"/>
  <c r="O38" i="21"/>
  <c r="H16" i="24" s="1"/>
  <c r="J16" i="24" s="1"/>
  <c r="O49" i="21"/>
  <c r="H13" i="24" s="1"/>
  <c r="M13" i="24" s="1"/>
  <c r="J12" i="24" l="1"/>
  <c r="J26" i="24"/>
  <c r="K26" i="24" s="1"/>
  <c r="B62" i="10"/>
  <c r="D61" i="10"/>
  <c r="J46" i="24"/>
  <c r="K46" i="24" s="1"/>
  <c r="M41" i="24"/>
  <c r="N41" i="24" s="1"/>
  <c r="M15" i="24"/>
  <c r="M3" i="24"/>
  <c r="N3" i="24" s="1"/>
  <c r="J11" i="24"/>
  <c r="K11" i="24" s="1"/>
  <c r="M16" i="24"/>
  <c r="N16" i="24" s="1"/>
  <c r="J17" i="24"/>
  <c r="K17" i="24" s="1"/>
  <c r="N9" i="24"/>
  <c r="N13" i="24"/>
  <c r="J13" i="24"/>
  <c r="J29" i="24"/>
  <c r="K29" i="24" s="1"/>
  <c r="J10" i="24"/>
  <c r="K10" i="24" s="1"/>
  <c r="N29" i="24"/>
  <c r="J9" i="24"/>
  <c r="N5" i="24"/>
  <c r="J5" i="24"/>
  <c r="J19" i="24"/>
  <c r="M19" i="24"/>
  <c r="M37" i="24"/>
  <c r="J37" i="24"/>
  <c r="K12" i="24"/>
  <c r="N26" i="24"/>
  <c r="O53" i="21"/>
  <c r="L8" i="5" s="1"/>
  <c r="O52" i="21"/>
  <c r="K8" i="5" s="1"/>
  <c r="O51" i="21"/>
  <c r="N12" i="24"/>
  <c r="K16" i="24"/>
  <c r="J36" i="24"/>
  <c r="M36" i="24"/>
  <c r="M21" i="24"/>
  <c r="J21" i="24"/>
  <c r="J4" i="24"/>
  <c r="M4" i="24"/>
  <c r="K6" i="24"/>
  <c r="M24" i="24"/>
  <c r="J24" i="24"/>
  <c r="M30" i="24"/>
  <c r="J30" i="24"/>
  <c r="N15" i="24"/>
  <c r="M18" i="24"/>
  <c r="J18" i="24"/>
  <c r="J7" i="24"/>
  <c r="M7" i="24"/>
  <c r="K15" i="24"/>
  <c r="M8" i="24"/>
  <c r="J8" i="24"/>
  <c r="K41" i="24"/>
  <c r="D62" i="10" l="1"/>
  <c r="B63" i="10"/>
  <c r="M8" i="5"/>
  <c r="K13" i="24"/>
  <c r="K5" i="24"/>
  <c r="K9" i="24"/>
  <c r="L21" i="5"/>
  <c r="K37" i="24"/>
  <c r="N8" i="24"/>
  <c r="K18" i="24"/>
  <c r="K30" i="24"/>
  <c r="N4" i="24"/>
  <c r="N36" i="24"/>
  <c r="N18" i="24"/>
  <c r="N30" i="24"/>
  <c r="K4" i="24"/>
  <c r="K16" i="5"/>
  <c r="L16" i="5"/>
  <c r="K51" i="24"/>
  <c r="N19" i="24"/>
  <c r="K7" i="24"/>
  <c r="N24" i="24"/>
  <c r="N51" i="24"/>
  <c r="N37" i="24"/>
  <c r="K21" i="24"/>
  <c r="K36" i="24"/>
  <c r="K8" i="24"/>
  <c r="N7" i="24"/>
  <c r="K24" i="24"/>
  <c r="N21" i="24"/>
  <c r="K21" i="5"/>
  <c r="K19" i="24"/>
  <c r="B64" i="10" l="1"/>
  <c r="D63" i="10"/>
  <c r="K18" i="5"/>
  <c r="K19" i="5" s="1"/>
  <c r="K20" i="5" s="1"/>
  <c r="L18" i="5"/>
  <c r="L19" i="5" s="1"/>
  <c r="L20" i="5" s="1"/>
  <c r="N50" i="24"/>
  <c r="N52" i="24" s="1"/>
  <c r="N53" i="24" s="1"/>
  <c r="K50" i="24"/>
  <c r="K52" i="24" s="1"/>
  <c r="K53" i="24" s="1"/>
  <c r="L13" i="5"/>
  <c r="L14" i="5" s="1"/>
  <c r="L15" i="5" s="1"/>
  <c r="K13" i="5"/>
  <c r="D64" i="10" l="1"/>
  <c r="B65" i="10"/>
  <c r="M18" i="5"/>
  <c r="M19" i="5" s="1"/>
  <c r="M20" i="5" s="1"/>
  <c r="K14" i="5"/>
  <c r="K15" i="5" s="1"/>
  <c r="M13" i="5"/>
  <c r="M14" i="5" s="1"/>
  <c r="M15" i="5" s="1"/>
  <c r="D65" i="10" l="1"/>
  <c r="B66" i="10"/>
  <c r="D66" i="10" s="1"/>
</calcChain>
</file>

<file path=xl/sharedStrings.xml><?xml version="1.0" encoding="utf-8"?>
<sst xmlns="http://schemas.openxmlformats.org/spreadsheetml/2006/main" count="517" uniqueCount="334">
  <si>
    <t>HOSPID</t>
  </si>
  <si>
    <t>HOSPITAL NAME</t>
  </si>
  <si>
    <t>Southern Maryland Hospital Center</t>
  </si>
  <si>
    <t>Prince Georges Hospital Center</t>
  </si>
  <si>
    <t>Howard County General Hospital</t>
  </si>
  <si>
    <t>Bon Secours Hospital</t>
  </si>
  <si>
    <t>Peninsula Regional Medical Center</t>
  </si>
  <si>
    <t>Greater Baltimore Medical Center</t>
  </si>
  <si>
    <t>Johns Hopkins Bayview Medical Center</t>
  </si>
  <si>
    <t>Laurel Regional Hospital</t>
  </si>
  <si>
    <t>Fort Washington Medical Center</t>
  </si>
  <si>
    <t>Suburban Hospital</t>
  </si>
  <si>
    <t>Meritus Hospital</t>
  </si>
  <si>
    <t>Northwest Hospital Center</t>
  </si>
  <si>
    <t>Shady Grove Adventist Hospital</t>
  </si>
  <si>
    <t>Montgomery General Hospital</t>
  </si>
  <si>
    <t>St. Agnes Hospital</t>
  </si>
  <si>
    <t>Franklin Square Hospital Center</t>
  </si>
  <si>
    <t>Washington Adventist Hospital</t>
  </si>
  <si>
    <t>Union Memorial Hospital</t>
  </si>
  <si>
    <t>Carroll Hospital Center</t>
  </si>
  <si>
    <t>Holy Cross Hospital</t>
  </si>
  <si>
    <t>Good Samaritan Hospital</t>
  </si>
  <si>
    <t>Atlantic General Hospital</t>
  </si>
  <si>
    <t>Sinai Hospital</t>
  </si>
  <si>
    <t>Maryland General Hospital</t>
  </si>
  <si>
    <t>Civista Medical Center</t>
  </si>
  <si>
    <t>Harbor Hospital Center</t>
  </si>
  <si>
    <t>Union of Cecil</t>
  </si>
  <si>
    <t>University of Maryland Hospital</t>
  </si>
  <si>
    <t>Calvert Memorial Hospital</t>
  </si>
  <si>
    <t>Upper Chesapeake Medical Center</t>
  </si>
  <si>
    <t>Baltimore Washington Medical Center</t>
  </si>
  <si>
    <t>Frederick Memorial Hospital</t>
  </si>
  <si>
    <t>Memorial Hospital at Easton</t>
  </si>
  <si>
    <t>Chester River Hospital Center</t>
  </si>
  <si>
    <t>Doctors Community Hospital</t>
  </si>
  <si>
    <t>Western MD Regional Medical Center</t>
  </si>
  <si>
    <t>Mercy Medical Center</t>
  </si>
  <si>
    <t>Garrett County Memorial Hospital</t>
  </si>
  <si>
    <t>Anne Arundel Medical Center</t>
  </si>
  <si>
    <t>Harford Memorial Hospital</t>
  </si>
  <si>
    <t>Johns Hopkins Hospital</t>
  </si>
  <si>
    <t>Dorchester General Hospital</t>
  </si>
  <si>
    <t>St. Mary's Hospital</t>
  </si>
  <si>
    <t>Statewide Total</t>
  </si>
  <si>
    <t>HOSPITAL ID</t>
  </si>
  <si>
    <t>MERITUS</t>
  </si>
  <si>
    <t>UNIVERSITY OF MARYLAND</t>
  </si>
  <si>
    <t>PRINCE GEORGE</t>
  </si>
  <si>
    <t>HOLY CROSS</t>
  </si>
  <si>
    <t>FREDERICK MEMORIAL</t>
  </si>
  <si>
    <t>HARFORD</t>
  </si>
  <si>
    <t>MERCY</t>
  </si>
  <si>
    <t>JOHNS HOPKINS</t>
  </si>
  <si>
    <t>DORCHESTER</t>
  </si>
  <si>
    <t>ST. AGNES</t>
  </si>
  <si>
    <t>SINAI</t>
  </si>
  <si>
    <t>BON SECOURS</t>
  </si>
  <si>
    <t>FRANKLIN SQUARE</t>
  </si>
  <si>
    <t>WASHINGTON ADVENTIST</t>
  </si>
  <si>
    <t>GARRETT COUNTY</t>
  </si>
  <si>
    <t>MONTGOMERY GENERAL</t>
  </si>
  <si>
    <t>PENINSULA REGIONAL</t>
  </si>
  <si>
    <t>SUBURBAN</t>
  </si>
  <si>
    <t>ANNE ARUNDEL</t>
  </si>
  <si>
    <t>UNION MEMORIAL</t>
  </si>
  <si>
    <t>WESTERN MARYLAND HEALTH SYSTEM</t>
  </si>
  <si>
    <t>ST. MARY</t>
  </si>
  <si>
    <t>HOPKINS BAYVIEW MED CTR</t>
  </si>
  <si>
    <t>CHESTERTOWN</t>
  </si>
  <si>
    <t>UNION HOSPITAL  OF CECIL COUNT</t>
  </si>
  <si>
    <t>CARROLL COUNTY</t>
  </si>
  <si>
    <t>HARBOR</t>
  </si>
  <si>
    <t>CHARLES REGIONAL</t>
  </si>
  <si>
    <t>EASTON</t>
  </si>
  <si>
    <t>UMMC MIDTOWN</t>
  </si>
  <si>
    <t>CALVERT</t>
  </si>
  <si>
    <t>NORTHWEST</t>
  </si>
  <si>
    <t>BALTIMORE WASHINGTON MEDICAL CENTER</t>
  </si>
  <si>
    <t>G.B.M.C.</t>
  </si>
  <si>
    <t>MCCREADY</t>
  </si>
  <si>
    <t>HOWARD COUNTY</t>
  </si>
  <si>
    <t>UPPER CHESAPEAKE HEALTH</t>
  </si>
  <si>
    <t>DOCTORS COMMUNITY</t>
  </si>
  <si>
    <t>LAUREL REGIONAL</t>
  </si>
  <si>
    <t>GOOD SAMARITAN</t>
  </si>
  <si>
    <t>SHADY GROVE</t>
  </si>
  <si>
    <t>REHAB &amp; ORTHO</t>
  </si>
  <si>
    <t>FT. WASHINGTON</t>
  </si>
  <si>
    <t>ATLANTIC GENERAL</t>
  </si>
  <si>
    <t>SOUTHERN MARYLAND</t>
  </si>
  <si>
    <t>UM ST. JOSEPH</t>
  </si>
  <si>
    <t>STATE</t>
  </si>
  <si>
    <t>Estimated Inpatient RY 2016 Revenue (FY15*2.6%)</t>
  </si>
  <si>
    <t>QBR REVENUE NEUTRAL ADJUSTED REVENUE IMPACT OF SCALING 1.0% FY2015</t>
  </si>
  <si>
    <t>UM St. Joseph</t>
  </si>
  <si>
    <t>READMISSIONS  Scaling Adjustment FY2016 YTD</t>
  </si>
  <si>
    <t>COMBINE ALL 3 PROGRAMS</t>
  </si>
  <si>
    <t>Adjustment Ratio</t>
  </si>
  <si>
    <t>Overall  Limit for Reductions as $</t>
  </si>
  <si>
    <t>Overall  Limit for Reductions as % of Statewide Total Inpatient Revenue</t>
  </si>
  <si>
    <t>Reward</t>
  </si>
  <si>
    <t>Penalty</t>
  </si>
  <si>
    <t>$</t>
  </si>
  <si>
    <t>MAXIMUM PENALTY</t>
  </si>
  <si>
    <t>$ Adjustment</t>
  </si>
  <si>
    <t>% Adjustment</t>
  </si>
  <si>
    <t>Adjusted Amounts</t>
  </si>
  <si>
    <t>Projected MHAC SCORE For Performance Year with 5 % Improvement</t>
  </si>
  <si>
    <t>Base FY2014 Score</t>
  </si>
  <si>
    <t>Estimated Inpatient Revenue (FY15*2.6%)</t>
  </si>
  <si>
    <t>Hospital Name</t>
  </si>
  <si>
    <t>Hospital ID</t>
  </si>
  <si>
    <t>*Minimum and maximum scaling scores based on CY 2013 Final Data Attainment Scores</t>
  </si>
  <si>
    <t>No rewards</t>
  </si>
  <si>
    <t>Reward Threshold</t>
  </si>
  <si>
    <t>Penalty threshold:</t>
  </si>
  <si>
    <t>Scores greater than or equal to</t>
  </si>
  <si>
    <t>Scores less than or equal to</t>
  </si>
  <si>
    <t>Exceed State Quality Target</t>
  </si>
  <si>
    <t>Below State Quality Target</t>
  </si>
  <si>
    <t>Final MHAC Score</t>
  </si>
  <si>
    <t>Projected MHAC SCORE For Performance Year with 8 % Improvement</t>
  </si>
  <si>
    <t>MHAC $ Revenue Neutral Scaling Adjustment FY2016 (5% SW imp)</t>
  </si>
  <si>
    <t>% Inpatient Revenue</t>
  </si>
  <si>
    <t>MHAC</t>
  </si>
  <si>
    <t>QBR</t>
  </si>
  <si>
    <t>Readmissions</t>
  </si>
  <si>
    <t>Absolute %</t>
  </si>
  <si>
    <t>Absolute $</t>
  </si>
  <si>
    <t>Total Percent of Revenue</t>
  </si>
  <si>
    <t>QBR %</t>
  </si>
  <si>
    <t>MHAC %</t>
  </si>
  <si>
    <t>READ %</t>
  </si>
  <si>
    <t>Scenario 1: Scaling for Below State Quality Target</t>
  </si>
  <si>
    <t>CY 13 YTD Risk Adjusted Readmission Rate</t>
  </si>
  <si>
    <t>CY14 YTD RISK ADJUSTED RATE</t>
  </si>
  <si>
    <t>RRIP</t>
  </si>
  <si>
    <t>Shared Savings</t>
  </si>
  <si>
    <t>Rewards</t>
  </si>
  <si>
    <t>Penalties</t>
  </si>
  <si>
    <t>MHAC (8% Improvement)</t>
  </si>
  <si>
    <t>FY16 Scaling</t>
  </si>
  <si>
    <t>FY 17 Scaling</t>
  </si>
  <si>
    <t>FY 17 Adjustment</t>
  </si>
  <si>
    <t>Max Penalty</t>
  </si>
  <si>
    <t>MHAC Below target</t>
  </si>
  <si>
    <t>MHAC Above Target</t>
  </si>
  <si>
    <t>Statewide</t>
  </si>
  <si>
    <t>FY16 Reward</t>
  </si>
  <si>
    <t>Total</t>
  </si>
  <si>
    <t xml:space="preserve">All Payer Readmission Rate Change CY13-CY15 </t>
  </si>
  <si>
    <t>CY14</t>
  </si>
  <si>
    <t>CY13 Base Year Readmission Rate</t>
  </si>
  <si>
    <t>Required Reduction as a % of Inpatient Revenue</t>
  </si>
  <si>
    <t>Revenue Change Associated with Readmission Reduction</t>
  </si>
  <si>
    <t>Readmission Reduction Target Determination</t>
  </si>
  <si>
    <t>Cumulative All Payer Readmission Statewide Target</t>
  </si>
  <si>
    <t>CY 15 Estimated Readmission Rate</t>
  </si>
  <si>
    <t>CY 14 is based on Jan-October Data</t>
  </si>
  <si>
    <t>CY15 reductions are estimated to be the same as CY14.</t>
  </si>
  <si>
    <t xml:space="preserve">Revenue estimates are based on FY15. </t>
  </si>
  <si>
    <t>% Inpatient</t>
  </si>
  <si>
    <t>State</t>
  </si>
  <si>
    <t xml:space="preserve">GBR PAU: </t>
  </si>
  <si>
    <t>Max Reward</t>
  </si>
  <si>
    <t>Percent Inpatient Revenue</t>
  </si>
  <si>
    <t>MHAC (Below Target)</t>
  </si>
  <si>
    <t>Net Total Adjustment</t>
  </si>
  <si>
    <t>Percent Inpatient Rev</t>
  </si>
  <si>
    <t>Percent Total Rev</t>
  </si>
  <si>
    <t>Percent Total Revenue</t>
  </si>
  <si>
    <t>Maximum Net Impact as Percent Inpatient)</t>
  </si>
  <si>
    <t>MHAC Below Target</t>
  </si>
  <si>
    <t>Max Reduction</t>
  </si>
  <si>
    <t>Annual Target</t>
  </si>
  <si>
    <t>CY15*</t>
  </si>
  <si>
    <t>* For illustative purposes</t>
  </si>
  <si>
    <t>Medicare National - Potential IP revenue at risk absolute values</t>
  </si>
  <si>
    <t>1. Readmission Reduction Program Modeling FY2017</t>
  </si>
  <si>
    <t xml:space="preserve">2. Readmission Reduction Program Modeling for FY2017 </t>
  </si>
  <si>
    <t>5. Scaling for Penalties and Rewards based upon Final MHAC Scores</t>
  </si>
  <si>
    <t>4. QBR SCALING MODELING FOR FY2017</t>
  </si>
  <si>
    <t>3. Scaling for Penalties and Rewards based upon Final QBR Scores</t>
  </si>
  <si>
    <t>Net  Impact 
(Below Target)</t>
  </si>
  <si>
    <t>Net Impact 
(Above Target)</t>
  </si>
  <si>
    <t>MHAC 
(Below Target)</t>
  </si>
  <si>
    <t>MHAC 
(Above Target)</t>
  </si>
  <si>
    <t>Final QBR Score</t>
  </si>
  <si>
    <t>--</t>
  </si>
  <si>
    <t xml:space="preserve"> -20% or LOWER</t>
  </si>
  <si>
    <t>Over/Above Target From Target</t>
  </si>
  <si>
    <t xml:space="preserve">Higher </t>
  </si>
  <si>
    <t>Over/Under Target</t>
  </si>
  <si>
    <t>CY 15 ESTIMATED CUMULATIVE REDUCTION</t>
  </si>
  <si>
    <t>TARGET</t>
  </si>
  <si>
    <t>2. Single Continous Scale</t>
  </si>
  <si>
    <t>1.Single Scale with Uniform Rewards</t>
  </si>
  <si>
    <t>Shared Savings with additional -.2%</t>
  </si>
  <si>
    <t>SFY 2014</t>
  </si>
  <si>
    <t>SFY 2015</t>
  </si>
  <si>
    <t>SFY2016</t>
  </si>
  <si>
    <t>FFY 2014</t>
  </si>
  <si>
    <t>FFY 2015</t>
  </si>
  <si>
    <t>FFY2016</t>
  </si>
  <si>
    <t>FFY2017</t>
  </si>
  <si>
    <t>Maryland - Potential Inpatient Revenue at Risk absolute values</t>
  </si>
  <si>
    <t>SFY2017 (Proposed/estimated)</t>
  </si>
  <si>
    <t>*Italics are estimated numbers based on current policy.</t>
  </si>
  <si>
    <t>Total Rewards</t>
  </si>
  <si>
    <t>Net Revenue Impact</t>
  </si>
  <si>
    <t>Statewide Total Penalties</t>
  </si>
  <si>
    <t>Statewide Total Rewards</t>
  </si>
  <si>
    <t>C1</t>
  </si>
  <si>
    <t>C2</t>
  </si>
  <si>
    <t>C3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</si>
  <si>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</si>
  <si>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</si>
  <si>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</si>
  <si>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</si>
  <si>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</si>
  <si>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</si>
  <si>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</si>
  <si>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</si>
  <si>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</si>
  <si>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</si>
  <si>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</si>
  <si>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</si>
  <si>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QBR (Preset Scaling)</t>
  </si>
  <si>
    <t xml:space="preserve">Maximum Hospital Specific Adjustment </t>
  </si>
  <si>
    <t>Figure 3: Estimated Aggregate Impact of Maryland Quality Based Programs</t>
  </si>
  <si>
    <t>RRIP Proposed Scaling for FY2017</t>
  </si>
  <si>
    <t>A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</si>
  <si>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</si>
  <si>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</si>
  <si>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</si>
  <si>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</si>
  <si>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</si>
  <si>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</si>
  <si>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</si>
  <si>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</si>
  <si>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</si>
  <si>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</si>
  <si>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M</t>
  </si>
  <si>
    <t>N</t>
  </si>
  <si>
    <t>O</t>
  </si>
  <si>
    <t>Target</t>
  </si>
  <si>
    <t>G</t>
  </si>
  <si>
    <t>Revenue Savings from Reductions</t>
  </si>
  <si>
    <t>Q</t>
  </si>
  <si>
    <t>Fy 2017 Proposed Scaling $</t>
  </si>
  <si>
    <t>FY 17 Proposed Scaling %</t>
  </si>
  <si>
    <t xml:space="preserve"> QBR FINAL POINTS*</t>
  </si>
  <si>
    <t>* Based on FY2015 Scores.</t>
  </si>
  <si>
    <t>Minimum Score</t>
  </si>
  <si>
    <t>Median Score</t>
  </si>
  <si>
    <t>Maxium Score</t>
  </si>
  <si>
    <t>Total Penalty</t>
  </si>
  <si>
    <t>Program Specific Impact</t>
  </si>
  <si>
    <t xml:space="preserve"> Net Impact</t>
  </si>
  <si>
    <t>*Proposed</t>
  </si>
  <si>
    <t xml:space="preserve">Figure 1: Maryland Versus Medicare Quality Programs’ Potential Revenue at Risk, 2014-2016 </t>
  </si>
  <si>
    <t>RY 2017 Proposed Maximum Penalties and Rewards</t>
  </si>
  <si>
    <t>RRIP (Continuous Scale)</t>
  </si>
  <si>
    <t>MD Aggregate Maximum At Risk</t>
  </si>
  <si>
    <t>Medicare Aggregate Maximum At Risk</t>
  </si>
  <si>
    <t xml:space="preserve">PERCENT CHANGE in CY 14 IN RISK ADJUSTED RATE </t>
  </si>
  <si>
    <t>C*E= F</t>
  </si>
  <si>
    <t>peninsula regional</t>
  </si>
  <si>
    <t>holy cross</t>
  </si>
  <si>
    <t>suburban</t>
  </si>
  <si>
    <t>southern maryland</t>
  </si>
  <si>
    <t>g.b.m.c.</t>
  </si>
  <si>
    <t>howard county</t>
  </si>
  <si>
    <t>johns hopkins</t>
  </si>
  <si>
    <t>university of maryland</t>
  </si>
  <si>
    <t>union memorial</t>
  </si>
  <si>
    <t>carroll county</t>
  </si>
  <si>
    <t>anne arundel</t>
  </si>
  <si>
    <t>baltimore washington medical center</t>
  </si>
  <si>
    <t>doctors community</t>
  </si>
  <si>
    <t>northwest</t>
  </si>
  <si>
    <t>sinai</t>
  </si>
  <si>
    <t>harbor</t>
  </si>
  <si>
    <t>washington adventist</t>
  </si>
  <si>
    <t>upper chesapeake health</t>
  </si>
  <si>
    <t>um st. joseph</t>
  </si>
  <si>
    <t>meritus</t>
  </si>
  <si>
    <t>frederick memorial</t>
  </si>
  <si>
    <t>st. agnes</t>
  </si>
  <si>
    <t>montgomery general</t>
  </si>
  <si>
    <t>mercy</t>
  </si>
  <si>
    <t>dorchester</t>
  </si>
  <si>
    <t>western maryland health system</t>
  </si>
  <si>
    <t>laurel regional</t>
  </si>
  <si>
    <t>franklin square</t>
  </si>
  <si>
    <t>shady grove</t>
  </si>
  <si>
    <t>ummc midtown</t>
  </si>
  <si>
    <t>harford</t>
  </si>
  <si>
    <t>easton</t>
  </si>
  <si>
    <t>rehab &amp; ortho</t>
  </si>
  <si>
    <t>union hospital  of cecil count</t>
  </si>
  <si>
    <t>calvert</t>
  </si>
  <si>
    <t>prince george</t>
  </si>
  <si>
    <t>garrett county</t>
  </si>
  <si>
    <t>good samaritan</t>
  </si>
  <si>
    <t>hopkins bayview med ctr</t>
  </si>
  <si>
    <t>st. mary</t>
  </si>
  <si>
    <t>ft. washington</t>
  </si>
  <si>
    <t>atlantic general</t>
  </si>
  <si>
    <t>charles regional</t>
  </si>
  <si>
    <t>bon secours</t>
  </si>
  <si>
    <t>chestertown</t>
  </si>
  <si>
    <t>mccready</t>
  </si>
  <si>
    <t>Scenario 2: Scaling for Exceed Target</t>
  </si>
  <si>
    <t>C*F= G</t>
  </si>
  <si>
    <t>G/adj ratio = H</t>
  </si>
  <si>
    <t>C*J = K</t>
  </si>
  <si>
    <t>ID</t>
  </si>
  <si>
    <t>Maryland: (SFY 15)</t>
  </si>
  <si>
    <t>%tile (FY 15)</t>
  </si>
  <si>
    <t>Readmits</t>
  </si>
  <si>
    <t>GBR PAU</t>
  </si>
  <si>
    <t>Sum with PAU</t>
  </si>
  <si>
    <t xml:space="preserve">FY 15 Absolute % Average </t>
  </si>
  <si>
    <t>FY 15 Total Value Percent</t>
  </si>
  <si>
    <t>CMS National: (FFY 15)</t>
  </si>
  <si>
    <t>HAC</t>
  </si>
  <si>
    <t>VBP</t>
  </si>
  <si>
    <t>Sum</t>
  </si>
  <si>
    <t>FY 15 Absolute % Average</t>
  </si>
  <si>
    <t xml:space="preserve">Annual MD-US Difference </t>
  </si>
  <si>
    <t>Cummulative MD-US 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</si>
</sst>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00%"/>
    <numFmt numFmtId="166" formatCode="&quot;$&quot;#,##0"/>
    <numFmt numFmtId="167" formatCode="_(&quot;$&quot;* #,##0_);_(&quot;$&quot;* \(#,##0\);_(&quot;$&quot;* &quot;-&quot;??_);_(@_)"/>
    <numFmt numFmtId="168" formatCode="0.0000"/>
    <numFmt numFmtId="169" formatCode="0.0%"/>
    <numFmt numFmtId="170" formatCode="[$-409]mmm\-yy;@"/>
    <numFmt numFmtId="171" formatCode="General_)"/>
    <numFmt numFmtId="172" formatCode="&quot;$&quot;#,##0;[Red]&quot;$&quot;#,##0"/>
  </numFmts>
  <fonts count="9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sz val="11"/>
      <name val="Calibri"/>
      <family val="2"/>
    </font>
    <font>
      <u/>
      <sz val="12"/>
      <color indexed="12"/>
      <name val="Times New Roman"/>
      <family val="1"/>
    </font>
    <font>
      <sz val="10"/>
      <name val="Times New Roman"/>
      <family val="1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sz val="12"/>
      <name val="SWISS"/>
    </font>
    <font>
      <b/>
      <sz val="18"/>
      <name val="Arial"/>
      <family val="2"/>
    </font>
    <font>
      <u/>
      <sz val="12"/>
      <color theme="10"/>
      <name val="Arial"/>
      <family val="2"/>
    </font>
    <font>
      <sz val="10"/>
      <color theme="1"/>
      <name val="Arial"/>
      <family val="2"/>
    </font>
    <font>
      <b/>
      <sz val="12"/>
      <name val="Times New Roman"/>
      <family val="1"/>
    </font>
    <font>
      <b/>
      <sz val="14"/>
      <color theme="1"/>
      <name val="Times New Roman"/>
      <family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Arial, Helvetica, sans-serif"/>
    </font>
    <font>
      <sz val="8"/>
      <color rgb="FF000000"/>
      <name val="Arial, Albany AMT, Helvetica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theme="3"/>
      <name val="Calibri"/>
      <family val="2"/>
      <scheme val="minor"/>
    </font>
    <font>
      <i/>
      <sz val="11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u/>
      <sz val="10"/>
      <color rgb="FF004488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sz val="7"/>
      <name val="Helv"/>
    </font>
    <font>
      <sz val="6"/>
      <name val="Helv"/>
    </font>
    <font>
      <sz val="8"/>
      <name val="Helv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76933C"/>
      <name val="Calibri"/>
      <family val="2"/>
      <scheme val="minor"/>
    </font>
  </fonts>
  <fills count="7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8"/>
      </patternFill>
    </fill>
    <fill>
      <patternFill patternType="solid">
        <fgColor rgb="FFC5D9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B8CCE4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56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9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9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9" fillId="3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9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9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9" fillId="4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9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9" fillId="4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9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9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9" fillId="4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0" fillId="45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30" fillId="4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30" fillId="43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30" fillId="46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30" fillId="47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30" fillId="48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30" fillId="4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30" fillId="50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30" fillId="51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30" fillId="46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30" fillId="47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30" fillId="52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31" fillId="36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2" fillId="53" borderId="1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33" fillId="54" borderId="15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5" fontId="21" fillId="0" borderId="0" applyFont="0" applyFill="0" applyBorder="0" applyAlignment="0" applyProtection="0"/>
    <xf numFmtId="5" fontId="21" fillId="0" borderId="0" applyFont="0" applyFill="0" applyBorder="0" applyAlignment="0" applyProtection="0"/>
    <xf numFmtId="14" fontId="21" fillId="0" borderId="0" applyFont="0" applyFill="0" applyBorder="0" applyAlignment="0" applyProtection="0"/>
    <xf numFmtId="14" fontId="21" fillId="0" borderId="0" applyFont="0" applyFill="0" applyBorder="0" applyAlignment="0" applyProtection="0"/>
    <xf numFmtId="0" fontId="42" fillId="0" borderId="0" applyFont="0" applyBorder="0" applyAlignment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3" fontId="22" fillId="0" borderId="0" applyFont="0" applyFill="0" applyBorder="0" applyAlignment="0" applyProtection="0"/>
    <xf numFmtId="2" fontId="21" fillId="0" borderId="0" applyFont="0" applyFill="0" applyBorder="0" applyAlignment="0" applyProtection="0"/>
    <xf numFmtId="2" fontId="21" fillId="0" borderId="0" applyFont="0" applyFill="0" applyBorder="0" applyAlignment="0" applyProtection="0"/>
    <xf numFmtId="0" fontId="35" fillId="3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3" fontId="43" fillId="0" borderId="0" applyNumberFormat="0" applyFon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3" fontId="28" fillId="0" borderId="0" applyNumberFormat="0" applyFont="0" applyFill="0" applyAlignment="0" applyProtection="0"/>
    <xf numFmtId="3" fontId="28" fillId="0" borderId="0" applyNumberFormat="0" applyFon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36" fillId="0" borderId="16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3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37" fillId="40" borderId="1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38" fillId="0" borderId="17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39" fillId="55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2" fillId="0" borderId="0"/>
    <xf numFmtId="0" fontId="24" fillId="0" borderId="0"/>
    <xf numFmtId="0" fontId="18" fillId="0" borderId="0"/>
    <xf numFmtId="0" fontId="21" fillId="0" borderId="0"/>
    <xf numFmtId="0" fontId="18" fillId="0" borderId="0"/>
    <xf numFmtId="0" fontId="22" fillId="0" borderId="0"/>
    <xf numFmtId="0" fontId="21" fillId="0" borderId="0"/>
    <xf numFmtId="0" fontId="1" fillId="0" borderId="0"/>
    <xf numFmtId="0" fontId="24" fillId="0" borderId="0"/>
    <xf numFmtId="0" fontId="24" fillId="0" borderId="0"/>
    <xf numFmtId="0" fontId="22" fillId="0" borderId="0"/>
    <xf numFmtId="0" fontId="45" fillId="0" borderId="0"/>
    <xf numFmtId="0" fontId="25" fillId="0" borderId="0"/>
    <xf numFmtId="0" fontId="18" fillId="0" borderId="0"/>
    <xf numFmtId="0" fontId="27" fillId="0" borderId="0"/>
    <xf numFmtId="0" fontId="1" fillId="0" borderId="0"/>
    <xf numFmtId="0" fontId="22" fillId="0" borderId="0"/>
    <xf numFmtId="0" fontId="24" fillId="0" borderId="0"/>
    <xf numFmtId="0" fontId="24" fillId="56" borderId="1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41" fillId="57" borderId="0" applyNumberFormat="0" applyFont="0" applyFill="0" applyBorder="0" applyAlignment="0" applyProtection="0"/>
    <xf numFmtId="0" fontId="41" fillId="57" borderId="0" applyNumberFormat="0" applyFont="0" applyFill="0" applyBorder="0" applyAlignment="0" applyProtection="0"/>
    <xf numFmtId="0" fontId="40" fillId="53" borderId="19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3" fontId="21" fillId="0" borderId="20" applyNumberFormat="0" applyFont="0" applyBorder="0" applyAlignment="0" applyProtection="0"/>
    <xf numFmtId="3" fontId="21" fillId="0" borderId="20" applyNumberFormat="0" applyFont="0" applyBorder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4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4" fillId="0" borderId="0"/>
    <xf numFmtId="9" fontId="18" fillId="0" borderId="0" applyFont="0" applyFill="0" applyBorder="0" applyAlignment="0" applyProtection="0"/>
    <xf numFmtId="0" fontId="18" fillId="0" borderId="0"/>
    <xf numFmtId="0" fontId="1" fillId="0" borderId="0"/>
    <xf numFmtId="170" fontId="1" fillId="10" borderId="0" applyNumberFormat="0" applyBorder="0" applyAlignment="0" applyProtection="0"/>
    <xf numFmtId="170" fontId="1" fillId="35" borderId="0" applyNumberFormat="0" applyBorder="0" applyAlignment="0" applyProtection="0"/>
    <xf numFmtId="170" fontId="18" fillId="35" borderId="0" applyNumberFormat="0" applyBorder="0" applyAlignment="0" applyProtection="0"/>
    <xf numFmtId="170" fontId="18" fillId="35" borderId="0" applyNumberFormat="0" applyBorder="0" applyAlignment="0" applyProtection="0"/>
    <xf numFmtId="0" fontId="18" fillId="35" borderId="0" applyNumberFormat="0" applyBorder="0" applyAlignment="0" applyProtection="0"/>
    <xf numFmtId="17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170" fontId="1" fillId="14" borderId="0" applyNumberFormat="0" applyBorder="0" applyAlignment="0" applyProtection="0"/>
    <xf numFmtId="170" fontId="1" fillId="36" borderId="0" applyNumberFormat="0" applyBorder="0" applyAlignment="0" applyProtection="0"/>
    <xf numFmtId="170" fontId="18" fillId="36" borderId="0" applyNumberFormat="0" applyBorder="0" applyAlignment="0" applyProtection="0"/>
    <xf numFmtId="170" fontId="18" fillId="36" borderId="0" applyNumberFormat="0" applyBorder="0" applyAlignment="0" applyProtection="0"/>
    <xf numFmtId="0" fontId="18" fillId="36" borderId="0" applyNumberFormat="0" applyBorder="0" applyAlignment="0" applyProtection="0"/>
    <xf numFmtId="17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70" fontId="1" fillId="18" borderId="0" applyNumberFormat="0" applyBorder="0" applyAlignment="0" applyProtection="0"/>
    <xf numFmtId="170" fontId="1" fillId="37" borderId="0" applyNumberFormat="0" applyBorder="0" applyAlignment="0" applyProtection="0"/>
    <xf numFmtId="170" fontId="18" fillId="37" borderId="0" applyNumberFormat="0" applyBorder="0" applyAlignment="0" applyProtection="0"/>
    <xf numFmtId="170" fontId="18" fillId="37" borderId="0" applyNumberFormat="0" applyBorder="0" applyAlignment="0" applyProtection="0"/>
    <xf numFmtId="0" fontId="18" fillId="37" borderId="0" applyNumberFormat="0" applyBorder="0" applyAlignment="0" applyProtection="0"/>
    <xf numFmtId="17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170" fontId="1" fillId="22" borderId="0" applyNumberFormat="0" applyBorder="0" applyAlignment="0" applyProtection="0"/>
    <xf numFmtId="170" fontId="1" fillId="38" borderId="0" applyNumberFormat="0" applyBorder="0" applyAlignment="0" applyProtection="0"/>
    <xf numFmtId="170" fontId="18" fillId="38" borderId="0" applyNumberFormat="0" applyBorder="0" applyAlignment="0" applyProtection="0"/>
    <xf numFmtId="170" fontId="18" fillId="38" borderId="0" applyNumberFormat="0" applyBorder="0" applyAlignment="0" applyProtection="0"/>
    <xf numFmtId="0" fontId="18" fillId="38" borderId="0" applyNumberFormat="0" applyBorder="0" applyAlignment="0" applyProtection="0"/>
    <xf numFmtId="17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170" fontId="1" fillId="26" borderId="0" applyNumberFormat="0" applyBorder="0" applyAlignment="0" applyProtection="0"/>
    <xf numFmtId="170" fontId="18" fillId="39" borderId="0" applyNumberFormat="0" applyBorder="0" applyAlignment="0" applyProtection="0"/>
    <xf numFmtId="17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170" fontId="1" fillId="30" borderId="0" applyNumberFormat="0" applyBorder="0" applyAlignment="0" applyProtection="0"/>
    <xf numFmtId="170" fontId="18" fillId="40" borderId="0" applyNumberFormat="0" applyBorder="0" applyAlignment="0" applyProtection="0"/>
    <xf numFmtId="17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70" fontId="1" fillId="11" borderId="0" applyNumberFormat="0" applyBorder="0" applyAlignment="0" applyProtection="0"/>
    <xf numFmtId="170" fontId="18" fillId="41" borderId="0" applyNumberFormat="0" applyBorder="0" applyAlignment="0" applyProtection="0"/>
    <xf numFmtId="17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170" fontId="1" fillId="15" borderId="0" applyNumberFormat="0" applyBorder="0" applyAlignment="0" applyProtection="0"/>
    <xf numFmtId="170" fontId="18" fillId="42" borderId="0" applyNumberFormat="0" applyBorder="0" applyAlignment="0" applyProtection="0"/>
    <xf numFmtId="17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170" fontId="1" fillId="19" borderId="0" applyNumberFormat="0" applyBorder="0" applyAlignment="0" applyProtection="0"/>
    <xf numFmtId="170" fontId="1" fillId="43" borderId="0" applyNumberFormat="0" applyBorder="0" applyAlignment="0" applyProtection="0"/>
    <xf numFmtId="170" fontId="18" fillId="43" borderId="0" applyNumberFormat="0" applyBorder="0" applyAlignment="0" applyProtection="0"/>
    <xf numFmtId="170" fontId="18" fillId="43" borderId="0" applyNumberFormat="0" applyBorder="0" applyAlignment="0" applyProtection="0"/>
    <xf numFmtId="0" fontId="18" fillId="43" borderId="0" applyNumberFormat="0" applyBorder="0" applyAlignment="0" applyProtection="0"/>
    <xf numFmtId="17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170" fontId="1" fillId="23" borderId="0" applyNumberFormat="0" applyBorder="0" applyAlignment="0" applyProtection="0"/>
    <xf numFmtId="170" fontId="18" fillId="38" borderId="0" applyNumberFormat="0" applyBorder="0" applyAlignment="0" applyProtection="0"/>
    <xf numFmtId="17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170" fontId="1" fillId="27" borderId="0" applyNumberFormat="0" applyBorder="0" applyAlignment="0" applyProtection="0"/>
    <xf numFmtId="170" fontId="18" fillId="41" borderId="0" applyNumberFormat="0" applyBorder="0" applyAlignment="0" applyProtection="0"/>
    <xf numFmtId="17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170" fontId="1" fillId="31" borderId="0" applyNumberFormat="0" applyBorder="0" applyAlignment="0" applyProtection="0"/>
    <xf numFmtId="170" fontId="18" fillId="44" borderId="0" applyNumberFormat="0" applyBorder="0" applyAlignment="0" applyProtection="0"/>
    <xf numFmtId="17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70" fontId="17" fillId="12" borderId="0" applyNumberFormat="0" applyBorder="0" applyAlignment="0" applyProtection="0"/>
    <xf numFmtId="170" fontId="61" fillId="45" borderId="0" applyNumberFormat="0" applyBorder="0" applyAlignment="0" applyProtection="0"/>
    <xf numFmtId="170" fontId="61" fillId="45" borderId="0" applyNumberFormat="0" applyBorder="0" applyAlignment="0" applyProtection="0"/>
    <xf numFmtId="0" fontId="61" fillId="45" borderId="0" applyNumberFormat="0" applyBorder="0" applyAlignment="0" applyProtection="0"/>
    <xf numFmtId="0" fontId="17" fillId="12" borderId="0" applyNumberFormat="0" applyBorder="0" applyAlignment="0" applyProtection="0"/>
    <xf numFmtId="170" fontId="17" fillId="16" borderId="0" applyNumberFormat="0" applyBorder="0" applyAlignment="0" applyProtection="0"/>
    <xf numFmtId="170" fontId="61" fillId="42" borderId="0" applyNumberFormat="0" applyBorder="0" applyAlignment="0" applyProtection="0"/>
    <xf numFmtId="170" fontId="61" fillId="42" borderId="0" applyNumberFormat="0" applyBorder="0" applyAlignment="0" applyProtection="0"/>
    <xf numFmtId="0" fontId="61" fillId="42" borderId="0" applyNumberFormat="0" applyBorder="0" applyAlignment="0" applyProtection="0"/>
    <xf numFmtId="0" fontId="17" fillId="16" borderId="0" applyNumberFormat="0" applyBorder="0" applyAlignment="0" applyProtection="0"/>
    <xf numFmtId="170" fontId="17" fillId="20" borderId="0" applyNumberFormat="0" applyBorder="0" applyAlignment="0" applyProtection="0"/>
    <xf numFmtId="170" fontId="17" fillId="43" borderId="0" applyNumberFormat="0" applyBorder="0" applyAlignment="0" applyProtection="0"/>
    <xf numFmtId="170" fontId="61" fillId="43" borderId="0" applyNumberFormat="0" applyBorder="0" applyAlignment="0" applyProtection="0"/>
    <xf numFmtId="170" fontId="61" fillId="43" borderId="0" applyNumberFormat="0" applyBorder="0" applyAlignment="0" applyProtection="0"/>
    <xf numFmtId="0" fontId="61" fillId="43" borderId="0" applyNumberFormat="0" applyBorder="0" applyAlignment="0" applyProtection="0"/>
    <xf numFmtId="170" fontId="17" fillId="20" borderId="0" applyNumberFormat="0" applyBorder="0" applyAlignment="0" applyProtection="0"/>
    <xf numFmtId="0" fontId="17" fillId="20" borderId="0" applyNumberFormat="0" applyBorder="0" applyAlignment="0" applyProtection="0"/>
    <xf numFmtId="170" fontId="17" fillId="24" borderId="0" applyNumberFormat="0" applyBorder="0" applyAlignment="0" applyProtection="0"/>
    <xf numFmtId="170" fontId="17" fillId="46" borderId="0" applyNumberFormat="0" applyBorder="0" applyAlignment="0" applyProtection="0"/>
    <xf numFmtId="170" fontId="61" fillId="46" borderId="0" applyNumberFormat="0" applyBorder="0" applyAlignment="0" applyProtection="0"/>
    <xf numFmtId="170" fontId="61" fillId="46" borderId="0" applyNumberFormat="0" applyBorder="0" applyAlignment="0" applyProtection="0"/>
    <xf numFmtId="0" fontId="61" fillId="46" borderId="0" applyNumberFormat="0" applyBorder="0" applyAlignment="0" applyProtection="0"/>
    <xf numFmtId="170" fontId="17" fillId="24" borderId="0" applyNumberFormat="0" applyBorder="0" applyAlignment="0" applyProtection="0"/>
    <xf numFmtId="0" fontId="17" fillId="24" borderId="0" applyNumberFormat="0" applyBorder="0" applyAlignment="0" applyProtection="0"/>
    <xf numFmtId="170" fontId="17" fillId="28" borderId="0" applyNumberFormat="0" applyBorder="0" applyAlignment="0" applyProtection="0"/>
    <xf numFmtId="170" fontId="61" fillId="47" borderId="0" applyNumberFormat="0" applyBorder="0" applyAlignment="0" applyProtection="0"/>
    <xf numFmtId="17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17" fillId="28" borderId="0" applyNumberFormat="0" applyBorder="0" applyAlignment="0" applyProtection="0"/>
    <xf numFmtId="170" fontId="17" fillId="32" borderId="0" applyNumberFormat="0" applyBorder="0" applyAlignment="0" applyProtection="0"/>
    <xf numFmtId="170" fontId="17" fillId="48" borderId="0" applyNumberFormat="0" applyBorder="0" applyAlignment="0" applyProtection="0"/>
    <xf numFmtId="170" fontId="61" fillId="48" borderId="0" applyNumberFormat="0" applyBorder="0" applyAlignment="0" applyProtection="0"/>
    <xf numFmtId="170" fontId="61" fillId="48" borderId="0" applyNumberFormat="0" applyBorder="0" applyAlignment="0" applyProtection="0"/>
    <xf numFmtId="0" fontId="61" fillId="48" borderId="0" applyNumberFormat="0" applyBorder="0" applyAlignment="0" applyProtection="0"/>
    <xf numFmtId="170" fontId="17" fillId="32" borderId="0" applyNumberFormat="0" applyBorder="0" applyAlignment="0" applyProtection="0"/>
    <xf numFmtId="0" fontId="17" fillId="32" borderId="0" applyNumberFormat="0" applyBorder="0" applyAlignment="0" applyProtection="0"/>
    <xf numFmtId="170" fontId="17" fillId="9" borderId="0" applyNumberFormat="0" applyBorder="0" applyAlignment="0" applyProtection="0"/>
    <xf numFmtId="170" fontId="61" fillId="49" borderId="0" applyNumberFormat="0" applyBorder="0" applyAlignment="0" applyProtection="0"/>
    <xf numFmtId="170" fontId="61" fillId="49" borderId="0" applyNumberFormat="0" applyBorder="0" applyAlignment="0" applyProtection="0"/>
    <xf numFmtId="0" fontId="61" fillId="49" borderId="0" applyNumberFormat="0" applyBorder="0" applyAlignment="0" applyProtection="0"/>
    <xf numFmtId="0" fontId="17" fillId="9" borderId="0" applyNumberFormat="0" applyBorder="0" applyAlignment="0" applyProtection="0"/>
    <xf numFmtId="170" fontId="17" fillId="13" borderId="0" applyNumberFormat="0" applyBorder="0" applyAlignment="0" applyProtection="0"/>
    <xf numFmtId="170" fontId="61" fillId="50" borderId="0" applyNumberFormat="0" applyBorder="0" applyAlignment="0" applyProtection="0"/>
    <xf numFmtId="170" fontId="61" fillId="50" borderId="0" applyNumberFormat="0" applyBorder="0" applyAlignment="0" applyProtection="0"/>
    <xf numFmtId="0" fontId="61" fillId="50" borderId="0" applyNumberFormat="0" applyBorder="0" applyAlignment="0" applyProtection="0"/>
    <xf numFmtId="0" fontId="17" fillId="13" borderId="0" applyNumberFormat="0" applyBorder="0" applyAlignment="0" applyProtection="0"/>
    <xf numFmtId="170" fontId="17" fillId="17" borderId="0" applyNumberFormat="0" applyBorder="0" applyAlignment="0" applyProtection="0"/>
    <xf numFmtId="170" fontId="61" fillId="51" borderId="0" applyNumberFormat="0" applyBorder="0" applyAlignment="0" applyProtection="0"/>
    <xf numFmtId="170" fontId="61" fillId="51" borderId="0" applyNumberFormat="0" applyBorder="0" applyAlignment="0" applyProtection="0"/>
    <xf numFmtId="0" fontId="61" fillId="51" borderId="0" applyNumberFormat="0" applyBorder="0" applyAlignment="0" applyProtection="0"/>
    <xf numFmtId="0" fontId="17" fillId="17" borderId="0" applyNumberFormat="0" applyBorder="0" applyAlignment="0" applyProtection="0"/>
    <xf numFmtId="170" fontId="17" fillId="21" borderId="0" applyNumberFormat="0" applyBorder="0" applyAlignment="0" applyProtection="0"/>
    <xf numFmtId="170" fontId="61" fillId="46" borderId="0" applyNumberFormat="0" applyBorder="0" applyAlignment="0" applyProtection="0"/>
    <xf numFmtId="170" fontId="61" fillId="46" borderId="0" applyNumberFormat="0" applyBorder="0" applyAlignment="0" applyProtection="0"/>
    <xf numFmtId="0" fontId="61" fillId="46" borderId="0" applyNumberFormat="0" applyBorder="0" applyAlignment="0" applyProtection="0"/>
    <xf numFmtId="0" fontId="17" fillId="21" borderId="0" applyNumberFormat="0" applyBorder="0" applyAlignment="0" applyProtection="0"/>
    <xf numFmtId="170" fontId="17" fillId="25" borderId="0" applyNumberFormat="0" applyBorder="0" applyAlignment="0" applyProtection="0"/>
    <xf numFmtId="170" fontId="61" fillId="47" borderId="0" applyNumberFormat="0" applyBorder="0" applyAlignment="0" applyProtection="0"/>
    <xf numFmtId="170" fontId="61" fillId="47" borderId="0" applyNumberFormat="0" applyBorder="0" applyAlignment="0" applyProtection="0"/>
    <xf numFmtId="0" fontId="61" fillId="47" borderId="0" applyNumberFormat="0" applyBorder="0" applyAlignment="0" applyProtection="0"/>
    <xf numFmtId="0" fontId="17" fillId="25" borderId="0" applyNumberFormat="0" applyBorder="0" applyAlignment="0" applyProtection="0"/>
    <xf numFmtId="170" fontId="17" fillId="29" borderId="0" applyNumberFormat="0" applyBorder="0" applyAlignment="0" applyProtection="0"/>
    <xf numFmtId="170" fontId="61" fillId="52" borderId="0" applyNumberFormat="0" applyBorder="0" applyAlignment="0" applyProtection="0"/>
    <xf numFmtId="170" fontId="61" fillId="52" borderId="0" applyNumberFormat="0" applyBorder="0" applyAlignment="0" applyProtection="0"/>
    <xf numFmtId="0" fontId="61" fillId="52" borderId="0" applyNumberFormat="0" applyBorder="0" applyAlignment="0" applyProtection="0"/>
    <xf numFmtId="0" fontId="17" fillId="29" borderId="0" applyNumberFormat="0" applyBorder="0" applyAlignment="0" applyProtection="0"/>
    <xf numFmtId="170" fontId="7" fillId="3" borderId="0" applyNumberFormat="0" applyBorder="0" applyAlignment="0" applyProtection="0"/>
    <xf numFmtId="170" fontId="62" fillId="36" borderId="0" applyNumberFormat="0" applyBorder="0" applyAlignment="0" applyProtection="0"/>
    <xf numFmtId="170" fontId="62" fillId="36" borderId="0" applyNumberFormat="0" applyBorder="0" applyAlignment="0" applyProtection="0"/>
    <xf numFmtId="0" fontId="62" fillId="36" borderId="0" applyNumberFormat="0" applyBorder="0" applyAlignment="0" applyProtection="0"/>
    <xf numFmtId="0" fontId="7" fillId="3" borderId="0" applyNumberFormat="0" applyBorder="0" applyAlignment="0" applyProtection="0"/>
    <xf numFmtId="170" fontId="11" fillId="6" borderId="4" applyNumberFormat="0" applyAlignment="0" applyProtection="0"/>
    <xf numFmtId="170" fontId="63" fillId="53" borderId="14" applyNumberFormat="0" applyAlignment="0" applyProtection="0"/>
    <xf numFmtId="170" fontId="63" fillId="53" borderId="14" applyNumberFormat="0" applyAlignment="0" applyProtection="0"/>
    <xf numFmtId="170" fontId="63" fillId="53" borderId="14" applyNumberFormat="0" applyAlignment="0" applyProtection="0"/>
    <xf numFmtId="170" fontId="63" fillId="53" borderId="14" applyNumberFormat="0" applyAlignment="0" applyProtection="0"/>
    <xf numFmtId="170" fontId="63" fillId="53" borderId="14" applyNumberFormat="0" applyAlignment="0" applyProtection="0"/>
    <xf numFmtId="170" fontId="63" fillId="53" borderId="14" applyNumberFormat="0" applyAlignment="0" applyProtection="0"/>
    <xf numFmtId="0" fontId="63" fillId="53" borderId="14" applyNumberFormat="0" applyAlignment="0" applyProtection="0"/>
    <xf numFmtId="0" fontId="63" fillId="53" borderId="14" applyNumberFormat="0" applyAlignment="0" applyProtection="0"/>
    <xf numFmtId="0" fontId="63" fillId="53" borderId="14" applyNumberFormat="0" applyAlignment="0" applyProtection="0"/>
    <xf numFmtId="0" fontId="63" fillId="53" borderId="14" applyNumberFormat="0" applyAlignment="0" applyProtection="0"/>
    <xf numFmtId="0" fontId="63" fillId="53" borderId="14" applyNumberFormat="0" applyAlignment="0" applyProtection="0"/>
    <xf numFmtId="0" fontId="11" fillId="6" borderId="4" applyNumberFormat="0" applyAlignment="0" applyProtection="0"/>
    <xf numFmtId="170" fontId="13" fillId="7" borderId="7" applyNumberFormat="0" applyAlignment="0" applyProtection="0"/>
    <xf numFmtId="170" fontId="64" fillId="54" borderId="15" applyNumberFormat="0" applyAlignment="0" applyProtection="0"/>
    <xf numFmtId="170" fontId="64" fillId="54" borderId="15" applyNumberFormat="0" applyAlignment="0" applyProtection="0"/>
    <xf numFmtId="0" fontId="64" fillId="54" borderId="15" applyNumberFormat="0" applyAlignment="0" applyProtection="0"/>
    <xf numFmtId="0" fontId="13" fillId="7" borderId="7" applyNumberFormat="0" applyAlignment="0" applyProtection="0"/>
    <xf numFmtId="43" fontId="25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8" fillId="0" borderId="0" applyFont="0" applyFill="0" applyBorder="0" applyAlignment="0" applyProtection="0"/>
    <xf numFmtId="170" fontId="15" fillId="0" borderId="0" applyNumberFormat="0" applyFill="0" applyBorder="0" applyAlignment="0" applyProtection="0"/>
    <xf numFmtId="170" fontId="65" fillId="0" borderId="0" applyNumberFormat="0" applyFill="0" applyBorder="0" applyAlignment="0" applyProtection="0"/>
    <xf numFmtId="17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170" fontId="6" fillId="2" borderId="0" applyNumberFormat="0" applyBorder="0" applyAlignment="0" applyProtection="0"/>
    <xf numFmtId="170" fontId="67" fillId="37" borderId="0" applyNumberFormat="0" applyBorder="0" applyAlignment="0" applyProtection="0"/>
    <xf numFmtId="170" fontId="67" fillId="37" borderId="0" applyNumberFormat="0" applyBorder="0" applyAlignment="0" applyProtection="0"/>
    <xf numFmtId="0" fontId="67" fillId="37" borderId="0" applyNumberFormat="0" applyBorder="0" applyAlignment="0" applyProtection="0"/>
    <xf numFmtId="0" fontId="6" fillId="2" borderId="0" applyNumberFormat="0" applyBorder="0" applyAlignment="0" applyProtection="0"/>
    <xf numFmtId="170" fontId="3" fillId="0" borderId="1" applyNumberFormat="0" applyFill="0" applyAlignment="0" applyProtection="0"/>
    <xf numFmtId="170" fontId="68" fillId="0" borderId="47" applyNumberFormat="0" applyFill="0" applyAlignment="0" applyProtection="0"/>
    <xf numFmtId="170" fontId="68" fillId="0" borderId="47" applyNumberFormat="0" applyFill="0" applyAlignment="0" applyProtection="0"/>
    <xf numFmtId="0" fontId="68" fillId="0" borderId="47" applyNumberFormat="0" applyFill="0" applyAlignment="0" applyProtection="0"/>
    <xf numFmtId="0" fontId="3" fillId="0" borderId="1" applyNumberFormat="0" applyFill="0" applyAlignment="0" applyProtection="0"/>
    <xf numFmtId="170" fontId="4" fillId="0" borderId="2" applyNumberFormat="0" applyFill="0" applyAlignment="0" applyProtection="0"/>
    <xf numFmtId="170" fontId="69" fillId="0" borderId="48" applyNumberFormat="0" applyFill="0" applyAlignment="0" applyProtection="0"/>
    <xf numFmtId="0" fontId="69" fillId="0" borderId="48" applyNumberFormat="0" applyFill="0" applyAlignment="0" applyProtection="0"/>
    <xf numFmtId="0" fontId="4" fillId="0" borderId="2" applyNumberFormat="0" applyFill="0" applyAlignment="0" applyProtection="0"/>
    <xf numFmtId="170" fontId="5" fillId="0" borderId="3" applyNumberFormat="0" applyFill="0" applyAlignment="0" applyProtection="0"/>
    <xf numFmtId="170" fontId="70" fillId="0" borderId="49" applyNumberFormat="0" applyFill="0" applyAlignment="0" applyProtection="0"/>
    <xf numFmtId="170" fontId="70" fillId="0" borderId="49" applyNumberFormat="0" applyFill="0" applyAlignment="0" applyProtection="0"/>
    <xf numFmtId="0" fontId="70" fillId="0" borderId="49" applyNumberFormat="0" applyFill="0" applyAlignment="0" applyProtection="0"/>
    <xf numFmtId="0" fontId="5" fillId="0" borderId="3" applyNumberFormat="0" applyFill="0" applyAlignment="0" applyProtection="0"/>
    <xf numFmtId="170" fontId="5" fillId="0" borderId="0" applyNumberFormat="0" applyFill="0" applyBorder="0" applyAlignment="0" applyProtection="0"/>
    <xf numFmtId="170" fontId="70" fillId="0" borderId="0" applyNumberFormat="0" applyFill="0" applyBorder="0" applyAlignment="0" applyProtection="0"/>
    <xf numFmtId="17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0" fontId="9" fillId="5" borderId="4" applyNumberFormat="0" applyAlignment="0" applyProtection="0"/>
    <xf numFmtId="170" fontId="71" fillId="40" borderId="14" applyNumberFormat="0" applyAlignment="0" applyProtection="0"/>
    <xf numFmtId="170" fontId="71" fillId="40" borderId="14" applyNumberFormat="0" applyAlignment="0" applyProtection="0"/>
    <xf numFmtId="170" fontId="71" fillId="40" borderId="14" applyNumberFormat="0" applyAlignment="0" applyProtection="0"/>
    <xf numFmtId="170" fontId="71" fillId="40" borderId="14" applyNumberFormat="0" applyAlignment="0" applyProtection="0"/>
    <xf numFmtId="170" fontId="71" fillId="40" borderId="14" applyNumberFormat="0" applyAlignment="0" applyProtection="0"/>
    <xf numFmtId="170" fontId="71" fillId="40" borderId="14" applyNumberFormat="0" applyAlignment="0" applyProtection="0"/>
    <xf numFmtId="0" fontId="71" fillId="40" borderId="14" applyNumberFormat="0" applyAlignment="0" applyProtection="0"/>
    <xf numFmtId="0" fontId="71" fillId="40" borderId="14" applyNumberFormat="0" applyAlignment="0" applyProtection="0"/>
    <xf numFmtId="0" fontId="71" fillId="40" borderId="14" applyNumberFormat="0" applyAlignment="0" applyProtection="0"/>
    <xf numFmtId="0" fontId="71" fillId="40" borderId="14" applyNumberFormat="0" applyAlignment="0" applyProtection="0"/>
    <xf numFmtId="0" fontId="71" fillId="40" borderId="14" applyNumberFormat="0" applyAlignment="0" applyProtection="0"/>
    <xf numFmtId="0" fontId="9" fillId="5" borderId="4" applyNumberFormat="0" applyAlignment="0" applyProtection="0"/>
    <xf numFmtId="170" fontId="12" fillId="0" borderId="6" applyNumberFormat="0" applyFill="0" applyAlignment="0" applyProtection="0"/>
    <xf numFmtId="170" fontId="72" fillId="0" borderId="17" applyNumberFormat="0" applyFill="0" applyAlignment="0" applyProtection="0"/>
    <xf numFmtId="170" fontId="72" fillId="0" borderId="17" applyNumberFormat="0" applyFill="0" applyAlignment="0" applyProtection="0"/>
    <xf numFmtId="0" fontId="72" fillId="0" borderId="17" applyNumberFormat="0" applyFill="0" applyAlignment="0" applyProtection="0"/>
    <xf numFmtId="0" fontId="12" fillId="0" borderId="6" applyNumberFormat="0" applyFill="0" applyAlignment="0" applyProtection="0"/>
    <xf numFmtId="170" fontId="8" fillId="4" borderId="0" applyNumberFormat="0" applyBorder="0" applyAlignment="0" applyProtection="0"/>
    <xf numFmtId="170" fontId="73" fillId="55" borderId="0" applyNumberFormat="0" applyBorder="0" applyAlignment="0" applyProtection="0"/>
    <xf numFmtId="170" fontId="73" fillId="55" borderId="0" applyNumberFormat="0" applyBorder="0" applyAlignment="0" applyProtection="0"/>
    <xf numFmtId="0" fontId="73" fillId="55" borderId="0" applyNumberFormat="0" applyBorder="0" applyAlignment="0" applyProtection="0"/>
    <xf numFmtId="0" fontId="8" fillId="4" borderId="0" applyNumberFormat="0" applyBorder="0" applyAlignment="0" applyProtection="0"/>
    <xf numFmtId="0" fontId="74" fillId="0" borderId="0"/>
    <xf numFmtId="0" fontId="74" fillId="0" borderId="0"/>
    <xf numFmtId="0" fontId="1" fillId="0" borderId="0"/>
    <xf numFmtId="170" fontId="1" fillId="0" borderId="0"/>
    <xf numFmtId="170" fontId="1" fillId="0" borderId="0"/>
    <xf numFmtId="170" fontId="24" fillId="0" borderId="0"/>
    <xf numFmtId="170" fontId="1" fillId="0" borderId="0"/>
    <xf numFmtId="0" fontId="24" fillId="0" borderId="0"/>
    <xf numFmtId="170" fontId="24" fillId="0" borderId="0"/>
    <xf numFmtId="170" fontId="24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22" fillId="0" borderId="0"/>
    <xf numFmtId="171" fontId="75" fillId="0" borderId="0"/>
    <xf numFmtId="0" fontId="42" fillId="0" borderId="0"/>
    <xf numFmtId="0" fontId="22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74" fillId="0" borderId="0"/>
    <xf numFmtId="171" fontId="76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42" fillId="0" borderId="0"/>
    <xf numFmtId="0" fontId="45" fillId="0" borderId="0"/>
    <xf numFmtId="170" fontId="1" fillId="0" borderId="0"/>
    <xf numFmtId="37" fontId="77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170" fontId="42" fillId="0" borderId="0"/>
    <xf numFmtId="170" fontId="1" fillId="0" borderId="0"/>
    <xf numFmtId="171" fontId="77" fillId="0" borderId="0"/>
    <xf numFmtId="0" fontId="25" fillId="0" borderId="0"/>
    <xf numFmtId="0" fontId="25" fillId="0" borderId="0"/>
    <xf numFmtId="170" fontId="42" fillId="0" borderId="0"/>
    <xf numFmtId="170" fontId="42" fillId="0" borderId="0"/>
    <xf numFmtId="170" fontId="1" fillId="0" borderId="0"/>
    <xf numFmtId="0" fontId="24" fillId="0" borderId="0"/>
    <xf numFmtId="0" fontId="42" fillId="0" borderId="0"/>
    <xf numFmtId="170" fontId="42" fillId="0" borderId="0"/>
    <xf numFmtId="170" fontId="42" fillId="0" borderId="0"/>
    <xf numFmtId="172" fontId="21" fillId="0" borderId="0">
      <alignment wrapText="1"/>
    </xf>
    <xf numFmtId="0" fontId="42" fillId="0" borderId="0"/>
    <xf numFmtId="170" fontId="42" fillId="0" borderId="0"/>
    <xf numFmtId="170" fontId="42" fillId="0" borderId="0"/>
    <xf numFmtId="170" fontId="1" fillId="8" borderId="8" applyNumberFormat="0" applyFont="0" applyAlignment="0" applyProtection="0"/>
    <xf numFmtId="170" fontId="18" fillId="8" borderId="8" applyNumberFormat="0" applyFont="0" applyAlignment="0" applyProtection="0"/>
    <xf numFmtId="170" fontId="18" fillId="8" borderId="8" applyNumberFormat="0" applyFont="0" applyAlignment="0" applyProtection="0"/>
    <xf numFmtId="0" fontId="18" fillId="8" borderId="8" applyNumberFormat="0" applyFont="0" applyAlignment="0" applyProtection="0"/>
    <xf numFmtId="170" fontId="18" fillId="56" borderId="18" applyNumberFormat="0" applyFont="0" applyAlignment="0" applyProtection="0"/>
    <xf numFmtId="170" fontId="18" fillId="56" borderId="18" applyNumberFormat="0" applyFont="0" applyAlignment="0" applyProtection="0"/>
    <xf numFmtId="170" fontId="18" fillId="56" borderId="18" applyNumberFormat="0" applyFont="0" applyAlignment="0" applyProtection="0"/>
    <xf numFmtId="170" fontId="18" fillId="56" borderId="18" applyNumberFormat="0" applyFont="0" applyAlignment="0" applyProtection="0"/>
    <xf numFmtId="170" fontId="18" fillId="56" borderId="18" applyNumberFormat="0" applyFont="0" applyAlignment="0" applyProtection="0"/>
    <xf numFmtId="170" fontId="18" fillId="56" borderId="18" applyNumberFormat="0" applyFont="0" applyAlignment="0" applyProtection="0"/>
    <xf numFmtId="0" fontId="18" fillId="56" borderId="18" applyNumberFormat="0" applyFont="0" applyAlignment="0" applyProtection="0"/>
    <xf numFmtId="0" fontId="18" fillId="56" borderId="18" applyNumberFormat="0" applyFont="0" applyAlignment="0" applyProtection="0"/>
    <xf numFmtId="0" fontId="18" fillId="56" borderId="18" applyNumberFormat="0" applyFont="0" applyAlignment="0" applyProtection="0"/>
    <xf numFmtId="0" fontId="18" fillId="56" borderId="18" applyNumberFormat="0" applyFont="0" applyAlignment="0" applyProtection="0"/>
    <xf numFmtId="0" fontId="18" fillId="56" borderId="18" applyNumberFormat="0" applyFont="0" applyAlignment="0" applyProtection="0"/>
    <xf numFmtId="17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70" fontId="10" fillId="6" borderId="5" applyNumberFormat="0" applyAlignment="0" applyProtection="0"/>
    <xf numFmtId="170" fontId="78" fillId="53" borderId="19" applyNumberFormat="0" applyAlignment="0" applyProtection="0"/>
    <xf numFmtId="170" fontId="78" fillId="53" borderId="19" applyNumberFormat="0" applyAlignment="0" applyProtection="0"/>
    <xf numFmtId="170" fontId="78" fillId="53" borderId="19" applyNumberFormat="0" applyAlignment="0" applyProtection="0"/>
    <xf numFmtId="170" fontId="78" fillId="53" borderId="19" applyNumberFormat="0" applyAlignment="0" applyProtection="0"/>
    <xf numFmtId="170" fontId="78" fillId="53" borderId="19" applyNumberFormat="0" applyAlignment="0" applyProtection="0"/>
    <xf numFmtId="170" fontId="78" fillId="53" borderId="19" applyNumberFormat="0" applyAlignment="0" applyProtection="0"/>
    <xf numFmtId="0" fontId="78" fillId="53" borderId="19" applyNumberFormat="0" applyAlignment="0" applyProtection="0"/>
    <xf numFmtId="0" fontId="78" fillId="53" borderId="19" applyNumberFormat="0" applyAlignment="0" applyProtection="0"/>
    <xf numFmtId="0" fontId="78" fillId="53" borderId="19" applyNumberFormat="0" applyAlignment="0" applyProtection="0"/>
    <xf numFmtId="0" fontId="10" fillId="6" borderId="5" applyNumberFormat="0" applyAlignment="0" applyProtection="0"/>
    <xf numFmtId="9" fontId="24" fillId="0" borderId="0" applyFont="0" applyFill="0" applyBorder="0" applyAlignment="0" applyProtection="0"/>
    <xf numFmtId="17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7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70" fontId="16" fillId="0" borderId="9" applyNumberFormat="0" applyFill="0" applyAlignment="0" applyProtection="0"/>
    <xf numFmtId="170" fontId="79" fillId="0" borderId="50" applyNumberFormat="0" applyFill="0" applyAlignment="0" applyProtection="0"/>
    <xf numFmtId="170" fontId="79" fillId="0" borderId="50" applyNumberFormat="0" applyFill="0" applyAlignment="0" applyProtection="0"/>
    <xf numFmtId="170" fontId="79" fillId="0" borderId="50" applyNumberFormat="0" applyFill="0" applyAlignment="0" applyProtection="0"/>
    <xf numFmtId="170" fontId="79" fillId="0" borderId="50" applyNumberFormat="0" applyFill="0" applyAlignment="0" applyProtection="0"/>
    <xf numFmtId="170" fontId="79" fillId="0" borderId="50" applyNumberFormat="0" applyFill="0" applyAlignment="0" applyProtection="0"/>
    <xf numFmtId="0" fontId="79" fillId="0" borderId="50" applyNumberFormat="0" applyFill="0" applyAlignment="0" applyProtection="0"/>
    <xf numFmtId="0" fontId="79" fillId="0" borderId="50" applyNumberFormat="0" applyFill="0" applyAlignment="0" applyProtection="0"/>
    <xf numFmtId="0" fontId="79" fillId="0" borderId="50" applyNumberFormat="0" applyFill="0" applyAlignment="0" applyProtection="0"/>
    <xf numFmtId="0" fontId="16" fillId="0" borderId="9" applyNumberFormat="0" applyFill="0" applyAlignment="0" applyProtection="0"/>
    <xf numFmtId="170" fontId="14" fillId="0" borderId="0" applyNumberFormat="0" applyFill="0" applyBorder="0" applyAlignment="0" applyProtection="0"/>
    <xf numFmtId="170" fontId="80" fillId="0" borderId="0" applyNumberFormat="0" applyFill="0" applyBorder="0" applyAlignment="0" applyProtection="0"/>
    <xf numFmtId="17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36" fillId="0" borderId="49" applyNumberFormat="0" applyFill="0" applyAlignment="0" applyProtection="0"/>
    <xf numFmtId="170" fontId="1" fillId="0" borderId="0"/>
  </cellStyleXfs>
  <cellXfs count="481">
    <xf numFmtId="0" fontId="0" fillId="0" borderId="0" xfId="0"/>
    <xf numFmtId="1" fontId="20" fillId="34" borderId="32" xfId="0" applyNumberFormat="1" applyFont="1" applyFill="1" applyBorder="1" applyAlignment="1">
      <alignment horizontal="left"/>
    </xf>
    <xf numFmtId="1" fontId="20" fillId="34" borderId="22" xfId="0" applyNumberFormat="1" applyFont="1" applyFill="1" applyBorder="1" applyAlignment="1">
      <alignment horizontal="left"/>
    </xf>
    <xf numFmtId="1" fontId="20" fillId="34" borderId="33" xfId="0" applyNumberFormat="1" applyFont="1" applyFill="1" applyBorder="1" applyAlignment="1">
      <alignment horizontal="left"/>
    </xf>
    <xf numFmtId="167" fontId="49" fillId="0" borderId="28" xfId="2" applyNumberFormat="1" applyFont="1" applyBorder="1" applyAlignment="1">
      <alignment horizontal="right"/>
    </xf>
    <xf numFmtId="166" fontId="0" fillId="0" borderId="0" xfId="0" applyNumberFormat="1"/>
    <xf numFmtId="166" fontId="48" fillId="0" borderId="26" xfId="0" applyNumberFormat="1" applyFont="1" applyBorder="1" applyAlignment="1">
      <alignment horizontal="right"/>
    </xf>
    <xf numFmtId="166" fontId="48" fillId="0" borderId="25" xfId="0" applyNumberFormat="1" applyFont="1" applyBorder="1" applyAlignment="1">
      <alignment horizontal="right"/>
    </xf>
    <xf numFmtId="0" fontId="47" fillId="0" borderId="11" xfId="0" applyFont="1" applyBorder="1"/>
    <xf numFmtId="1" fontId="19" fillId="34" borderId="34" xfId="0" applyNumberFormat="1" applyFont="1" applyFill="1" applyBorder="1" applyAlignment="1">
      <alignment horizontal="left"/>
    </xf>
    <xf numFmtId="166" fontId="16" fillId="0" borderId="29" xfId="0" applyNumberFormat="1" applyFont="1" applyBorder="1"/>
    <xf numFmtId="0" fontId="0" fillId="0" borderId="0" xfId="0"/>
    <xf numFmtId="0" fontId="21" fillId="0" borderId="0" xfId="0" applyNumberFormat="1" applyFont="1" applyAlignment="1"/>
    <xf numFmtId="10" fontId="21" fillId="0" borderId="0" xfId="0" applyNumberFormat="1" applyFont="1" applyAlignment="1"/>
    <xf numFmtId="1" fontId="20" fillId="34" borderId="12" xfId="0" applyNumberFormat="1" applyFont="1" applyFill="1" applyBorder="1" applyAlignment="1">
      <alignment horizontal="left"/>
    </xf>
    <xf numFmtId="1" fontId="20" fillId="34" borderId="13" xfId="0" applyNumberFormat="1" applyFont="1" applyFill="1" applyBorder="1" applyAlignment="1">
      <alignment horizontal="left"/>
    </xf>
    <xf numFmtId="10" fontId="46" fillId="61" borderId="28" xfId="0" applyNumberFormat="1" applyFont="1" applyFill="1" applyBorder="1" applyAlignment="1">
      <alignment horizontal="center" vertical="center" wrapText="1"/>
    </xf>
    <xf numFmtId="0" fontId="46" fillId="61" borderId="28" xfId="0" applyNumberFormat="1" applyFont="1" applyFill="1" applyBorder="1" applyAlignment="1">
      <alignment horizontal="center" vertical="center" wrapText="1"/>
    </xf>
    <xf numFmtId="1" fontId="46" fillId="61" borderId="27" xfId="0" applyNumberFormat="1" applyFont="1" applyFill="1" applyBorder="1" applyAlignment="1">
      <alignment horizontal="center" vertical="center" wrapText="1"/>
    </xf>
    <xf numFmtId="0" fontId="16" fillId="0" borderId="0" xfId="0" applyFont="1"/>
    <xf numFmtId="166" fontId="51" fillId="64" borderId="10" xfId="2" applyNumberFormat="1" applyFont="1" applyFill="1" applyBorder="1" applyAlignment="1" applyProtection="1">
      <alignment horizontal="center" wrapText="1"/>
    </xf>
    <xf numFmtId="0" fontId="50" fillId="0" borderId="10" xfId="0" applyNumberFormat="1" applyFont="1" applyFill="1" applyBorder="1" applyAlignment="1" applyProtection="1">
      <alignment horizontal="left" wrapText="1"/>
    </xf>
    <xf numFmtId="0" fontId="16" fillId="0" borderId="35" xfId="0" applyFont="1" applyBorder="1" applyAlignment="1">
      <alignment wrapText="1"/>
    </xf>
    <xf numFmtId="0" fontId="16" fillId="0" borderId="35" xfId="0" applyFont="1" applyBorder="1"/>
    <xf numFmtId="0" fontId="52" fillId="0" borderId="0" xfId="0" applyFont="1" applyFill="1" applyBorder="1"/>
    <xf numFmtId="0" fontId="52" fillId="0" borderId="0" xfId="0" applyFont="1" applyFill="1" applyBorder="1" applyAlignment="1">
      <alignment horizontal="center"/>
    </xf>
    <xf numFmtId="2" fontId="53" fillId="65" borderId="10" xfId="0" applyNumberFormat="1" applyFont="1" applyFill="1" applyBorder="1" applyAlignment="1" applyProtection="1">
      <alignment horizontal="center" wrapText="1"/>
    </xf>
    <xf numFmtId="10" fontId="53" fillId="0" borderId="10" xfId="0" applyNumberFormat="1" applyFont="1" applyFill="1" applyBorder="1" applyAlignment="1">
      <alignment horizontal="center"/>
    </xf>
    <xf numFmtId="2" fontId="53" fillId="0" borderId="37" xfId="0" applyNumberFormat="1" applyFont="1" applyFill="1" applyBorder="1" applyAlignment="1">
      <alignment horizontal="center"/>
    </xf>
    <xf numFmtId="0" fontId="53" fillId="0" borderId="22" xfId="0" applyFont="1" applyFill="1" applyBorder="1" applyAlignment="1">
      <alignment wrapText="1"/>
    </xf>
    <xf numFmtId="10" fontId="52" fillId="0" borderId="10" xfId="0" applyNumberFormat="1" applyFont="1" applyFill="1" applyBorder="1" applyAlignment="1">
      <alignment horizontal="center"/>
    </xf>
    <xf numFmtId="2" fontId="52" fillId="0" borderId="37" xfId="0" applyNumberFormat="1" applyFont="1" applyFill="1" applyBorder="1" applyAlignment="1">
      <alignment horizontal="center"/>
    </xf>
    <xf numFmtId="0" fontId="52" fillId="0" borderId="22" xfId="0" applyFont="1" applyFill="1" applyBorder="1"/>
    <xf numFmtId="10" fontId="53" fillId="64" borderId="10" xfId="0" applyNumberFormat="1" applyFont="1" applyFill="1" applyBorder="1" applyAlignment="1">
      <alignment horizontal="center"/>
    </xf>
    <xf numFmtId="0" fontId="53" fillId="65" borderId="21" xfId="0" applyFont="1" applyFill="1" applyBorder="1" applyAlignment="1">
      <alignment horizontal="center" vertical="center" wrapText="1"/>
    </xf>
    <xf numFmtId="0" fontId="53" fillId="0" borderId="0" xfId="0" applyFont="1" applyFill="1" applyBorder="1"/>
    <xf numFmtId="166" fontId="19" fillId="34" borderId="31" xfId="0" applyNumberFormat="1" applyFont="1" applyFill="1" applyBorder="1" applyAlignment="1">
      <alignment horizontal="left"/>
    </xf>
    <xf numFmtId="10" fontId="46" fillId="61" borderId="31" xfId="0" applyNumberFormat="1" applyFont="1" applyFill="1" applyBorder="1" applyAlignment="1">
      <alignment horizontal="center" vertical="center" wrapText="1"/>
    </xf>
    <xf numFmtId="166" fontId="48" fillId="0" borderId="32" xfId="0" applyNumberFormat="1" applyFont="1" applyBorder="1" applyAlignment="1">
      <alignment horizontal="right"/>
    </xf>
    <xf numFmtId="10" fontId="46" fillId="61" borderId="10" xfId="0" applyNumberFormat="1" applyFont="1" applyFill="1" applyBorder="1" applyAlignment="1">
      <alignment horizontal="center" vertical="center" wrapText="1"/>
    </xf>
    <xf numFmtId="166" fontId="0" fillId="0" borderId="10" xfId="0" applyNumberFormat="1" applyBorder="1"/>
    <xf numFmtId="165" fontId="0" fillId="0" borderId="10" xfId="3" applyNumberFormat="1" applyFont="1" applyBorder="1"/>
    <xf numFmtId="165" fontId="0" fillId="0" borderId="21" xfId="3" applyNumberFormat="1" applyFont="1" applyBorder="1"/>
    <xf numFmtId="165" fontId="16" fillId="0" borderId="38" xfId="3" applyNumberFormat="1" applyFont="1" applyBorder="1"/>
    <xf numFmtId="0" fontId="20" fillId="34" borderId="26" xfId="0" applyNumberFormat="1" applyFont="1" applyFill="1" applyBorder="1" applyAlignment="1">
      <alignment horizontal="left"/>
    </xf>
    <xf numFmtId="10" fontId="56" fillId="0" borderId="0" xfId="0" applyNumberFormat="1" applyFont="1" applyBorder="1"/>
    <xf numFmtId="10" fontId="46" fillId="61" borderId="41" xfId="0" applyNumberFormat="1" applyFont="1" applyFill="1" applyBorder="1" applyAlignment="1">
      <alignment horizontal="center" vertical="center" wrapText="1"/>
    </xf>
    <xf numFmtId="10" fontId="0" fillId="0" borderId="0" xfId="3" applyNumberFormat="1" applyFont="1"/>
    <xf numFmtId="167" fontId="49" fillId="0" borderId="30" xfId="2" applyNumberFormat="1" applyFont="1" applyBorder="1" applyAlignment="1">
      <alignment horizontal="right"/>
    </xf>
    <xf numFmtId="10" fontId="48" fillId="0" borderId="35" xfId="3" applyNumberFormat="1" applyFont="1" applyBorder="1" applyAlignment="1">
      <alignment horizontal="right"/>
    </xf>
    <xf numFmtId="10" fontId="48" fillId="0" borderId="32" xfId="3" applyNumberFormat="1" applyFont="1" applyBorder="1" applyAlignment="1">
      <alignment horizontal="right"/>
    </xf>
    <xf numFmtId="0" fontId="22" fillId="0" borderId="0" xfId="0" applyNumberFormat="1" applyFont="1" applyAlignment="1"/>
    <xf numFmtId="169" fontId="55" fillId="0" borderId="0" xfId="0" applyNumberFormat="1" applyFont="1" applyBorder="1"/>
    <xf numFmtId="0" fontId="0" fillId="0" borderId="41" xfId="0" applyBorder="1" applyAlignment="1"/>
    <xf numFmtId="2" fontId="53" fillId="67" borderId="37" xfId="0" applyNumberFormat="1" applyFont="1" applyFill="1" applyBorder="1" applyAlignment="1">
      <alignment horizontal="center"/>
    </xf>
    <xf numFmtId="10" fontId="53" fillId="68" borderId="10" xfId="0" applyNumberFormat="1" applyFont="1" applyFill="1" applyBorder="1" applyAlignment="1">
      <alignment horizontal="center"/>
    </xf>
    <xf numFmtId="2" fontId="52" fillId="67" borderId="37" xfId="0" applyNumberFormat="1" applyFont="1" applyFill="1" applyBorder="1" applyAlignment="1">
      <alignment horizontal="center"/>
    </xf>
    <xf numFmtId="10" fontId="52" fillId="67" borderId="10" xfId="0" applyNumberFormat="1" applyFont="1" applyFill="1" applyBorder="1" applyAlignment="1">
      <alignment horizontal="center"/>
    </xf>
    <xf numFmtId="0" fontId="57" fillId="0" borderId="0" xfId="0" applyFont="1"/>
    <xf numFmtId="0" fontId="79" fillId="0" borderId="0" xfId="45" applyFont="1"/>
    <xf numFmtId="0" fontId="18" fillId="0" borderId="0" xfId="45"/>
    <xf numFmtId="10" fontId="18" fillId="0" borderId="0" xfId="45" applyNumberFormat="1"/>
    <xf numFmtId="10" fontId="79" fillId="0" borderId="0" xfId="45" applyNumberFormat="1" applyFont="1"/>
    <xf numFmtId="169" fontId="18" fillId="0" borderId="0" xfId="3" applyNumberFormat="1" applyFont="1"/>
    <xf numFmtId="0" fontId="79" fillId="0" borderId="0" xfId="45" applyFont="1" applyAlignment="1">
      <alignment wrapText="1"/>
    </xf>
    <xf numFmtId="0" fontId="79" fillId="63" borderId="35" xfId="45" applyFont="1" applyFill="1" applyBorder="1" applyAlignment="1">
      <alignment wrapText="1"/>
    </xf>
    <xf numFmtId="0" fontId="79" fillId="63" borderId="0" xfId="45" applyFont="1" applyFill="1" applyAlignment="1">
      <alignment horizontal="left" wrapText="1"/>
    </xf>
    <xf numFmtId="0" fontId="18" fillId="63" borderId="0" xfId="45" applyFill="1"/>
    <xf numFmtId="0" fontId="79" fillId="63" borderId="35" xfId="45" applyFont="1" applyFill="1" applyBorder="1"/>
    <xf numFmtId="0" fontId="18" fillId="63" borderId="35" xfId="45" applyFill="1" applyBorder="1"/>
    <xf numFmtId="10" fontId="18" fillId="0" borderId="0" xfId="45" applyNumberFormat="1" applyFill="1"/>
    <xf numFmtId="10" fontId="79" fillId="67" borderId="0" xfId="45" applyNumberFormat="1" applyFont="1" applyFill="1"/>
    <xf numFmtId="0" fontId="79" fillId="63" borderId="0" xfId="45" applyFont="1" applyFill="1" applyAlignment="1">
      <alignment wrapText="1"/>
    </xf>
    <xf numFmtId="169" fontId="79" fillId="0" borderId="0" xfId="45" applyNumberFormat="1" applyFont="1"/>
    <xf numFmtId="0" fontId="59" fillId="33" borderId="0" xfId="0" applyNumberFormat="1" applyFont="1" applyFill="1" applyBorder="1" applyAlignment="1" applyProtection="1"/>
    <xf numFmtId="0" fontId="59" fillId="33" borderId="0" xfId="0" applyNumberFormat="1" applyFont="1" applyFill="1" applyBorder="1" applyAlignment="1" applyProtection="1">
      <alignment wrapText="1"/>
    </xf>
    <xf numFmtId="0" fontId="59" fillId="0" borderId="0" xfId="0" applyNumberFormat="1" applyFont="1" applyFill="1" applyBorder="1" applyAlignment="1" applyProtection="1"/>
    <xf numFmtId="0" fontId="81" fillId="0" borderId="0" xfId="0" applyFont="1"/>
    <xf numFmtId="0" fontId="58" fillId="0" borderId="10" xfId="0" applyNumberFormat="1" applyFont="1" applyFill="1" applyBorder="1" applyAlignment="1" applyProtection="1">
      <alignment horizontal="left" wrapText="1"/>
    </xf>
    <xf numFmtId="0" fontId="60" fillId="0" borderId="0" xfId="0" applyFont="1"/>
    <xf numFmtId="0" fontId="59" fillId="0" borderId="0" xfId="0" applyFont="1"/>
    <xf numFmtId="9" fontId="59" fillId="0" borderId="0" xfId="3" applyFont="1"/>
    <xf numFmtId="2" fontId="60" fillId="0" borderId="0" xfId="0" applyNumberFormat="1" applyFont="1"/>
    <xf numFmtId="166" fontId="59" fillId="0" borderId="0" xfId="0" applyNumberFormat="1" applyFont="1"/>
    <xf numFmtId="0" fontId="59" fillId="0" borderId="0" xfId="0" applyFont="1" applyFill="1"/>
    <xf numFmtId="0" fontId="50" fillId="0" borderId="52" xfId="0" applyNumberFormat="1" applyFont="1" applyFill="1" applyBorder="1" applyAlignment="1" applyProtection="1">
      <alignment horizontal="left" wrapText="1"/>
    </xf>
    <xf numFmtId="0" fontId="0" fillId="0" borderId="10" xfId="0" applyBorder="1"/>
    <xf numFmtId="0" fontId="0" fillId="0" borderId="39" xfId="0" applyBorder="1" applyAlignment="1"/>
    <xf numFmtId="167" fontId="0" fillId="0" borderId="0" xfId="2" applyNumberFormat="1" applyFont="1" applyBorder="1"/>
    <xf numFmtId="0" fontId="0" fillId="0" borderId="42" xfId="0" applyBorder="1"/>
    <xf numFmtId="0" fontId="0" fillId="0" borderId="0" xfId="0" applyBorder="1"/>
    <xf numFmtId="0" fontId="0" fillId="0" borderId="41" xfId="0" applyFill="1" applyBorder="1"/>
    <xf numFmtId="169" fontId="0" fillId="0" borderId="0" xfId="3" applyNumberFormat="1" applyFont="1" applyBorder="1"/>
    <xf numFmtId="169" fontId="0" fillId="0" borderId="42" xfId="3" applyNumberFormat="1" applyFont="1" applyBorder="1"/>
    <xf numFmtId="10" fontId="0" fillId="0" borderId="10" xfId="3" applyNumberFormat="1" applyFont="1" applyBorder="1"/>
    <xf numFmtId="0" fontId="16" fillId="63" borderId="10" xfId="0" applyFont="1" applyFill="1" applyBorder="1"/>
    <xf numFmtId="10" fontId="79" fillId="59" borderId="0" xfId="45" applyNumberFormat="1" applyFont="1" applyFill="1"/>
    <xf numFmtId="0" fontId="0" fillId="0" borderId="0" xfId="0"/>
    <xf numFmtId="0" fontId="0" fillId="0" borderId="41" xfId="0" applyBorder="1"/>
    <xf numFmtId="0" fontId="0" fillId="0" borderId="0" xfId="0" applyBorder="1"/>
    <xf numFmtId="10" fontId="0" fillId="0" borderId="0" xfId="0" applyNumberFormat="1" applyBorder="1"/>
    <xf numFmtId="0" fontId="16" fillId="0" borderId="40" xfId="0" applyFont="1" applyBorder="1"/>
    <xf numFmtId="0" fontId="55" fillId="0" borderId="42" xfId="0" applyFont="1" applyBorder="1"/>
    <xf numFmtId="10" fontId="55" fillId="0" borderId="0" xfId="0" applyNumberFormat="1" applyFont="1" applyBorder="1"/>
    <xf numFmtId="169" fontId="0" fillId="0" borderId="42" xfId="3" applyNumberFormat="1" applyFont="1" applyFill="1" applyBorder="1"/>
    <xf numFmtId="0" fontId="0" fillId="0" borderId="41" xfId="0" applyFill="1" applyBorder="1" applyAlignment="1">
      <alignment horizontal="right"/>
    </xf>
    <xf numFmtId="169" fontId="0" fillId="0" borderId="10" xfId="3" applyNumberFormat="1" applyFont="1" applyBorder="1"/>
    <xf numFmtId="167" fontId="0" fillId="0" borderId="10" xfId="2" applyNumberFormat="1" applyFont="1" applyBorder="1"/>
    <xf numFmtId="169" fontId="0" fillId="0" borderId="10" xfId="0" applyNumberFormat="1" applyBorder="1"/>
    <xf numFmtId="0" fontId="0" fillId="0" borderId="32" xfId="0" applyFill="1" applyBorder="1"/>
    <xf numFmtId="169" fontId="0" fillId="59" borderId="10" xfId="0" applyNumberFormat="1" applyFill="1" applyBorder="1"/>
    <xf numFmtId="0" fontId="16" fillId="0" borderId="39" xfId="0" applyFont="1" applyFill="1" applyBorder="1"/>
    <xf numFmtId="169" fontId="0" fillId="0" borderId="0" xfId="3" applyNumberFormat="1" applyFont="1" applyFill="1" applyBorder="1"/>
    <xf numFmtId="0" fontId="0" fillId="0" borderId="32" xfId="0" applyFill="1" applyBorder="1" applyAlignment="1">
      <alignment horizontal="right"/>
    </xf>
    <xf numFmtId="0" fontId="79" fillId="63" borderId="0" xfId="45" applyFont="1" applyFill="1" applyAlignment="1">
      <alignment wrapText="1"/>
    </xf>
    <xf numFmtId="0" fontId="0" fillId="63" borderId="10" xfId="0" applyFill="1" applyBorder="1"/>
    <xf numFmtId="0" fontId="16" fillId="63" borderId="10" xfId="0" applyFont="1" applyFill="1" applyBorder="1" applyAlignment="1">
      <alignment wrapText="1"/>
    </xf>
    <xf numFmtId="0" fontId="79" fillId="63" borderId="0" xfId="45" applyFont="1" applyFill="1"/>
    <xf numFmtId="0" fontId="60" fillId="33" borderId="0" xfId="0" applyNumberFormat="1" applyFont="1" applyFill="1" applyBorder="1" applyAlignment="1" applyProtection="1"/>
    <xf numFmtId="0" fontId="79" fillId="63" borderId="0" xfId="45" applyFont="1" applyFill="1" applyAlignment="1">
      <alignment wrapText="1"/>
    </xf>
    <xf numFmtId="9" fontId="79" fillId="0" borderId="0" xfId="45" applyNumberFormat="1" applyFont="1"/>
    <xf numFmtId="165" fontId="18" fillId="70" borderId="0" xfId="45" applyNumberFormat="1" applyFont="1" applyFill="1"/>
    <xf numFmtId="10" fontId="18" fillId="0" borderId="0" xfId="45" applyNumberFormat="1" applyFont="1"/>
    <xf numFmtId="169" fontId="79" fillId="0" borderId="36" xfId="45" applyNumberFormat="1" applyFont="1" applyBorder="1"/>
    <xf numFmtId="10" fontId="18" fillId="0" borderId="36" xfId="45" applyNumberFormat="1" applyFont="1" applyBorder="1"/>
    <xf numFmtId="169" fontId="79" fillId="59" borderId="36" xfId="45" applyNumberFormat="1" applyFont="1" applyFill="1" applyBorder="1"/>
    <xf numFmtId="169" fontId="79" fillId="0" borderId="0" xfId="45" applyNumberFormat="1" applyFont="1" applyBorder="1"/>
    <xf numFmtId="10" fontId="18" fillId="0" borderId="0" xfId="45" applyNumberFormat="1" applyFont="1" applyBorder="1"/>
    <xf numFmtId="10" fontId="18" fillId="0" borderId="0" xfId="45" applyNumberFormat="1" applyBorder="1"/>
    <xf numFmtId="10" fontId="18" fillId="0" borderId="0" xfId="3" applyNumberFormat="1" applyFont="1"/>
    <xf numFmtId="10" fontId="18" fillId="59" borderId="0" xfId="45" applyNumberFormat="1" applyFill="1"/>
    <xf numFmtId="10" fontId="18" fillId="0" borderId="35" xfId="45" applyNumberFormat="1" applyBorder="1"/>
    <xf numFmtId="169" fontId="18" fillId="0" borderId="0" xfId="45" applyNumberFormat="1" applyFont="1"/>
    <xf numFmtId="169" fontId="18" fillId="0" borderId="36" xfId="45" applyNumberFormat="1" applyFont="1" applyBorder="1"/>
    <xf numFmtId="169" fontId="18" fillId="0" borderId="0" xfId="45" applyNumberFormat="1" applyFont="1" applyBorder="1"/>
    <xf numFmtId="10" fontId="18" fillId="0" borderId="35" xfId="45" applyNumberFormat="1" applyFont="1" applyBorder="1"/>
    <xf numFmtId="10" fontId="18" fillId="59" borderId="0" xfId="45" applyNumberFormat="1" applyFill="1" applyBorder="1"/>
    <xf numFmtId="10" fontId="18" fillId="59" borderId="0" xfId="3" applyNumberFormat="1" applyFont="1" applyFill="1"/>
    <xf numFmtId="10" fontId="55" fillId="0" borderId="0" xfId="3" applyNumberFormat="1" applyFont="1" applyBorder="1"/>
    <xf numFmtId="0" fontId="0" fillId="0" borderId="0" xfId="0" applyFill="1" applyBorder="1"/>
    <xf numFmtId="0" fontId="16" fillId="0" borderId="53" xfId="0" applyFont="1" applyBorder="1"/>
    <xf numFmtId="0" fontId="16" fillId="0" borderId="54" xfId="0" applyFont="1" applyBorder="1" applyAlignment="1">
      <alignment horizontal="center"/>
    </xf>
    <xf numFmtId="0" fontId="16" fillId="0" borderId="55" xfId="0" applyFont="1" applyBorder="1" applyAlignment="1">
      <alignment horizontal="center"/>
    </xf>
    <xf numFmtId="0" fontId="0" fillId="0" borderId="56" xfId="0" applyBorder="1"/>
    <xf numFmtId="169" fontId="56" fillId="0" borderId="57" xfId="0" applyNumberFormat="1" applyFont="1" applyBorder="1"/>
    <xf numFmtId="10" fontId="56" fillId="0" borderId="57" xfId="0" applyNumberFormat="1" applyFont="1" applyBorder="1"/>
    <xf numFmtId="10" fontId="16" fillId="66" borderId="11" xfId="0" applyNumberFormat="1" applyFont="1" applyFill="1" applyBorder="1" applyAlignment="1">
      <alignment horizontal="right"/>
    </xf>
    <xf numFmtId="10" fontId="0" fillId="66" borderId="24" xfId="0" applyNumberFormat="1" applyFill="1" applyBorder="1"/>
    <xf numFmtId="10" fontId="0" fillId="66" borderId="58" xfId="0" applyNumberFormat="1" applyFill="1" applyBorder="1"/>
    <xf numFmtId="10" fontId="55" fillId="0" borderId="57" xfId="3" applyNumberFormat="1" applyFont="1" applyBorder="1"/>
    <xf numFmtId="10" fontId="16" fillId="66" borderId="34" xfId="0" applyNumberFormat="1" applyFont="1" applyFill="1" applyBorder="1" applyAlignment="1">
      <alignment horizontal="left"/>
    </xf>
    <xf numFmtId="10" fontId="0" fillId="66" borderId="30" xfId="0" applyNumberFormat="1" applyFill="1" applyBorder="1"/>
    <xf numFmtId="10" fontId="0" fillId="66" borderId="29" xfId="0" applyNumberFormat="1" applyFill="1" applyBorder="1"/>
    <xf numFmtId="0" fontId="16" fillId="0" borderId="55" xfId="0" applyFont="1" applyBorder="1" applyAlignment="1">
      <alignment horizontal="center" wrapText="1"/>
    </xf>
    <xf numFmtId="169" fontId="55" fillId="72" borderId="0" xfId="0" applyNumberFormat="1" applyFont="1" applyFill="1" applyBorder="1"/>
    <xf numFmtId="10" fontId="55" fillId="72" borderId="0" xfId="3" applyNumberFormat="1" applyFont="1" applyFill="1" applyBorder="1"/>
    <xf numFmtId="166" fontId="0" fillId="0" borderId="36" xfId="2" applyNumberFormat="1" applyFont="1" applyBorder="1"/>
    <xf numFmtId="166" fontId="0" fillId="0" borderId="42" xfId="0" applyNumberFormat="1" applyBorder="1"/>
    <xf numFmtId="166" fontId="0" fillId="0" borderId="0" xfId="2" applyNumberFormat="1" applyFont="1" applyBorder="1"/>
    <xf numFmtId="166" fontId="0" fillId="0" borderId="0" xfId="0" applyNumberFormat="1" applyBorder="1"/>
    <xf numFmtId="166" fontId="0" fillId="0" borderId="35" xfId="2" applyNumberFormat="1" applyFont="1" applyBorder="1"/>
    <xf numFmtId="166" fontId="0" fillId="0" borderId="43" xfId="0" applyNumberFormat="1" applyBorder="1"/>
    <xf numFmtId="0" fontId="16" fillId="63" borderId="22" xfId="0" applyFont="1" applyFill="1" applyBorder="1" applyAlignment="1">
      <alignment wrapText="1"/>
    </xf>
    <xf numFmtId="0" fontId="16" fillId="63" borderId="37" xfId="0" applyFont="1" applyFill="1" applyBorder="1" applyAlignment="1">
      <alignment wrapText="1"/>
    </xf>
    <xf numFmtId="0" fontId="16" fillId="0" borderId="36" xfId="0" applyFont="1" applyFill="1" applyBorder="1"/>
    <xf numFmtId="0" fontId="0" fillId="0" borderId="0" xfId="0" applyAlignment="1">
      <alignment horizontal="center"/>
    </xf>
    <xf numFmtId="0" fontId="16" fillId="63" borderId="10" xfId="0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0" xfId="0" applyBorder="1" applyAlignment="1">
      <alignment horizontal="center"/>
    </xf>
    <xf numFmtId="0" fontId="16" fillId="0" borderId="36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6" fillId="0" borderId="36" xfId="0" applyFont="1" applyFill="1" applyBorder="1" applyAlignment="1">
      <alignment horizontal="center" wrapText="1"/>
    </xf>
    <xf numFmtId="0" fontId="16" fillId="0" borderId="37" xfId="0" applyFont="1" applyFill="1" applyBorder="1" applyAlignment="1">
      <alignment horizontal="center" wrapText="1"/>
    </xf>
    <xf numFmtId="0" fontId="0" fillId="0" borderId="35" xfId="0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0" fillId="0" borderId="22" xfId="0" applyFill="1" applyBorder="1"/>
    <xf numFmtId="0" fontId="0" fillId="0" borderId="51" xfId="0" applyFill="1" applyBorder="1" applyAlignment="1">
      <alignment horizontal="center"/>
    </xf>
    <xf numFmtId="169" fontId="1" fillId="0" borderId="51" xfId="3" applyNumberFormat="1" applyFont="1" applyBorder="1"/>
    <xf numFmtId="167" fontId="0" fillId="0" borderId="37" xfId="0" applyNumberFormat="1" applyBorder="1"/>
    <xf numFmtId="169" fontId="16" fillId="0" borderId="51" xfId="3" applyNumberFormat="1" applyFont="1" applyBorder="1"/>
    <xf numFmtId="0" fontId="59" fillId="33" borderId="0" xfId="0" applyNumberFormat="1" applyFont="1" applyFill="1" applyBorder="1" applyAlignment="1" applyProtection="1">
      <alignment horizontal="center"/>
    </xf>
    <xf numFmtId="0" fontId="0" fillId="59" borderId="0" xfId="0" applyFill="1" applyBorder="1"/>
    <xf numFmtId="0" fontId="16" fillId="0" borderId="40" xfId="0" applyFont="1" applyFill="1" applyBorder="1"/>
    <xf numFmtId="0" fontId="16" fillId="0" borderId="41" xfId="0" applyFont="1" applyFill="1" applyBorder="1"/>
    <xf numFmtId="0" fontId="85" fillId="33" borderId="22" xfId="0" applyNumberFormat="1" applyFont="1" applyFill="1" applyBorder="1" applyAlignment="1" applyProtection="1">
      <alignment horizontal="left"/>
    </xf>
    <xf numFmtId="0" fontId="85" fillId="33" borderId="51" xfId="0" applyNumberFormat="1" applyFont="1" applyFill="1" applyBorder="1" applyAlignment="1" applyProtection="1">
      <alignment horizontal="left"/>
    </xf>
    <xf numFmtId="0" fontId="0" fillId="33" borderId="51" xfId="0" applyNumberFormat="1" applyFont="1" applyFill="1" applyBorder="1" applyAlignment="1" applyProtection="1"/>
    <xf numFmtId="0" fontId="16" fillId="33" borderId="51" xfId="0" applyNumberFormat="1" applyFont="1" applyFill="1" applyBorder="1" applyAlignment="1" applyProtection="1"/>
    <xf numFmtId="0" fontId="0" fillId="33" borderId="37" xfId="0" applyNumberFormat="1" applyFont="1" applyFill="1" applyBorder="1" applyAlignment="1" applyProtection="1"/>
    <xf numFmtId="0" fontId="0" fillId="33" borderId="10" xfId="0" applyNumberFormat="1" applyFont="1" applyFill="1" applyBorder="1" applyAlignment="1" applyProtection="1"/>
    <xf numFmtId="0" fontId="0" fillId="33" borderId="22" xfId="0" applyNumberFormat="1" applyFont="1" applyFill="1" applyBorder="1" applyAlignment="1" applyProtection="1">
      <alignment horizontal="centerContinuous" wrapText="1"/>
    </xf>
    <xf numFmtId="0" fontId="0" fillId="33" borderId="37" xfId="0" applyNumberFormat="1" applyFont="1" applyFill="1" applyBorder="1" applyAlignment="1" applyProtection="1">
      <alignment horizontal="centerContinuous" wrapText="1"/>
    </xf>
    <xf numFmtId="0" fontId="0" fillId="33" borderId="0" xfId="0" applyNumberFormat="1" applyFont="1" applyFill="1" applyBorder="1" applyAlignment="1" applyProtection="1"/>
    <xf numFmtId="10" fontId="86" fillId="58" borderId="10" xfId="0" applyNumberFormat="1" applyFont="1" applyFill="1" applyBorder="1" applyAlignment="1" applyProtection="1">
      <alignment horizontal="center" vertical="center" wrapText="1"/>
    </xf>
    <xf numFmtId="0" fontId="0" fillId="33" borderId="0" xfId="0" applyNumberFormat="1" applyFont="1" applyFill="1" applyBorder="1" applyAlignment="1" applyProtection="1">
      <alignment wrapText="1"/>
    </xf>
    <xf numFmtId="166" fontId="87" fillId="0" borderId="10" xfId="0" applyNumberFormat="1" applyFont="1" applyBorder="1" applyAlignment="1">
      <alignment horizontal="center"/>
    </xf>
    <xf numFmtId="10" fontId="88" fillId="34" borderId="10" xfId="0" applyNumberFormat="1" applyFont="1" applyFill="1" applyBorder="1" applyAlignment="1" applyProtection="1">
      <alignment horizontal="center"/>
    </xf>
    <xf numFmtId="166" fontId="0" fillId="33" borderId="10" xfId="0" applyNumberFormat="1" applyFont="1" applyFill="1" applyBorder="1" applyAlignment="1" applyProtection="1">
      <alignment horizontal="center"/>
    </xf>
    <xf numFmtId="10" fontId="88" fillId="33" borderId="10" xfId="670" applyNumberFormat="1" applyFont="1" applyFill="1" applyBorder="1" applyAlignment="1" applyProtection="1">
      <alignment horizontal="center"/>
    </xf>
    <xf numFmtId="166" fontId="88" fillId="33" borderId="10" xfId="2" applyNumberFormat="1" applyFont="1" applyFill="1" applyBorder="1" applyAlignment="1" applyProtection="1">
      <alignment horizontal="center"/>
    </xf>
    <xf numFmtId="169" fontId="88" fillId="33" borderId="10" xfId="3" applyNumberFormat="1" applyFont="1" applyFill="1" applyBorder="1" applyAlignment="1" applyProtection="1">
      <alignment horizontal="center"/>
    </xf>
    <xf numFmtId="169" fontId="0" fillId="33" borderId="10" xfId="3" applyNumberFormat="1" applyFont="1" applyFill="1" applyBorder="1" applyAlignment="1" applyProtection="1">
      <alignment horizontal="center"/>
    </xf>
    <xf numFmtId="10" fontId="0" fillId="33" borderId="0" xfId="3" applyNumberFormat="1" applyFont="1" applyFill="1" applyBorder="1" applyAlignment="1" applyProtection="1">
      <alignment horizontal="center"/>
    </xf>
    <xf numFmtId="0" fontId="0" fillId="33" borderId="10" xfId="0" applyNumberFormat="1" applyFont="1" applyFill="1" applyBorder="1" applyAlignment="1" applyProtection="1">
      <alignment horizontal="center"/>
    </xf>
    <xf numFmtId="0" fontId="0" fillId="33" borderId="0" xfId="0" applyNumberFormat="1" applyFont="1" applyFill="1" applyBorder="1" applyAlignment="1" applyProtection="1">
      <alignment horizontal="center"/>
    </xf>
    <xf numFmtId="166" fontId="87" fillId="0" borderId="10" xfId="0" applyNumberFormat="1" applyFont="1" applyBorder="1" applyAlignment="1">
      <alignment horizontal="right"/>
    </xf>
    <xf numFmtId="10" fontId="88" fillId="34" borderId="10" xfId="0" applyNumberFormat="1" applyFont="1" applyFill="1" applyBorder="1" applyAlignment="1" applyProtection="1">
      <alignment horizontal="right"/>
    </xf>
    <xf numFmtId="10" fontId="14" fillId="33" borderId="10" xfId="670" applyNumberFormat="1" applyFont="1" applyFill="1" applyBorder="1" applyAlignment="1" applyProtection="1"/>
    <xf numFmtId="10" fontId="0" fillId="33" borderId="10" xfId="3" applyNumberFormat="1" applyFont="1" applyFill="1" applyBorder="1" applyAlignment="1" applyProtection="1"/>
    <xf numFmtId="10" fontId="88" fillId="67" borderId="10" xfId="670" applyNumberFormat="1" applyFont="1" applyFill="1" applyBorder="1" applyAlignment="1" applyProtection="1"/>
    <xf numFmtId="166" fontId="88" fillId="67" borderId="10" xfId="2" applyNumberFormat="1" applyFont="1" applyFill="1" applyBorder="1" applyAlignment="1" applyProtection="1"/>
    <xf numFmtId="169" fontId="86" fillId="33" borderId="10" xfId="3" applyNumberFormat="1" applyFont="1" applyFill="1" applyBorder="1" applyAlignment="1" applyProtection="1"/>
    <xf numFmtId="169" fontId="88" fillId="33" borderId="10" xfId="3" applyNumberFormat="1" applyFont="1" applyFill="1" applyBorder="1" applyAlignment="1" applyProtection="1"/>
    <xf numFmtId="169" fontId="0" fillId="33" borderId="10" xfId="3" applyNumberFormat="1" applyFont="1" applyFill="1" applyBorder="1" applyAlignment="1" applyProtection="1"/>
    <xf numFmtId="10" fontId="88" fillId="67" borderId="10" xfId="3" applyNumberFormat="1" applyFont="1" applyFill="1" applyBorder="1" applyAlignment="1" applyProtection="1"/>
    <xf numFmtId="10" fontId="0" fillId="33" borderId="0" xfId="3" applyNumberFormat="1" applyFont="1" applyFill="1" applyBorder="1" applyAlignment="1" applyProtection="1"/>
    <xf numFmtId="166" fontId="0" fillId="33" borderId="1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/>
    <xf numFmtId="166" fontId="87" fillId="0" borderId="10" xfId="0" applyNumberFormat="1" applyFont="1" applyFill="1" applyBorder="1" applyAlignment="1">
      <alignment horizontal="right"/>
    </xf>
    <xf numFmtId="10" fontId="88" fillId="0" borderId="10" xfId="0" applyNumberFormat="1" applyFont="1" applyFill="1" applyBorder="1" applyAlignment="1" applyProtection="1">
      <alignment horizontal="right"/>
    </xf>
    <xf numFmtId="10" fontId="14" fillId="0" borderId="10" xfId="670" applyNumberFormat="1" applyFont="1" applyFill="1" applyBorder="1" applyAlignment="1" applyProtection="1"/>
    <xf numFmtId="10" fontId="88" fillId="33" borderId="10" xfId="670" applyNumberFormat="1" applyFont="1" applyFill="1" applyBorder="1" applyAlignment="1" applyProtection="1"/>
    <xf numFmtId="166" fontId="88" fillId="33" borderId="10" xfId="2" applyNumberFormat="1" applyFont="1" applyFill="1" applyBorder="1" applyAlignment="1" applyProtection="1"/>
    <xf numFmtId="10" fontId="88" fillId="33" borderId="10" xfId="3" applyNumberFormat="1" applyFont="1" applyFill="1" applyBorder="1" applyAlignment="1" applyProtection="1"/>
    <xf numFmtId="10" fontId="14" fillId="34" borderId="10" xfId="670" applyNumberFormat="1" applyFont="1" applyFill="1" applyBorder="1" applyAlignment="1" applyProtection="1"/>
    <xf numFmtId="166" fontId="88" fillId="34" borderId="10" xfId="2" applyNumberFormat="1" applyFont="1" applyFill="1" applyBorder="1" applyAlignment="1" applyProtection="1"/>
    <xf numFmtId="169" fontId="0" fillId="33" borderId="0" xfId="3" applyNumberFormat="1" applyFont="1" applyFill="1" applyBorder="1" applyAlignment="1" applyProtection="1"/>
    <xf numFmtId="166" fontId="86" fillId="58" borderId="10" xfId="0" applyNumberFormat="1" applyFont="1" applyFill="1" applyBorder="1" applyAlignment="1" applyProtection="1">
      <alignment horizontal="center"/>
    </xf>
    <xf numFmtId="10" fontId="86" fillId="34" borderId="10" xfId="0" applyNumberFormat="1" applyFont="1" applyFill="1" applyBorder="1" applyAlignment="1" applyProtection="1">
      <alignment horizontal="right"/>
    </xf>
    <xf numFmtId="10" fontId="86" fillId="33" borderId="10" xfId="670" applyNumberFormat="1" applyFont="1" applyFill="1" applyBorder="1" applyAlignment="1" applyProtection="1"/>
    <xf numFmtId="166" fontId="16" fillId="33" borderId="10" xfId="0" applyNumberFormat="1" applyFont="1" applyFill="1" applyBorder="1" applyAlignment="1" applyProtection="1"/>
    <xf numFmtId="167" fontId="16" fillId="33" borderId="10" xfId="0" applyNumberFormat="1" applyFont="1" applyFill="1" applyBorder="1" applyAlignment="1" applyProtection="1"/>
    <xf numFmtId="169" fontId="16" fillId="33" borderId="10" xfId="3" applyNumberFormat="1" applyFont="1" applyFill="1" applyBorder="1" applyAlignment="1" applyProtection="1"/>
    <xf numFmtId="0" fontId="16" fillId="33" borderId="0" xfId="0" applyNumberFormat="1" applyFont="1" applyFill="1" applyBorder="1" applyAlignment="1" applyProtection="1"/>
    <xf numFmtId="167" fontId="0" fillId="33" borderId="0" xfId="2" applyNumberFormat="1" applyFont="1" applyFill="1" applyBorder="1" applyAlignment="1" applyProtection="1"/>
    <xf numFmtId="0" fontId="0" fillId="34" borderId="0" xfId="0" applyNumberFormat="1" applyFont="1" applyFill="1" applyBorder="1" applyAlignment="1" applyProtection="1"/>
    <xf numFmtId="0" fontId="88" fillId="58" borderId="10" xfId="0" applyNumberFormat="1" applyFont="1" applyFill="1" applyBorder="1" applyAlignment="1" applyProtection="1">
      <alignment horizontal="center" vertical="center" wrapText="1"/>
    </xf>
    <xf numFmtId="0" fontId="88" fillId="0" borderId="10" xfId="0" applyNumberFormat="1" applyFont="1" applyFill="1" applyBorder="1" applyAlignment="1" applyProtection="1">
      <alignment horizontal="center"/>
    </xf>
    <xf numFmtId="0" fontId="88" fillId="58" borderId="10" xfId="0" applyNumberFormat="1" applyFont="1" applyFill="1" applyBorder="1" applyAlignment="1" applyProtection="1">
      <alignment horizontal="right"/>
    </xf>
    <xf numFmtId="0" fontId="88" fillId="58" borderId="10" xfId="0" applyNumberFormat="1" applyFont="1" applyFill="1" applyBorder="1" applyAlignment="1" applyProtection="1">
      <alignment horizontal="left"/>
    </xf>
    <xf numFmtId="0" fontId="88" fillId="62" borderId="10" xfId="0" applyNumberFormat="1" applyFont="1" applyFill="1" applyBorder="1" applyAlignment="1" applyProtection="1">
      <alignment horizontal="center" vertical="center" wrapText="1"/>
    </xf>
    <xf numFmtId="0" fontId="88" fillId="69" borderId="10" xfId="0" applyNumberFormat="1" applyFont="1" applyFill="1" applyBorder="1" applyAlignment="1" applyProtection="1">
      <alignment horizontal="center" vertical="center" wrapText="1"/>
    </xf>
    <xf numFmtId="0" fontId="87" fillId="0" borderId="0" xfId="0" applyNumberFormat="1" applyFont="1" applyAlignment="1">
      <alignment horizontal="left"/>
    </xf>
    <xf numFmtId="0" fontId="87" fillId="0" borderId="23" xfId="0" applyNumberFormat="1" applyFont="1" applyBorder="1" applyAlignment="1">
      <alignment horizontal="centerContinuous" wrapText="1"/>
    </xf>
    <xf numFmtId="10" fontId="87" fillId="0" borderId="23" xfId="0" applyNumberFormat="1" applyFont="1" applyBorder="1" applyAlignment="1">
      <alignment horizontal="centerContinuous" wrapText="1"/>
    </xf>
    <xf numFmtId="0" fontId="0" fillId="0" borderId="0" xfId="0" applyFont="1"/>
    <xf numFmtId="1" fontId="87" fillId="34" borderId="26" xfId="0" applyNumberFormat="1" applyFont="1" applyFill="1" applyBorder="1" applyAlignment="1">
      <alignment horizontal="left"/>
    </xf>
    <xf numFmtId="1" fontId="87" fillId="34" borderId="44" xfId="0" applyNumberFormat="1" applyFont="1" applyFill="1" applyBorder="1" applyAlignment="1">
      <alignment horizontal="left"/>
    </xf>
    <xf numFmtId="167" fontId="0" fillId="0" borderId="44" xfId="2" applyNumberFormat="1" applyFont="1" applyFill="1" applyBorder="1" applyAlignment="1">
      <alignment horizontal="center" vertical="center"/>
    </xf>
    <xf numFmtId="1" fontId="87" fillId="34" borderId="12" xfId="0" applyNumberFormat="1" applyFont="1" applyFill="1" applyBorder="1" applyAlignment="1">
      <alignment horizontal="left"/>
    </xf>
    <xf numFmtId="1" fontId="87" fillId="34" borderId="10" xfId="0" applyNumberFormat="1" applyFont="1" applyFill="1" applyBorder="1" applyAlignment="1">
      <alignment horizontal="left"/>
    </xf>
    <xf numFmtId="167" fontId="0" fillId="0" borderId="10" xfId="2" applyNumberFormat="1" applyFont="1" applyFill="1" applyBorder="1" applyAlignment="1">
      <alignment horizontal="center" vertical="center"/>
    </xf>
    <xf numFmtId="167" fontId="0" fillId="0" borderId="45" xfId="2" applyNumberFormat="1" applyFont="1" applyFill="1" applyBorder="1" applyAlignment="1">
      <alignment horizontal="center" vertical="center"/>
    </xf>
    <xf numFmtId="0" fontId="0" fillId="0" borderId="0" xfId="0" applyFont="1" applyBorder="1"/>
    <xf numFmtId="0" fontId="87" fillId="0" borderId="0" xfId="0" applyNumberFormat="1" applyFont="1" applyAlignment="1"/>
    <xf numFmtId="10" fontId="87" fillId="0" borderId="0" xfId="0" applyNumberFormat="1" applyFont="1" applyAlignment="1"/>
    <xf numFmtId="1" fontId="87" fillId="0" borderId="12" xfId="0" applyNumberFormat="1" applyFont="1" applyFill="1" applyBorder="1" applyAlignment="1">
      <alignment horizontal="left"/>
    </xf>
    <xf numFmtId="1" fontId="87" fillId="0" borderId="10" xfId="0" applyNumberFormat="1" applyFont="1" applyFill="1" applyBorder="1" applyAlignment="1">
      <alignment horizontal="left"/>
    </xf>
    <xf numFmtId="1" fontId="87" fillId="0" borderId="13" xfId="0" applyNumberFormat="1" applyFont="1" applyFill="1" applyBorder="1" applyAlignment="1">
      <alignment horizontal="left"/>
    </xf>
    <xf numFmtId="1" fontId="87" fillId="0" borderId="45" xfId="0" applyNumberFormat="1" applyFont="1" applyFill="1" applyBorder="1" applyAlignment="1">
      <alignment horizontal="left"/>
    </xf>
    <xf numFmtId="0" fontId="0" fillId="0" borderId="0" xfId="0" applyFont="1" applyFill="1"/>
    <xf numFmtId="0" fontId="87" fillId="0" borderId="0" xfId="0" applyNumberFormat="1" applyFont="1" applyFill="1" applyAlignment="1"/>
    <xf numFmtId="0" fontId="0" fillId="0" borderId="41" xfId="0" applyFont="1" applyFill="1" applyBorder="1"/>
    <xf numFmtId="43" fontId="87" fillId="0" borderId="0" xfId="1" applyFont="1" applyFill="1" applyBorder="1" applyAlignment="1"/>
    <xf numFmtId="10" fontId="87" fillId="0" borderId="0" xfId="3" applyNumberFormat="1" applyFont="1" applyFill="1" applyAlignment="1"/>
    <xf numFmtId="10" fontId="87" fillId="0" borderId="0" xfId="0" applyNumberFormat="1" applyFont="1" applyFill="1" applyAlignment="1"/>
    <xf numFmtId="0" fontId="0" fillId="0" borderId="27" xfId="0" applyFont="1" applyFill="1" applyBorder="1"/>
    <xf numFmtId="1" fontId="87" fillId="0" borderId="28" xfId="0" applyNumberFormat="1" applyFont="1" applyFill="1" applyBorder="1" applyAlignment="1">
      <alignment horizontal="left"/>
    </xf>
    <xf numFmtId="166" fontId="0" fillId="0" borderId="28" xfId="0" applyNumberFormat="1" applyFont="1" applyFill="1" applyBorder="1"/>
    <xf numFmtId="0" fontId="87" fillId="0" borderId="28" xfId="0" applyNumberFormat="1" applyFont="1" applyFill="1" applyBorder="1" applyAlignment="1"/>
    <xf numFmtId="0" fontId="0" fillId="0" borderId="28" xfId="0" applyFont="1" applyFill="1" applyBorder="1"/>
    <xf numFmtId="166" fontId="87" fillId="0" borderId="60" xfId="0" applyNumberFormat="1" applyFont="1" applyFill="1" applyBorder="1" applyAlignment="1"/>
    <xf numFmtId="164" fontId="87" fillId="0" borderId="53" xfId="0" applyNumberFormat="1" applyFont="1" applyFill="1" applyBorder="1" applyAlignment="1"/>
    <xf numFmtId="43" fontId="87" fillId="0" borderId="54" xfId="1" applyFont="1" applyFill="1" applyBorder="1" applyAlignment="1"/>
    <xf numFmtId="0" fontId="0" fillId="0" borderId="61" xfId="0" applyFont="1" applyFill="1" applyBorder="1"/>
    <xf numFmtId="3" fontId="87" fillId="0" borderId="55" xfId="0" applyNumberFormat="1" applyFont="1" applyFill="1" applyBorder="1" applyAlignment="1"/>
    <xf numFmtId="164" fontId="87" fillId="0" borderId="56" xfId="0" applyNumberFormat="1" applyFont="1" applyFill="1" applyBorder="1" applyAlignment="1"/>
    <xf numFmtId="10" fontId="87" fillId="0" borderId="57" xfId="3" applyNumberFormat="1" applyFont="1" applyFill="1" applyBorder="1" applyAlignment="1"/>
    <xf numFmtId="164" fontId="87" fillId="0" borderId="11" xfId="0" applyNumberFormat="1" applyFont="1" applyFill="1" applyBorder="1" applyAlignment="1"/>
    <xf numFmtId="43" fontId="87" fillId="0" borderId="62" xfId="1" applyFont="1" applyFill="1" applyBorder="1" applyAlignment="1"/>
    <xf numFmtId="0" fontId="0" fillId="0" borderId="63" xfId="0" applyFont="1" applyFill="1" applyBorder="1"/>
    <xf numFmtId="3" fontId="87" fillId="0" borderId="58" xfId="0" applyNumberFormat="1" applyFont="1" applyFill="1" applyBorder="1" applyAlignment="1"/>
    <xf numFmtId="1" fontId="85" fillId="0" borderId="27" xfId="0" applyNumberFormat="1" applyFont="1" applyBorder="1" applyAlignment="1">
      <alignment horizontal="center" wrapText="1"/>
    </xf>
    <xf numFmtId="0" fontId="85" fillId="0" borderId="28" xfId="0" applyNumberFormat="1" applyFont="1" applyBorder="1" applyAlignment="1">
      <alignment horizontal="center" wrapText="1"/>
    </xf>
    <xf numFmtId="10" fontId="85" fillId="0" borderId="28" xfId="0" applyNumberFormat="1" applyFont="1" applyBorder="1" applyAlignment="1">
      <alignment horizontal="center" wrapText="1"/>
    </xf>
    <xf numFmtId="10" fontId="85" fillId="0" borderId="60" xfId="0" applyNumberFormat="1" applyFont="1" applyFill="1" applyBorder="1" applyAlignment="1">
      <alignment horizontal="center" wrapText="1"/>
    </xf>
    <xf numFmtId="1" fontId="85" fillId="0" borderId="44" xfId="0" applyNumberFormat="1" applyFont="1" applyBorder="1" applyAlignment="1">
      <alignment horizontal="center" wrapText="1"/>
    </xf>
    <xf numFmtId="1" fontId="85" fillId="0" borderId="26" xfId="0" applyNumberFormat="1" applyFont="1" applyBorder="1" applyAlignment="1">
      <alignment horizontal="center" wrapText="1"/>
    </xf>
    <xf numFmtId="166" fontId="0" fillId="0" borderId="64" xfId="0" applyNumberFormat="1" applyFont="1" applyFill="1" applyBorder="1"/>
    <xf numFmtId="166" fontId="0" fillId="0" borderId="65" xfId="0" applyNumberFormat="1" applyFont="1" applyFill="1" applyBorder="1"/>
    <xf numFmtId="166" fontId="0" fillId="62" borderId="25" xfId="0" applyNumberFormat="1" applyFont="1" applyFill="1" applyBorder="1"/>
    <xf numFmtId="166" fontId="0" fillId="62" borderId="64" xfId="0" applyNumberFormat="1" applyFont="1" applyFill="1" applyBorder="1"/>
    <xf numFmtId="1" fontId="85" fillId="0" borderId="32" xfId="0" applyNumberFormat="1" applyFont="1" applyBorder="1" applyAlignment="1">
      <alignment horizontal="center" wrapText="1"/>
    </xf>
    <xf numFmtId="164" fontId="87" fillId="34" borderId="35" xfId="0" applyNumberFormat="1" applyFont="1" applyFill="1" applyBorder="1" applyAlignment="1" applyProtection="1">
      <alignment horizontal="center"/>
    </xf>
    <xf numFmtId="164" fontId="87" fillId="34" borderId="51" xfId="0" applyNumberFormat="1" applyFont="1" applyFill="1" applyBorder="1" applyAlignment="1" applyProtection="1">
      <alignment horizontal="center"/>
    </xf>
    <xf numFmtId="164" fontId="87" fillId="0" borderId="51" xfId="0" applyNumberFormat="1" applyFont="1" applyFill="1" applyBorder="1" applyAlignment="1" applyProtection="1">
      <alignment horizontal="center"/>
    </xf>
    <xf numFmtId="164" fontId="87" fillId="0" borderId="66" xfId="0" applyNumberFormat="1" applyFont="1" applyFill="1" applyBorder="1" applyAlignment="1" applyProtection="1">
      <alignment horizontal="center"/>
    </xf>
    <xf numFmtId="1" fontId="85" fillId="0" borderId="67" xfId="0" applyNumberFormat="1" applyFont="1" applyBorder="1" applyAlignment="1">
      <alignment horizontal="center" wrapText="1"/>
    </xf>
    <xf numFmtId="1" fontId="85" fillId="0" borderId="68" xfId="0" applyNumberFormat="1" applyFont="1" applyBorder="1" applyAlignment="1">
      <alignment horizontal="center" wrapText="1"/>
    </xf>
    <xf numFmtId="10" fontId="0" fillId="62" borderId="26" xfId="0" applyNumberFormat="1" applyFont="1" applyFill="1" applyBorder="1" applyAlignment="1">
      <alignment horizontal="center"/>
    </xf>
    <xf numFmtId="10" fontId="0" fillId="62" borderId="12" xfId="0" applyNumberFormat="1" applyFont="1" applyFill="1" applyBorder="1" applyAlignment="1">
      <alignment horizontal="center"/>
    </xf>
    <xf numFmtId="10" fontId="0" fillId="0" borderId="12" xfId="0" applyNumberFormat="1" applyFont="1" applyFill="1" applyBorder="1" applyAlignment="1">
      <alignment horizontal="center"/>
    </xf>
    <xf numFmtId="10" fontId="0" fillId="0" borderId="13" xfId="0" applyNumberFormat="1" applyFont="1" applyFill="1" applyBorder="1" applyAlignment="1">
      <alignment horizontal="center"/>
    </xf>
    <xf numFmtId="166" fontId="89" fillId="64" borderId="10" xfId="2" applyNumberFormat="1" applyFont="1" applyFill="1" applyBorder="1" applyAlignment="1" applyProtection="1">
      <alignment horizontal="center" wrapText="1"/>
    </xf>
    <xf numFmtId="10" fontId="57" fillId="71" borderId="10" xfId="3" applyNumberFormat="1" applyFont="1" applyFill="1" applyBorder="1" applyAlignment="1">
      <alignment horizontal="center"/>
    </xf>
    <xf numFmtId="167" fontId="57" fillId="71" borderId="10" xfId="2" applyNumberFormat="1" applyFont="1" applyFill="1" applyBorder="1" applyAlignment="1">
      <alignment horizontal="center"/>
    </xf>
    <xf numFmtId="167" fontId="57" fillId="71" borderId="64" xfId="2" applyNumberFormat="1" applyFont="1" applyFill="1" applyBorder="1" applyAlignment="1">
      <alignment horizontal="center"/>
    </xf>
    <xf numFmtId="10" fontId="57" fillId="60" borderId="10" xfId="3" applyNumberFormat="1" applyFont="1" applyFill="1" applyBorder="1" applyAlignment="1">
      <alignment horizontal="center"/>
    </xf>
    <xf numFmtId="167" fontId="57" fillId="60" borderId="10" xfId="2" applyNumberFormat="1" applyFont="1" applyFill="1" applyBorder="1" applyAlignment="1">
      <alignment horizontal="center"/>
    </xf>
    <xf numFmtId="10" fontId="57" fillId="62" borderId="10" xfId="3" applyNumberFormat="1" applyFont="1" applyFill="1" applyBorder="1" applyAlignment="1">
      <alignment horizontal="center"/>
    </xf>
    <xf numFmtId="167" fontId="57" fillId="60" borderId="64" xfId="2" applyNumberFormat="1" applyFont="1" applyFill="1" applyBorder="1" applyAlignment="1">
      <alignment horizontal="center"/>
    </xf>
    <xf numFmtId="0" fontId="82" fillId="0" borderId="10" xfId="0" applyFont="1" applyBorder="1" applyAlignment="1">
      <alignment wrapText="1"/>
    </xf>
    <xf numFmtId="2" fontId="82" fillId="63" borderId="10" xfId="0" applyNumberFormat="1" applyFont="1" applyFill="1" applyBorder="1" applyAlignment="1">
      <alignment wrapText="1"/>
    </xf>
    <xf numFmtId="10" fontId="82" fillId="63" borderId="10" xfId="0" applyNumberFormat="1" applyFont="1" applyFill="1" applyBorder="1" applyAlignment="1">
      <alignment wrapText="1"/>
    </xf>
    <xf numFmtId="0" fontId="82" fillId="63" borderId="10" xfId="0" applyFont="1" applyFill="1" applyBorder="1" applyAlignment="1">
      <alignment wrapText="1"/>
    </xf>
    <xf numFmtId="0" fontId="82" fillId="62" borderId="10" xfId="0" applyFont="1" applyFill="1" applyBorder="1" applyAlignment="1">
      <alignment wrapText="1"/>
    </xf>
    <xf numFmtId="10" fontId="82" fillId="62" borderId="10" xfId="0" applyNumberFormat="1" applyFont="1" applyFill="1" applyBorder="1" applyAlignment="1">
      <alignment wrapText="1"/>
    </xf>
    <xf numFmtId="0" fontId="59" fillId="0" borderId="10" xfId="0" applyFont="1" applyBorder="1"/>
    <xf numFmtId="0" fontId="84" fillId="33" borderId="10" xfId="0" applyNumberFormat="1" applyFont="1" applyFill="1" applyBorder="1" applyAlignment="1" applyProtection="1">
      <alignment horizontal="center" wrapText="1"/>
    </xf>
    <xf numFmtId="0" fontId="84" fillId="71" borderId="10" xfId="0" applyNumberFormat="1" applyFont="1" applyFill="1" applyBorder="1" applyAlignment="1" applyProtection="1">
      <alignment horizontal="center" wrapText="1"/>
    </xf>
    <xf numFmtId="2" fontId="84" fillId="71" borderId="10" xfId="0" applyNumberFormat="1" applyFont="1" applyFill="1" applyBorder="1" applyAlignment="1" applyProtection="1">
      <alignment horizontal="center" wrapText="1"/>
    </xf>
    <xf numFmtId="2" fontId="83" fillId="60" borderId="10" xfId="0" applyNumberFormat="1" applyFont="1" applyFill="1" applyBorder="1" applyAlignment="1" applyProtection="1">
      <alignment horizontal="center" wrapText="1"/>
    </xf>
    <xf numFmtId="2" fontId="84" fillId="60" borderId="10" xfId="0" applyNumberFormat="1" applyFont="1" applyFill="1" applyBorder="1" applyAlignment="1" applyProtection="1">
      <alignment horizontal="center" wrapText="1"/>
    </xf>
    <xf numFmtId="2" fontId="84" fillId="33" borderId="10" xfId="0" applyNumberFormat="1" applyFont="1" applyFill="1" applyBorder="1" applyAlignment="1" applyProtection="1">
      <alignment horizontal="center" wrapText="1"/>
    </xf>
    <xf numFmtId="2" fontId="83" fillId="62" borderId="10" xfId="0" applyNumberFormat="1" applyFont="1" applyFill="1" applyBorder="1" applyAlignment="1" applyProtection="1">
      <alignment horizontal="center" wrapText="1"/>
    </xf>
    <xf numFmtId="2" fontId="84" fillId="62" borderId="10" xfId="0" applyNumberFormat="1" applyFont="1" applyFill="1" applyBorder="1" applyAlignment="1" applyProtection="1">
      <alignment horizontal="center" wrapText="1"/>
    </xf>
    <xf numFmtId="0" fontId="83" fillId="60" borderId="10" xfId="0" applyNumberFormat="1" applyFont="1" applyFill="1" applyBorder="1" applyAlignment="1" applyProtection="1">
      <alignment horizontal="center" wrapText="1"/>
    </xf>
    <xf numFmtId="0" fontId="84" fillId="60" borderId="10" xfId="0" applyNumberFormat="1" applyFont="1" applyFill="1" applyBorder="1" applyAlignment="1" applyProtection="1">
      <alignment horizontal="center" wrapText="1"/>
    </xf>
    <xf numFmtId="0" fontId="60" fillId="0" borderId="53" xfId="0" applyFont="1" applyBorder="1"/>
    <xf numFmtId="0" fontId="60" fillId="0" borderId="54" xfId="0" applyFont="1" applyBorder="1"/>
    <xf numFmtId="2" fontId="60" fillId="0" borderId="54" xfId="0" applyNumberFormat="1" applyFont="1" applyBorder="1"/>
    <xf numFmtId="10" fontId="60" fillId="73" borderId="54" xfId="0" applyNumberFormat="1" applyFont="1" applyFill="1" applyBorder="1"/>
    <xf numFmtId="10" fontId="60" fillId="0" borderId="54" xfId="0" applyNumberFormat="1" applyFont="1" applyBorder="1"/>
    <xf numFmtId="166" fontId="60" fillId="0" borderId="55" xfId="0" applyNumberFormat="1" applyFont="1" applyBorder="1"/>
    <xf numFmtId="0" fontId="60" fillId="0" borderId="11" xfId="0" applyFont="1" applyBorder="1"/>
    <xf numFmtId="0" fontId="60" fillId="0" borderId="24" xfId="0" applyFont="1" applyBorder="1"/>
    <xf numFmtId="2" fontId="60" fillId="0" borderId="24" xfId="0" applyNumberFormat="1" applyFont="1" applyBorder="1"/>
    <xf numFmtId="166" fontId="60" fillId="73" borderId="24" xfId="1" applyNumberFormat="1" applyFont="1" applyFill="1" applyBorder="1"/>
    <xf numFmtId="166" fontId="60" fillId="0" borderId="24" xfId="1" applyNumberFormat="1" applyFont="1" applyBorder="1"/>
    <xf numFmtId="166" fontId="60" fillId="0" borderId="58" xfId="0" applyNumberFormat="1" applyFont="1" applyBorder="1"/>
    <xf numFmtId="0" fontId="0" fillId="0" borderId="54" xfId="0" applyFont="1" applyBorder="1"/>
    <xf numFmtId="0" fontId="82" fillId="0" borderId="12" xfId="0" applyFont="1" applyBorder="1"/>
    <xf numFmtId="166" fontId="82" fillId="62" borderId="64" xfId="0" applyNumberFormat="1" applyFont="1" applyFill="1" applyBorder="1" applyAlignment="1">
      <alignment wrapText="1"/>
    </xf>
    <xf numFmtId="0" fontId="84" fillId="0" borderId="12" xfId="0" applyNumberFormat="1" applyFont="1" applyFill="1" applyBorder="1" applyAlignment="1" applyProtection="1">
      <alignment horizontal="left" wrapText="1"/>
    </xf>
    <xf numFmtId="167" fontId="57" fillId="62" borderId="64" xfId="2" applyNumberFormat="1" applyFont="1" applyFill="1" applyBorder="1" applyAlignment="1">
      <alignment horizontal="center"/>
    </xf>
    <xf numFmtId="0" fontId="59" fillId="0" borderId="11" xfId="0" applyFont="1" applyBorder="1"/>
    <xf numFmtId="0" fontId="59" fillId="0" borderId="24" xfId="0" applyFont="1" applyBorder="1"/>
    <xf numFmtId="168" fontId="22" fillId="0" borderId="24" xfId="0" applyNumberFormat="1" applyFont="1" applyBorder="1"/>
    <xf numFmtId="166" fontId="59" fillId="0" borderId="58" xfId="0" applyNumberFormat="1" applyFont="1" applyBorder="1"/>
    <xf numFmtId="0" fontId="83" fillId="0" borderId="26" xfId="0" applyNumberFormat="1" applyFont="1" applyFill="1" applyBorder="1" applyAlignment="1" applyProtection="1">
      <alignment horizontal="center"/>
    </xf>
    <xf numFmtId="0" fontId="83" fillId="0" borderId="44" xfId="0" applyNumberFormat="1" applyFont="1" applyFill="1" applyBorder="1" applyAlignment="1" applyProtection="1">
      <alignment horizontal="center"/>
    </xf>
    <xf numFmtId="166" fontId="48" fillId="0" borderId="44" xfId="0" applyNumberFormat="1" applyFont="1" applyBorder="1" applyAlignment="1">
      <alignment horizontal="center"/>
    </xf>
    <xf numFmtId="10" fontId="84" fillId="34" borderId="44" xfId="0" applyNumberFormat="1" applyFont="1" applyFill="1" applyBorder="1" applyAlignment="1" applyProtection="1">
      <alignment horizontal="center"/>
    </xf>
    <xf numFmtId="166" fontId="57" fillId="33" borderId="44" xfId="0" applyNumberFormat="1" applyFont="1" applyFill="1" applyBorder="1" applyAlignment="1" applyProtection="1">
      <alignment horizontal="center"/>
    </xf>
    <xf numFmtId="10" fontId="84" fillId="33" borderId="44" xfId="670" applyNumberFormat="1" applyFont="1" applyFill="1" applyBorder="1" applyAlignment="1" applyProtection="1">
      <alignment horizontal="center"/>
    </xf>
    <xf numFmtId="166" fontId="84" fillId="33" borderId="44" xfId="2" applyNumberFormat="1" applyFont="1" applyFill="1" applyBorder="1" applyAlignment="1" applyProtection="1">
      <alignment horizontal="center"/>
    </xf>
    <xf numFmtId="169" fontId="84" fillId="33" borderId="25" xfId="3" applyNumberFormat="1" applyFont="1" applyFill="1" applyBorder="1" applyAlignment="1" applyProtection="1">
      <alignment horizontal="center"/>
    </xf>
    <xf numFmtId="0" fontId="16" fillId="0" borderId="11" xfId="0" applyFont="1" applyBorder="1" applyAlignment="1">
      <alignment horizontal="center"/>
    </xf>
    <xf numFmtId="0" fontId="16" fillId="0" borderId="24" xfId="0" applyFont="1" applyBorder="1" applyAlignment="1">
      <alignment horizontal="center" wrapText="1"/>
    </xf>
    <xf numFmtId="2" fontId="16" fillId="63" borderId="11" xfId="0" applyNumberFormat="1" applyFont="1" applyFill="1" applyBorder="1" applyAlignment="1">
      <alignment horizontal="center" wrapText="1"/>
    </xf>
    <xf numFmtId="0" fontId="16" fillId="63" borderId="66" xfId="0" applyFont="1" applyFill="1" applyBorder="1" applyAlignment="1">
      <alignment horizontal="center" wrapText="1"/>
    </xf>
    <xf numFmtId="0" fontId="16" fillId="63" borderId="46" xfId="0" applyFont="1" applyFill="1" applyBorder="1" applyAlignment="1">
      <alignment horizontal="center" wrapText="1"/>
    </xf>
    <xf numFmtId="0" fontId="16" fillId="62" borderId="24" xfId="0" applyFont="1" applyFill="1" applyBorder="1" applyAlignment="1">
      <alignment horizontal="center" wrapText="1"/>
    </xf>
    <xf numFmtId="0" fontId="16" fillId="62" borderId="66" xfId="0" applyFont="1" applyFill="1" applyBorder="1" applyAlignment="1">
      <alignment horizontal="center" wrapText="1"/>
    </xf>
    <xf numFmtId="0" fontId="16" fillId="62" borderId="46" xfId="0" applyFont="1" applyFill="1" applyBorder="1" applyAlignment="1">
      <alignment horizontal="center" wrapText="1"/>
    </xf>
    <xf numFmtId="0" fontId="16" fillId="62" borderId="70" xfId="0" applyFont="1" applyFill="1" applyBorder="1" applyAlignment="1">
      <alignment horizontal="center"/>
    </xf>
    <xf numFmtId="0" fontId="16" fillId="62" borderId="71" xfId="0" applyFont="1" applyFill="1" applyBorder="1" applyAlignment="1">
      <alignment horizontal="center"/>
    </xf>
    <xf numFmtId="0" fontId="57" fillId="0" borderId="53" xfId="0" applyFont="1" applyBorder="1" applyAlignment="1">
      <alignment horizontal="left"/>
    </xf>
    <xf numFmtId="0" fontId="57" fillId="0" borderId="54" xfId="0" applyFont="1" applyBorder="1"/>
    <xf numFmtId="2" fontId="82" fillId="0" borderId="54" xfId="0" applyNumberFormat="1" applyFont="1" applyBorder="1"/>
    <xf numFmtId="169" fontId="57" fillId="0" borderId="54" xfId="3" applyNumberFormat="1" applyFont="1" applyBorder="1"/>
    <xf numFmtId="166" fontId="57" fillId="0" borderId="54" xfId="2" applyNumberFormat="1" applyFont="1" applyBorder="1"/>
    <xf numFmtId="0" fontId="82" fillId="0" borderId="54" xfId="0" applyFont="1" applyBorder="1"/>
    <xf numFmtId="169" fontId="82" fillId="0" borderId="55" xfId="3" applyNumberFormat="1" applyFont="1" applyBorder="1"/>
    <xf numFmtId="0" fontId="57" fillId="0" borderId="11" xfId="0" applyFont="1" applyBorder="1"/>
    <xf numFmtId="0" fontId="57" fillId="0" borderId="24" xfId="0" applyFont="1" applyBorder="1"/>
    <xf numFmtId="2" fontId="82" fillId="0" borderId="24" xfId="0" applyNumberFormat="1" applyFont="1" applyBorder="1"/>
    <xf numFmtId="166" fontId="57" fillId="0" borderId="24" xfId="2" applyNumberFormat="1" applyFont="1" applyBorder="1"/>
    <xf numFmtId="0" fontId="82" fillId="0" borderId="24" xfId="0" applyFont="1" applyBorder="1"/>
    <xf numFmtId="166" fontId="82" fillId="0" borderId="58" xfId="2" applyNumberFormat="1" applyFont="1" applyBorder="1"/>
    <xf numFmtId="0" fontId="84" fillId="0" borderId="59" xfId="0" applyNumberFormat="1" applyFont="1" applyFill="1" applyBorder="1" applyAlignment="1" applyProtection="1">
      <alignment horizontal="left" wrapText="1"/>
    </xf>
    <xf numFmtId="0" fontId="59" fillId="0" borderId="21" xfId="0" applyFont="1" applyBorder="1"/>
    <xf numFmtId="166" fontId="89" fillId="64" borderId="21" xfId="2" applyNumberFormat="1" applyFont="1" applyFill="1" applyBorder="1" applyAlignment="1" applyProtection="1">
      <alignment horizontal="center" wrapText="1"/>
    </xf>
    <xf numFmtId="0" fontId="84" fillId="33" borderId="21" xfId="0" applyNumberFormat="1" applyFont="1" applyFill="1" applyBorder="1" applyAlignment="1" applyProtection="1">
      <alignment horizontal="center" wrapText="1"/>
    </xf>
    <xf numFmtId="0" fontId="84" fillId="60" borderId="21" xfId="0" applyNumberFormat="1" applyFont="1" applyFill="1" applyBorder="1" applyAlignment="1" applyProtection="1">
      <alignment horizontal="center" wrapText="1"/>
    </xf>
    <xf numFmtId="10" fontId="57" fillId="60" borderId="21" xfId="3" applyNumberFormat="1" applyFont="1" applyFill="1" applyBorder="1" applyAlignment="1">
      <alignment horizontal="center"/>
    </xf>
    <xf numFmtId="167" fontId="57" fillId="60" borderId="21" xfId="2" applyNumberFormat="1" applyFont="1" applyFill="1" applyBorder="1" applyAlignment="1">
      <alignment horizontal="center"/>
    </xf>
    <xf numFmtId="2" fontId="84" fillId="62" borderId="21" xfId="0" applyNumberFormat="1" applyFont="1" applyFill="1" applyBorder="1" applyAlignment="1" applyProtection="1">
      <alignment horizontal="center" wrapText="1"/>
    </xf>
    <xf numFmtId="10" fontId="57" fillId="62" borderId="21" xfId="3" applyNumberFormat="1" applyFont="1" applyFill="1" applyBorder="1" applyAlignment="1">
      <alignment horizontal="center"/>
    </xf>
    <xf numFmtId="167" fontId="57" fillId="62" borderId="72" xfId="2" applyNumberFormat="1" applyFont="1" applyFill="1" applyBorder="1" applyAlignment="1">
      <alignment horizontal="center"/>
    </xf>
    <xf numFmtId="0" fontId="84" fillId="0" borderId="67" xfId="0" applyNumberFormat="1" applyFont="1" applyFill="1" applyBorder="1" applyAlignment="1" applyProtection="1">
      <alignment horizontal="left" wrapText="1"/>
    </xf>
    <xf numFmtId="0" fontId="84" fillId="0" borderId="73" xfId="0" applyNumberFormat="1" applyFont="1" applyFill="1" applyBorder="1" applyAlignment="1" applyProtection="1">
      <alignment horizontal="left" wrapText="1"/>
    </xf>
    <xf numFmtId="167" fontId="57" fillId="0" borderId="73" xfId="0" applyNumberFormat="1" applyFont="1" applyBorder="1"/>
    <xf numFmtId="0" fontId="84" fillId="0" borderId="73" xfId="0" applyNumberFormat="1" applyFont="1" applyFill="1" applyBorder="1" applyAlignment="1" applyProtection="1">
      <alignment horizontal="center" wrapText="1"/>
    </xf>
    <xf numFmtId="10" fontId="57" fillId="0" borderId="73" xfId="3" applyNumberFormat="1" applyFont="1" applyFill="1" applyBorder="1" applyAlignment="1">
      <alignment horizontal="center"/>
    </xf>
    <xf numFmtId="167" fontId="57" fillId="0" borderId="73" xfId="2" applyNumberFormat="1" applyFont="1" applyFill="1" applyBorder="1" applyAlignment="1">
      <alignment horizontal="center"/>
    </xf>
    <xf numFmtId="2" fontId="84" fillId="0" borderId="73" xfId="0" applyNumberFormat="1" applyFont="1" applyFill="1" applyBorder="1" applyAlignment="1" applyProtection="1">
      <alignment horizontal="center" wrapText="1"/>
    </xf>
    <xf numFmtId="167" fontId="57" fillId="0" borderId="68" xfId="2" applyNumberFormat="1" applyFont="1" applyFill="1" applyBorder="1" applyAlignment="1">
      <alignment horizontal="center"/>
    </xf>
    <xf numFmtId="0" fontId="57" fillId="0" borderId="13" xfId="0" applyFont="1" applyBorder="1"/>
    <xf numFmtId="0" fontId="57" fillId="0" borderId="45" xfId="0" applyFont="1" applyBorder="1"/>
    <xf numFmtId="2" fontId="82" fillId="0" borderId="45" xfId="0" applyNumberFormat="1" applyFont="1" applyBorder="1"/>
    <xf numFmtId="166" fontId="57" fillId="0" borderId="45" xfId="2" applyNumberFormat="1" applyFont="1" applyBorder="1"/>
    <xf numFmtId="0" fontId="82" fillId="0" borderId="45" xfId="0" applyFont="1" applyBorder="1"/>
    <xf numFmtId="166" fontId="82" fillId="0" borderId="65" xfId="2" applyNumberFormat="1" applyFont="1" applyBorder="1"/>
    <xf numFmtId="0" fontId="0" fillId="0" borderId="0" xfId="0" applyFont="1" applyAlignment="1"/>
    <xf numFmtId="0" fontId="84" fillId="0" borderId="10" xfId="0" applyNumberFormat="1" applyFont="1" applyFill="1" applyBorder="1" applyAlignment="1" applyProtection="1">
      <alignment horizontal="left"/>
    </xf>
    <xf numFmtId="167" fontId="0" fillId="0" borderId="64" xfId="2" applyNumberFormat="1" applyFont="1" applyBorder="1"/>
    <xf numFmtId="0" fontId="84" fillId="0" borderId="13" xfId="0" applyNumberFormat="1" applyFont="1" applyFill="1" applyBorder="1" applyAlignment="1" applyProtection="1">
      <alignment horizontal="left" wrapText="1"/>
    </xf>
    <xf numFmtId="0" fontId="84" fillId="0" borderId="45" xfId="0" applyNumberFormat="1" applyFont="1" applyFill="1" applyBorder="1" applyAlignment="1" applyProtection="1">
      <alignment horizontal="left"/>
    </xf>
    <xf numFmtId="166" fontId="89" fillId="64" borderId="45" xfId="2" applyNumberFormat="1" applyFont="1" applyFill="1" applyBorder="1" applyAlignment="1" applyProtection="1">
      <alignment horizontal="center" wrapText="1"/>
    </xf>
    <xf numFmtId="10" fontId="0" fillId="0" borderId="45" xfId="3" applyNumberFormat="1" applyFont="1" applyBorder="1"/>
    <xf numFmtId="169" fontId="0" fillId="0" borderId="45" xfId="3" applyNumberFormat="1" applyFont="1" applyBorder="1"/>
    <xf numFmtId="167" fontId="0" fillId="0" borderId="45" xfId="2" applyNumberFormat="1" applyFont="1" applyBorder="1"/>
    <xf numFmtId="167" fontId="0" fillId="0" borderId="65" xfId="2" applyNumberFormat="1" applyFont="1" applyBorder="1"/>
    <xf numFmtId="169" fontId="0" fillId="0" borderId="22" xfId="3" applyNumberFormat="1" applyFont="1" applyBorder="1"/>
    <xf numFmtId="169" fontId="0" fillId="0" borderId="33" xfId="3" applyNumberFormat="1" applyFont="1" applyBorder="1"/>
    <xf numFmtId="10" fontId="0" fillId="0" borderId="12" xfId="3" applyNumberFormat="1" applyFont="1" applyBorder="1"/>
    <xf numFmtId="10" fontId="0" fillId="0" borderId="13" xfId="3" applyNumberFormat="1" applyFont="1" applyBorder="1"/>
    <xf numFmtId="0" fontId="84" fillId="0" borderId="26" xfId="0" applyNumberFormat="1" applyFont="1" applyFill="1" applyBorder="1" applyAlignment="1" applyProtection="1">
      <alignment horizontal="left" wrapText="1"/>
    </xf>
    <xf numFmtId="0" fontId="84" fillId="0" borderId="44" xfId="0" applyNumberFormat="1" applyFont="1" applyFill="1" applyBorder="1" applyAlignment="1" applyProtection="1">
      <alignment horizontal="left"/>
    </xf>
    <xf numFmtId="166" fontId="89" fillId="64" borderId="44" xfId="2" applyNumberFormat="1" applyFont="1" applyFill="1" applyBorder="1" applyAlignment="1" applyProtection="1">
      <alignment horizontal="center" wrapText="1"/>
    </xf>
    <xf numFmtId="10" fontId="0" fillId="0" borderId="44" xfId="3" applyNumberFormat="1" applyFont="1" applyBorder="1"/>
    <xf numFmtId="169" fontId="0" fillId="0" borderId="32" xfId="3" applyNumberFormat="1" applyFont="1" applyBorder="1"/>
    <xf numFmtId="10" fontId="0" fillId="0" borderId="26" xfId="3" applyNumberFormat="1" applyFont="1" applyBorder="1"/>
    <xf numFmtId="167" fontId="0" fillId="0" borderId="44" xfId="2" applyNumberFormat="1" applyFont="1" applyBorder="1"/>
    <xf numFmtId="169" fontId="0" fillId="0" borderId="44" xfId="3" applyNumberFormat="1" applyFont="1" applyBorder="1"/>
    <xf numFmtId="167" fontId="0" fillId="0" borderId="25" xfId="2" applyNumberFormat="1" applyFont="1" applyBorder="1"/>
    <xf numFmtId="0" fontId="16" fillId="61" borderId="34" xfId="0" applyFont="1" applyFill="1" applyBorder="1"/>
    <xf numFmtId="0" fontId="16" fillId="61" borderId="30" xfId="0" applyFont="1" applyFill="1" applyBorder="1" applyAlignment="1"/>
    <xf numFmtId="0" fontId="16" fillId="61" borderId="30" xfId="0" applyFont="1" applyFill="1" applyBorder="1" applyAlignment="1">
      <alignment wrapText="1"/>
    </xf>
    <xf numFmtId="0" fontId="16" fillId="61" borderId="34" xfId="0" applyFont="1" applyFill="1" applyBorder="1" applyAlignment="1">
      <alignment horizontal="centerContinuous" wrapText="1"/>
    </xf>
    <xf numFmtId="0" fontId="16" fillId="61" borderId="30" xfId="0" applyFont="1" applyFill="1" applyBorder="1" applyAlignment="1">
      <alignment horizontal="centerContinuous" wrapText="1"/>
    </xf>
    <xf numFmtId="0" fontId="16" fillId="61" borderId="29" xfId="0" applyFont="1" applyFill="1" applyBorder="1" applyAlignment="1">
      <alignment horizontal="centerContinuous" wrapText="1"/>
    </xf>
    <xf numFmtId="167" fontId="0" fillId="0" borderId="54" xfId="0" applyNumberFormat="1" applyFont="1" applyBorder="1"/>
    <xf numFmtId="167" fontId="0" fillId="0" borderId="55" xfId="0" applyNumberFormat="1" applyFont="1" applyBorder="1"/>
    <xf numFmtId="169" fontId="0" fillId="0" borderId="57" xfId="3" applyNumberFormat="1" applyFont="1" applyBorder="1"/>
    <xf numFmtId="10" fontId="0" fillId="0" borderId="24" xfId="3" applyNumberFormat="1" applyFont="1" applyBorder="1"/>
    <xf numFmtId="0" fontId="0" fillId="0" borderId="24" xfId="0" applyFont="1" applyBorder="1"/>
    <xf numFmtId="10" fontId="0" fillId="0" borderId="58" xfId="3" applyNumberFormat="1" applyFont="1" applyBorder="1"/>
    <xf numFmtId="0" fontId="83" fillId="0" borderId="0" xfId="0" applyNumberFormat="1" applyFont="1" applyFill="1" applyBorder="1" applyAlignment="1" applyProtection="1">
      <alignment horizontal="left" wrapText="1"/>
    </xf>
    <xf numFmtId="0" fontId="83" fillId="0" borderId="0" xfId="0" applyNumberFormat="1" applyFont="1" applyFill="1" applyBorder="1" applyAlignment="1" applyProtection="1">
      <alignment horizontal="left"/>
    </xf>
    <xf numFmtId="167" fontId="82" fillId="0" borderId="0" xfId="0" applyNumberFormat="1" applyFont="1"/>
    <xf numFmtId="0" fontId="90" fillId="0" borderId="0" xfId="0" applyFont="1" applyAlignment="1">
      <alignment vertical="center"/>
    </xf>
    <xf numFmtId="0" fontId="91" fillId="74" borderId="53" xfId="0" applyFont="1" applyFill="1" applyBorder="1" applyAlignment="1">
      <alignment horizontal="center" vertical="center"/>
    </xf>
    <xf numFmtId="0" fontId="91" fillId="74" borderId="54" xfId="0" applyFont="1" applyFill="1" applyBorder="1" applyAlignment="1">
      <alignment horizontal="center" vertical="center"/>
    </xf>
    <xf numFmtId="0" fontId="91" fillId="74" borderId="55" xfId="0" applyFont="1" applyFill="1" applyBorder="1" applyAlignment="1">
      <alignment horizontal="center" vertical="center" wrapText="1"/>
    </xf>
    <xf numFmtId="9" fontId="0" fillId="0" borderId="56" xfId="0" applyNumberFormat="1" applyBorder="1" applyAlignment="1">
      <alignment horizontal="right" vertical="center"/>
    </xf>
    <xf numFmtId="10" fontId="90" fillId="0" borderId="0" xfId="0" applyNumberFormat="1" applyFont="1" applyAlignment="1">
      <alignment horizontal="right" vertical="center"/>
    </xf>
    <xf numFmtId="0" fontId="90" fillId="0" borderId="57" xfId="0" applyFont="1" applyBorder="1" applyAlignment="1">
      <alignment vertical="center"/>
    </xf>
    <xf numFmtId="0" fontId="91" fillId="0" borderId="56" xfId="0" applyFont="1" applyBorder="1" applyAlignment="1">
      <alignment vertical="center"/>
    </xf>
    <xf numFmtId="0" fontId="90" fillId="0" borderId="56" xfId="0" applyFont="1" applyBorder="1" applyAlignment="1">
      <alignment horizontal="right" vertical="center"/>
    </xf>
    <xf numFmtId="10" fontId="91" fillId="0" borderId="0" xfId="0" applyNumberFormat="1" applyFont="1" applyAlignment="1">
      <alignment horizontal="right" vertical="center"/>
    </xf>
    <xf numFmtId="10" fontId="91" fillId="0" borderId="57" xfId="0" applyNumberFormat="1" applyFont="1" applyBorder="1" applyAlignment="1">
      <alignment horizontal="right" vertical="center"/>
    </xf>
    <xf numFmtId="0" fontId="90" fillId="0" borderId="11" xfId="0" applyFont="1" applyBorder="1" applyAlignment="1">
      <alignment horizontal="right" vertical="center"/>
    </xf>
    <xf numFmtId="10" fontId="91" fillId="0" borderId="24" xfId="0" applyNumberFormat="1" applyFont="1" applyBorder="1" applyAlignment="1">
      <alignment horizontal="right" vertical="center"/>
    </xf>
    <xf numFmtId="10" fontId="91" fillId="0" borderId="58" xfId="0" applyNumberFormat="1" applyFont="1" applyBorder="1" applyAlignment="1">
      <alignment horizontal="right" vertical="center"/>
    </xf>
    <xf numFmtId="0" fontId="91" fillId="74" borderId="55" xfId="0" applyFont="1" applyFill="1" applyBorder="1" applyAlignment="1">
      <alignment horizontal="center" vertical="center"/>
    </xf>
    <xf numFmtId="0" fontId="92" fillId="0" borderId="56" xfId="0" applyFont="1" applyBorder="1" applyAlignment="1">
      <alignment vertical="center"/>
    </xf>
    <xf numFmtId="0" fontId="90" fillId="0" borderId="56" xfId="0" applyFont="1" applyBorder="1" applyAlignment="1">
      <alignment vertical="center"/>
    </xf>
    <xf numFmtId="0" fontId="90" fillId="0" borderId="11" xfId="0" applyFont="1" applyBorder="1" applyAlignment="1">
      <alignment vertical="center"/>
    </xf>
    <xf numFmtId="0" fontId="91" fillId="0" borderId="24" xfId="0" applyFont="1" applyBorder="1" applyAlignment="1">
      <alignment vertical="center"/>
    </xf>
    <xf numFmtId="0" fontId="91" fillId="0" borderId="58" xfId="0" applyFont="1" applyBorder="1" applyAlignment="1">
      <alignment vertical="center"/>
    </xf>
    <xf numFmtId="0" fontId="79" fillId="63" borderId="0" xfId="45" applyFont="1" applyFill="1" applyAlignment="1">
      <alignment wrapText="1"/>
    </xf>
    <xf numFmtId="0" fontId="16" fillId="0" borderId="35" xfId="0" applyFont="1" applyBorder="1" applyAlignment="1">
      <alignment horizontal="left"/>
    </xf>
    <xf numFmtId="0" fontId="88" fillId="58" borderId="10" xfId="0" applyNumberFormat="1" applyFont="1" applyFill="1" applyBorder="1" applyAlignment="1" applyProtection="1">
      <alignment horizontal="center"/>
    </xf>
    <xf numFmtId="0" fontId="54" fillId="0" borderId="35" xfId="0" applyFont="1" applyFill="1" applyBorder="1" applyAlignment="1">
      <alignment horizontal="left"/>
    </xf>
    <xf numFmtId="2" fontId="53" fillId="65" borderId="22" xfId="3" applyNumberFormat="1" applyFont="1" applyFill="1" applyBorder="1" applyAlignment="1">
      <alignment horizontal="center" vertical="center" wrapText="1"/>
    </xf>
    <xf numFmtId="2" fontId="53" fillId="65" borderId="37" xfId="3" applyNumberFormat="1" applyFont="1" applyFill="1" applyBorder="1" applyAlignment="1">
      <alignment horizontal="center" vertical="center" wrapText="1"/>
    </xf>
    <xf numFmtId="0" fontId="53" fillId="65" borderId="22" xfId="0" applyFont="1" applyFill="1" applyBorder="1" applyAlignment="1">
      <alignment horizontal="center"/>
    </xf>
    <xf numFmtId="0" fontId="53" fillId="65" borderId="37" xfId="0" applyFont="1" applyFill="1" applyBorder="1" applyAlignment="1">
      <alignment horizontal="center"/>
    </xf>
    <xf numFmtId="0" fontId="52" fillId="0" borderId="36" xfId="0" applyFont="1" applyFill="1" applyBorder="1" applyAlignment="1">
      <alignment horizontal="left" wrapText="1"/>
    </xf>
    <xf numFmtId="0" fontId="52" fillId="0" borderId="0" xfId="0" applyFont="1" applyFill="1" applyBorder="1" applyAlignment="1">
      <alignment horizontal="left" wrapText="1"/>
    </xf>
    <xf numFmtId="0" fontId="16" fillId="63" borderId="69" xfId="0" applyFont="1" applyFill="1" applyBorder="1" applyAlignment="1">
      <alignment horizontal="center" wrapText="1"/>
    </xf>
    <xf numFmtId="0" fontId="16" fillId="63" borderId="70" xfId="0" applyFont="1" applyFill="1" applyBorder="1" applyAlignment="1">
      <alignment horizontal="center" wrapText="1"/>
    </xf>
    <xf numFmtId="0" fontId="16" fillId="63" borderId="71" xfId="0" applyFont="1" applyFill="1" applyBorder="1" applyAlignment="1">
      <alignment horizontal="center" wrapText="1"/>
    </xf>
    <xf numFmtId="0" fontId="0" fillId="0" borderId="53" xfId="0" applyFont="1" applyBorder="1" applyAlignment="1">
      <alignment horizontal="left" wrapText="1"/>
    </xf>
    <xf numFmtId="0" fontId="0" fillId="0" borderId="54" xfId="0" applyFont="1" applyBorder="1" applyAlignment="1">
      <alignment horizontal="left" wrapText="1"/>
    </xf>
    <xf numFmtId="0" fontId="0" fillId="0" borderId="56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0" fillId="0" borderId="11" xfId="0" applyFont="1" applyBorder="1" applyAlignment="1">
      <alignment horizontal="left" wrapText="1"/>
    </xf>
    <xf numFmtId="0" fontId="0" fillId="0" borderId="24" xfId="0" applyFont="1" applyBorder="1" applyAlignment="1">
      <alignment horizontal="left" wrapText="1"/>
    </xf>
  </cellXfs>
  <cellStyles count="1564">
    <cellStyle name="20% - Accent1" xfId="22" builtinId="30" customBuiltin="1"/>
    <cellStyle name="20% - Accent1 10" xfId="1064"/>
    <cellStyle name="20% - Accent1 10 2" xfId="1065"/>
    <cellStyle name="20% - Accent1 10 2 2" xfId="1066"/>
    <cellStyle name="20% - Accent1 10 3" xfId="1067"/>
    <cellStyle name="20% - Accent1 11" xfId="1068"/>
    <cellStyle name="20% - Accent1 11 2" xfId="1069"/>
    <cellStyle name="20% - Accent1 12" xfId="1070"/>
    <cellStyle name="20% - Accent1 13" xfId="1071"/>
    <cellStyle name="20% - Accent1 14" xfId="1072"/>
    <cellStyle name="20% - Accent1 15" xfId="1073"/>
    <cellStyle name="20% - Accent1 16" xfId="1074"/>
    <cellStyle name="20% - Accent1 17" xfId="1075"/>
    <cellStyle name="20% - Accent1 2" xfId="46"/>
    <cellStyle name="20% - Accent1 2 2" xfId="47"/>
    <cellStyle name="20% - Accent1 2 2 2" xfId="714"/>
    <cellStyle name="20% - Accent1 2 2 2 2" xfId="1076"/>
    <cellStyle name="20% - Accent1 2 2 3" xfId="1077"/>
    <cellStyle name="20% - Accent1 2 3" xfId="715"/>
    <cellStyle name="20% - Accent1 2 3 2" xfId="1078"/>
    <cellStyle name="20% - Accent1 2 4" xfId="1079"/>
    <cellStyle name="20% - Accent1 3" xfId="48"/>
    <cellStyle name="20% - Accent1 3 2" xfId="716"/>
    <cellStyle name="20% - Accent1 3 2 2" xfId="717"/>
    <cellStyle name="20% - Accent1 3 3" xfId="718"/>
    <cellStyle name="20% - Accent1 4" xfId="719"/>
    <cellStyle name="20% - Accent1 4 2" xfId="720"/>
    <cellStyle name="20% - Accent1 4 2 2" xfId="1080"/>
    <cellStyle name="20% - Accent1 4 3" xfId="1081"/>
    <cellStyle name="20% - Accent1 5" xfId="721"/>
    <cellStyle name="20% - Accent1 5 2" xfId="1082"/>
    <cellStyle name="20% - Accent1 5 2 2" xfId="1083"/>
    <cellStyle name="20% - Accent1 5 3" xfId="1084"/>
    <cellStyle name="20% - Accent1 6" xfId="1085"/>
    <cellStyle name="20% - Accent1 6 2" xfId="1086"/>
    <cellStyle name="20% - Accent1 6 2 2" xfId="1087"/>
    <cellStyle name="20% - Accent1 6 3" xfId="1088"/>
    <cellStyle name="20% - Accent1 7" xfId="1089"/>
    <cellStyle name="20% - Accent1 7 2" xfId="1090"/>
    <cellStyle name="20% - Accent1 7 2 2" xfId="1091"/>
    <cellStyle name="20% - Accent1 7 3" xfId="1092"/>
    <cellStyle name="20% - Accent1 8" xfId="1093"/>
    <cellStyle name="20% - Accent1 8 2" xfId="1094"/>
    <cellStyle name="20% - Accent1 8 2 2" xfId="1095"/>
    <cellStyle name="20% - Accent1 8 3" xfId="1096"/>
    <cellStyle name="20% - Accent1 9" xfId="1097"/>
    <cellStyle name="20% - Accent1 9 2" xfId="1098"/>
    <cellStyle name="20% - Accent1 9 2 2" xfId="1099"/>
    <cellStyle name="20% - Accent1 9 3" xfId="1100"/>
    <cellStyle name="20% - Accent2" xfId="26" builtinId="34" customBuiltin="1"/>
    <cellStyle name="20% - Accent2 10" xfId="1101"/>
    <cellStyle name="20% - Accent2 10 2" xfId="1102"/>
    <cellStyle name="20% - Accent2 10 2 2" xfId="1103"/>
    <cellStyle name="20% - Accent2 10 3" xfId="1104"/>
    <cellStyle name="20% - Accent2 11" xfId="1105"/>
    <cellStyle name="20% - Accent2 11 2" xfId="1106"/>
    <cellStyle name="20% - Accent2 12" xfId="1107"/>
    <cellStyle name="20% - Accent2 13" xfId="1108"/>
    <cellStyle name="20% - Accent2 14" xfId="1109"/>
    <cellStyle name="20% - Accent2 15" xfId="1110"/>
    <cellStyle name="20% - Accent2 16" xfId="1111"/>
    <cellStyle name="20% - Accent2 17" xfId="1112"/>
    <cellStyle name="20% - Accent2 2" xfId="49"/>
    <cellStyle name="20% - Accent2 2 2" xfId="50"/>
    <cellStyle name="20% - Accent2 2 2 2" xfId="722"/>
    <cellStyle name="20% - Accent2 2 2 2 2" xfId="1113"/>
    <cellStyle name="20% - Accent2 2 2 3" xfId="1114"/>
    <cellStyle name="20% - Accent2 2 3" xfId="723"/>
    <cellStyle name="20% - Accent2 2 3 2" xfId="1115"/>
    <cellStyle name="20% - Accent2 2 4" xfId="1116"/>
    <cellStyle name="20% - Accent2 3" xfId="51"/>
    <cellStyle name="20% - Accent2 3 2" xfId="724"/>
    <cellStyle name="20% - Accent2 3 2 2" xfId="725"/>
    <cellStyle name="20% - Accent2 3 3" xfId="726"/>
    <cellStyle name="20% - Accent2 4" xfId="727"/>
    <cellStyle name="20% - Accent2 4 2" xfId="728"/>
    <cellStyle name="20% - Accent2 4 2 2" xfId="1117"/>
    <cellStyle name="20% - Accent2 4 3" xfId="1118"/>
    <cellStyle name="20% - Accent2 5" xfId="729"/>
    <cellStyle name="20% - Accent2 5 2" xfId="1119"/>
    <cellStyle name="20% - Accent2 5 2 2" xfId="1120"/>
    <cellStyle name="20% - Accent2 5 3" xfId="1121"/>
    <cellStyle name="20% - Accent2 6" xfId="1122"/>
    <cellStyle name="20% - Accent2 6 2" xfId="1123"/>
    <cellStyle name="20% - Accent2 6 2 2" xfId="1124"/>
    <cellStyle name="20% - Accent2 6 3" xfId="1125"/>
    <cellStyle name="20% - Accent2 7" xfId="1126"/>
    <cellStyle name="20% - Accent2 7 2" xfId="1127"/>
    <cellStyle name="20% - Accent2 7 2 2" xfId="1128"/>
    <cellStyle name="20% - Accent2 7 3" xfId="1129"/>
    <cellStyle name="20% - Accent2 8" xfId="1130"/>
    <cellStyle name="20% - Accent2 8 2" xfId="1131"/>
    <cellStyle name="20% - Accent2 8 2 2" xfId="1132"/>
    <cellStyle name="20% - Accent2 8 3" xfId="1133"/>
    <cellStyle name="20% - Accent2 9" xfId="1134"/>
    <cellStyle name="20% - Accent2 9 2" xfId="1135"/>
    <cellStyle name="20% - Accent2 9 2 2" xfId="1136"/>
    <cellStyle name="20% - Accent2 9 3" xfId="1137"/>
    <cellStyle name="20% - Accent3" xfId="30" builtinId="38" customBuiltin="1"/>
    <cellStyle name="20% - Accent3 10" xfId="1138"/>
    <cellStyle name="20% - Accent3 10 2" xfId="1139"/>
    <cellStyle name="20% - Accent3 10 2 2" xfId="1140"/>
    <cellStyle name="20% - Accent3 10 3" xfId="1141"/>
    <cellStyle name="20% - Accent3 11" xfId="1142"/>
    <cellStyle name="20% - Accent3 11 2" xfId="1143"/>
    <cellStyle name="20% - Accent3 12" xfId="1144"/>
    <cellStyle name="20% - Accent3 13" xfId="1145"/>
    <cellStyle name="20% - Accent3 14" xfId="1146"/>
    <cellStyle name="20% - Accent3 15" xfId="1147"/>
    <cellStyle name="20% - Accent3 16" xfId="1148"/>
    <cellStyle name="20% - Accent3 17" xfId="1149"/>
    <cellStyle name="20% - Accent3 2" xfId="52"/>
    <cellStyle name="20% - Accent3 2 2" xfId="53"/>
    <cellStyle name="20% - Accent3 2 2 2" xfId="730"/>
    <cellStyle name="20% - Accent3 2 2 2 2" xfId="1150"/>
    <cellStyle name="20% - Accent3 2 2 3" xfId="1151"/>
    <cellStyle name="20% - Accent3 2 3" xfId="731"/>
    <cellStyle name="20% - Accent3 2 3 2" xfId="1152"/>
    <cellStyle name="20% - Accent3 2 4" xfId="1153"/>
    <cellStyle name="20% - Accent3 3" xfId="54"/>
    <cellStyle name="20% - Accent3 3 2" xfId="732"/>
    <cellStyle name="20% - Accent3 3 2 2" xfId="733"/>
    <cellStyle name="20% - Accent3 3 3" xfId="734"/>
    <cellStyle name="20% - Accent3 4" xfId="735"/>
    <cellStyle name="20% - Accent3 4 2" xfId="736"/>
    <cellStyle name="20% - Accent3 4 2 2" xfId="1154"/>
    <cellStyle name="20% - Accent3 4 3" xfId="1155"/>
    <cellStyle name="20% - Accent3 5" xfId="737"/>
    <cellStyle name="20% - Accent3 5 2" xfId="1156"/>
    <cellStyle name="20% - Accent3 5 2 2" xfId="1157"/>
    <cellStyle name="20% - Accent3 5 3" xfId="1158"/>
    <cellStyle name="20% - Accent3 6" xfId="1159"/>
    <cellStyle name="20% - Accent3 6 2" xfId="1160"/>
    <cellStyle name="20% - Accent3 6 2 2" xfId="1161"/>
    <cellStyle name="20% - Accent3 6 3" xfId="1162"/>
    <cellStyle name="20% - Accent3 7" xfId="1163"/>
    <cellStyle name="20% - Accent3 7 2" xfId="1164"/>
    <cellStyle name="20% - Accent3 7 2 2" xfId="1165"/>
    <cellStyle name="20% - Accent3 7 3" xfId="1166"/>
    <cellStyle name="20% - Accent3 8" xfId="1167"/>
    <cellStyle name="20% - Accent3 8 2" xfId="1168"/>
    <cellStyle name="20% - Accent3 8 2 2" xfId="1169"/>
    <cellStyle name="20% - Accent3 8 3" xfId="1170"/>
    <cellStyle name="20% - Accent3 9" xfId="1171"/>
    <cellStyle name="20% - Accent3 9 2" xfId="1172"/>
    <cellStyle name="20% - Accent3 9 2 2" xfId="1173"/>
    <cellStyle name="20% - Accent3 9 3" xfId="1174"/>
    <cellStyle name="20% - Accent4" xfId="34" builtinId="42" customBuiltin="1"/>
    <cellStyle name="20% - Accent4 10" xfId="1175"/>
    <cellStyle name="20% - Accent4 10 2" xfId="1176"/>
    <cellStyle name="20% - Accent4 10 2 2" xfId="1177"/>
    <cellStyle name="20% - Accent4 10 3" xfId="1178"/>
    <cellStyle name="20% - Accent4 11" xfId="1179"/>
    <cellStyle name="20% - Accent4 11 2" xfId="1180"/>
    <cellStyle name="20% - Accent4 12" xfId="1181"/>
    <cellStyle name="20% - Accent4 13" xfId="1182"/>
    <cellStyle name="20% - Accent4 14" xfId="1183"/>
    <cellStyle name="20% - Accent4 15" xfId="1184"/>
    <cellStyle name="20% - Accent4 16" xfId="1185"/>
    <cellStyle name="20% - Accent4 17" xfId="1186"/>
    <cellStyle name="20% - Accent4 2" xfId="55"/>
    <cellStyle name="20% - Accent4 2 2" xfId="56"/>
    <cellStyle name="20% - Accent4 2 2 2" xfId="738"/>
    <cellStyle name="20% - Accent4 2 2 2 2" xfId="1187"/>
    <cellStyle name="20% - Accent4 2 2 3" xfId="1188"/>
    <cellStyle name="20% - Accent4 2 3" xfId="739"/>
    <cellStyle name="20% - Accent4 2 3 2" xfId="1189"/>
    <cellStyle name="20% - Accent4 2 4" xfId="1190"/>
    <cellStyle name="20% - Accent4 3" xfId="57"/>
    <cellStyle name="20% - Accent4 3 2" xfId="740"/>
    <cellStyle name="20% - Accent4 3 2 2" xfId="741"/>
    <cellStyle name="20% - Accent4 3 3" xfId="742"/>
    <cellStyle name="20% - Accent4 4" xfId="743"/>
    <cellStyle name="20% - Accent4 4 2" xfId="744"/>
    <cellStyle name="20% - Accent4 4 2 2" xfId="1191"/>
    <cellStyle name="20% - Accent4 4 3" xfId="1192"/>
    <cellStyle name="20% - Accent4 5" xfId="745"/>
    <cellStyle name="20% - Accent4 5 2" xfId="1193"/>
    <cellStyle name="20% - Accent4 5 2 2" xfId="1194"/>
    <cellStyle name="20% - Accent4 5 3" xfId="1195"/>
    <cellStyle name="20% - Accent4 6" xfId="1196"/>
    <cellStyle name="20% - Accent4 6 2" xfId="1197"/>
    <cellStyle name="20% - Accent4 6 2 2" xfId="1198"/>
    <cellStyle name="20% - Accent4 6 3" xfId="1199"/>
    <cellStyle name="20% - Accent4 7" xfId="1200"/>
    <cellStyle name="20% - Accent4 7 2" xfId="1201"/>
    <cellStyle name="20% - Accent4 7 2 2" xfId="1202"/>
    <cellStyle name="20% - Accent4 7 3" xfId="1203"/>
    <cellStyle name="20% - Accent4 8" xfId="1204"/>
    <cellStyle name="20% - Accent4 8 2" xfId="1205"/>
    <cellStyle name="20% - Accent4 8 2 2" xfId="1206"/>
    <cellStyle name="20% - Accent4 8 3" xfId="1207"/>
    <cellStyle name="20% - Accent4 9" xfId="1208"/>
    <cellStyle name="20% - Accent4 9 2" xfId="1209"/>
    <cellStyle name="20% - Accent4 9 2 2" xfId="1210"/>
    <cellStyle name="20% - Accent4 9 3" xfId="1211"/>
    <cellStyle name="20% - Accent5" xfId="38" builtinId="46" customBuiltin="1"/>
    <cellStyle name="20% - Accent5 10" xfId="1212"/>
    <cellStyle name="20% - Accent5 10 2" xfId="1213"/>
    <cellStyle name="20% - Accent5 10 2 2" xfId="1214"/>
    <cellStyle name="20% - Accent5 10 3" xfId="1215"/>
    <cellStyle name="20% - Accent5 11" xfId="1216"/>
    <cellStyle name="20% - Accent5 11 2" xfId="1217"/>
    <cellStyle name="20% - Accent5 12" xfId="1218"/>
    <cellStyle name="20% - Accent5 13" xfId="1219"/>
    <cellStyle name="20% - Accent5 14" xfId="1220"/>
    <cellStyle name="20% - Accent5 15" xfId="1221"/>
    <cellStyle name="20% - Accent5 16" xfId="1222"/>
    <cellStyle name="20% - Accent5 17" xfId="1223"/>
    <cellStyle name="20% - Accent5 2" xfId="58"/>
    <cellStyle name="20% - Accent5 2 2" xfId="59"/>
    <cellStyle name="20% - Accent5 2 2 2" xfId="746"/>
    <cellStyle name="20% - Accent5 2 2 2 2" xfId="1224"/>
    <cellStyle name="20% - Accent5 2 2 3" xfId="1225"/>
    <cellStyle name="20% - Accent5 2 3" xfId="747"/>
    <cellStyle name="20% - Accent5 2 3 2" xfId="748"/>
    <cellStyle name="20% - Accent5 2 4" xfId="749"/>
    <cellStyle name="20% - Accent5 3" xfId="60"/>
    <cellStyle name="20% - Accent5 3 2" xfId="750"/>
    <cellStyle name="20% - Accent5 3 2 2" xfId="1226"/>
    <cellStyle name="20% - Accent5 3 3" xfId="1227"/>
    <cellStyle name="20% - Accent5 4" xfId="751"/>
    <cellStyle name="20% - Accent5 4 2" xfId="1228"/>
    <cellStyle name="20% - Accent5 4 2 2" xfId="1229"/>
    <cellStyle name="20% - Accent5 4 3" xfId="1230"/>
    <cellStyle name="20% - Accent5 5" xfId="1231"/>
    <cellStyle name="20% - Accent5 5 2" xfId="1232"/>
    <cellStyle name="20% - Accent5 5 2 2" xfId="1233"/>
    <cellStyle name="20% - Accent5 5 3" xfId="1234"/>
    <cellStyle name="20% - Accent5 6" xfId="1235"/>
    <cellStyle name="20% - Accent5 6 2" xfId="1236"/>
    <cellStyle name="20% - Accent5 6 2 2" xfId="1237"/>
    <cellStyle name="20% - Accent5 6 3" xfId="1238"/>
    <cellStyle name="20% - Accent5 7" xfId="1239"/>
    <cellStyle name="20% - Accent5 7 2" xfId="1240"/>
    <cellStyle name="20% - Accent5 7 2 2" xfId="1241"/>
    <cellStyle name="20% - Accent5 7 3" xfId="1242"/>
    <cellStyle name="20% - Accent5 8" xfId="1243"/>
    <cellStyle name="20% - Accent5 8 2" xfId="1244"/>
    <cellStyle name="20% - Accent5 8 2 2" xfId="1245"/>
    <cellStyle name="20% - Accent5 8 3" xfId="1246"/>
    <cellStyle name="20% - Accent5 9" xfId="1247"/>
    <cellStyle name="20% - Accent5 9 2" xfId="1248"/>
    <cellStyle name="20% - Accent5 9 2 2" xfId="1249"/>
    <cellStyle name="20% - Accent5 9 3" xfId="1250"/>
    <cellStyle name="20% - Accent6" xfId="42" builtinId="50" customBuiltin="1"/>
    <cellStyle name="20% - Accent6 10" xfId="1251"/>
    <cellStyle name="20% - Accent6 10 2" xfId="1252"/>
    <cellStyle name="20% - Accent6 10 2 2" xfId="1253"/>
    <cellStyle name="20% - Accent6 10 3" xfId="1254"/>
    <cellStyle name="20% - Accent6 11" xfId="1255"/>
    <cellStyle name="20% - Accent6 11 2" xfId="1256"/>
    <cellStyle name="20% - Accent6 12" xfId="1257"/>
    <cellStyle name="20% - Accent6 13" xfId="1258"/>
    <cellStyle name="20% - Accent6 14" xfId="1259"/>
    <cellStyle name="20% - Accent6 15" xfId="1260"/>
    <cellStyle name="20% - Accent6 16" xfId="1261"/>
    <cellStyle name="20% - Accent6 17" xfId="1262"/>
    <cellStyle name="20% - Accent6 2" xfId="61"/>
    <cellStyle name="20% - Accent6 2 2" xfId="62"/>
    <cellStyle name="20% - Accent6 2 2 2" xfId="752"/>
    <cellStyle name="20% - Accent6 2 2 2 2" xfId="1263"/>
    <cellStyle name="20% - Accent6 2 2 3" xfId="1264"/>
    <cellStyle name="20% - Accent6 2 3" xfId="753"/>
    <cellStyle name="20% - Accent6 2 3 2" xfId="754"/>
    <cellStyle name="20% - Accent6 2 4" xfId="755"/>
    <cellStyle name="20% - Accent6 3" xfId="63"/>
    <cellStyle name="20% - Accent6 3 2" xfId="756"/>
    <cellStyle name="20% - Accent6 3 2 2" xfId="1265"/>
    <cellStyle name="20% - Accent6 3 3" xfId="1266"/>
    <cellStyle name="20% - Accent6 4" xfId="757"/>
    <cellStyle name="20% - Accent6 4 2" xfId="1267"/>
    <cellStyle name="20% - Accent6 4 2 2" xfId="1268"/>
    <cellStyle name="20% - Accent6 4 3" xfId="1269"/>
    <cellStyle name="20% - Accent6 5" xfId="1270"/>
    <cellStyle name="20% - Accent6 5 2" xfId="1271"/>
    <cellStyle name="20% - Accent6 5 2 2" xfId="1272"/>
    <cellStyle name="20% - Accent6 5 3" xfId="1273"/>
    <cellStyle name="20% - Accent6 6" xfId="1274"/>
    <cellStyle name="20% - Accent6 6 2" xfId="1275"/>
    <cellStyle name="20% - Accent6 6 2 2" xfId="1276"/>
    <cellStyle name="20% - Accent6 6 3" xfId="1277"/>
    <cellStyle name="20% - Accent6 7" xfId="1278"/>
    <cellStyle name="20% - Accent6 7 2" xfId="1279"/>
    <cellStyle name="20% - Accent6 7 2 2" xfId="1280"/>
    <cellStyle name="20% - Accent6 7 3" xfId="1281"/>
    <cellStyle name="20% - Accent6 8" xfId="1282"/>
    <cellStyle name="20% - Accent6 8 2" xfId="1283"/>
    <cellStyle name="20% - Accent6 8 2 2" xfId="1284"/>
    <cellStyle name="20% - Accent6 8 3" xfId="1285"/>
    <cellStyle name="20% - Accent6 9" xfId="1286"/>
    <cellStyle name="20% - Accent6 9 2" xfId="1287"/>
    <cellStyle name="20% - Accent6 9 2 2" xfId="1288"/>
    <cellStyle name="20% - Accent6 9 3" xfId="1289"/>
    <cellStyle name="40% - Accent1" xfId="23" builtinId="31" customBuiltin="1"/>
    <cellStyle name="40% - Accent1 10" xfId="1290"/>
    <cellStyle name="40% - Accent1 10 2" xfId="1291"/>
    <cellStyle name="40% - Accent1 10 2 2" xfId="1292"/>
    <cellStyle name="40% - Accent1 10 3" xfId="1293"/>
    <cellStyle name="40% - Accent1 11" xfId="1294"/>
    <cellStyle name="40% - Accent1 11 2" xfId="1295"/>
    <cellStyle name="40% - Accent1 12" xfId="1296"/>
    <cellStyle name="40% - Accent1 13" xfId="1297"/>
    <cellStyle name="40% - Accent1 14" xfId="1298"/>
    <cellStyle name="40% - Accent1 15" xfId="1299"/>
    <cellStyle name="40% - Accent1 16" xfId="1300"/>
    <cellStyle name="40% - Accent1 17" xfId="1301"/>
    <cellStyle name="40% - Accent1 2" xfId="64"/>
    <cellStyle name="40% - Accent1 2 2" xfId="65"/>
    <cellStyle name="40% - Accent1 2 2 2" xfId="758"/>
    <cellStyle name="40% - Accent1 2 2 2 2" xfId="1302"/>
    <cellStyle name="40% - Accent1 2 2 3" xfId="1303"/>
    <cellStyle name="40% - Accent1 2 3" xfId="759"/>
    <cellStyle name="40% - Accent1 2 3 2" xfId="760"/>
    <cellStyle name="40% - Accent1 2 4" xfId="761"/>
    <cellStyle name="40% - Accent1 3" xfId="66"/>
    <cellStyle name="40% - Accent1 3 2" xfId="762"/>
    <cellStyle name="40% - Accent1 3 2 2" xfId="1304"/>
    <cellStyle name="40% - Accent1 3 3" xfId="1305"/>
    <cellStyle name="40% - Accent1 4" xfId="763"/>
    <cellStyle name="40% - Accent1 4 2" xfId="1306"/>
    <cellStyle name="40% - Accent1 4 2 2" xfId="1307"/>
    <cellStyle name="40% - Accent1 4 3" xfId="1308"/>
    <cellStyle name="40% - Accent1 5" xfId="1309"/>
    <cellStyle name="40% - Accent1 5 2" xfId="1310"/>
    <cellStyle name="40% - Accent1 5 2 2" xfId="1311"/>
    <cellStyle name="40% - Accent1 5 3" xfId="1312"/>
    <cellStyle name="40% - Accent1 6" xfId="1313"/>
    <cellStyle name="40% - Accent1 6 2" xfId="1314"/>
    <cellStyle name="40% - Accent1 6 2 2" xfId="1315"/>
    <cellStyle name="40% - Accent1 6 3" xfId="1316"/>
    <cellStyle name="40% - Accent1 7" xfId="1317"/>
    <cellStyle name="40% - Accent1 7 2" xfId="1318"/>
    <cellStyle name="40% - Accent1 7 2 2" xfId="1319"/>
    <cellStyle name="40% - Accent1 7 3" xfId="1320"/>
    <cellStyle name="40% - Accent1 8" xfId="1321"/>
    <cellStyle name="40% - Accent1 8 2" xfId="1322"/>
    <cellStyle name="40% - Accent1 8 2 2" xfId="1323"/>
    <cellStyle name="40% - Accent1 8 3" xfId="1324"/>
    <cellStyle name="40% - Accent1 9" xfId="1325"/>
    <cellStyle name="40% - Accent1 9 2" xfId="1326"/>
    <cellStyle name="40% - Accent1 9 2 2" xfId="1327"/>
    <cellStyle name="40% - Accent1 9 3" xfId="1328"/>
    <cellStyle name="40% - Accent2" xfId="27" builtinId="35" customBuiltin="1"/>
    <cellStyle name="40% - Accent2 10" xfId="1329"/>
    <cellStyle name="40% - Accent2 10 2" xfId="1330"/>
    <cellStyle name="40% - Accent2 10 2 2" xfId="1331"/>
    <cellStyle name="40% - Accent2 10 3" xfId="1332"/>
    <cellStyle name="40% - Accent2 11" xfId="1333"/>
    <cellStyle name="40% - Accent2 11 2" xfId="1334"/>
    <cellStyle name="40% - Accent2 12" xfId="1335"/>
    <cellStyle name="40% - Accent2 13" xfId="1336"/>
    <cellStyle name="40% - Accent2 14" xfId="1337"/>
    <cellStyle name="40% - Accent2 15" xfId="1338"/>
    <cellStyle name="40% - Accent2 16" xfId="1339"/>
    <cellStyle name="40% - Accent2 17" xfId="1340"/>
    <cellStyle name="40% - Accent2 2" xfId="67"/>
    <cellStyle name="40% - Accent2 2 2" xfId="68"/>
    <cellStyle name="40% - Accent2 2 2 2" xfId="764"/>
    <cellStyle name="40% - Accent2 2 2 2 2" xfId="1341"/>
    <cellStyle name="40% - Accent2 2 2 3" xfId="1342"/>
    <cellStyle name="40% - Accent2 2 3" xfId="765"/>
    <cellStyle name="40% - Accent2 2 3 2" xfId="766"/>
    <cellStyle name="40% - Accent2 2 4" xfId="767"/>
    <cellStyle name="40% - Accent2 3" xfId="69"/>
    <cellStyle name="40% - Accent2 3 2" xfId="768"/>
    <cellStyle name="40% - Accent2 3 2 2" xfId="1343"/>
    <cellStyle name="40% - Accent2 3 3" xfId="1344"/>
    <cellStyle name="40% - Accent2 4" xfId="769"/>
    <cellStyle name="40% - Accent2 4 2" xfId="1345"/>
    <cellStyle name="40% - Accent2 4 2 2" xfId="1346"/>
    <cellStyle name="40% - Accent2 4 3" xfId="1347"/>
    <cellStyle name="40% - Accent2 5" xfId="1348"/>
    <cellStyle name="40% - Accent2 5 2" xfId="1349"/>
    <cellStyle name="40% - Accent2 5 2 2" xfId="1350"/>
    <cellStyle name="40% - Accent2 5 3" xfId="1351"/>
    <cellStyle name="40% - Accent2 6" xfId="1352"/>
    <cellStyle name="40% - Accent2 6 2" xfId="1353"/>
    <cellStyle name="40% - Accent2 6 2 2" xfId="1354"/>
    <cellStyle name="40% - Accent2 6 3" xfId="1355"/>
    <cellStyle name="40% - Accent2 7" xfId="1356"/>
    <cellStyle name="40% - Accent2 7 2" xfId="1357"/>
    <cellStyle name="40% - Accent2 7 2 2" xfId="1358"/>
    <cellStyle name="40% - Accent2 7 3" xfId="1359"/>
    <cellStyle name="40% - Accent2 8" xfId="1360"/>
    <cellStyle name="40% - Accent2 8 2" xfId="1361"/>
    <cellStyle name="40% - Accent2 8 2 2" xfId="1362"/>
    <cellStyle name="40% - Accent2 8 3" xfId="1363"/>
    <cellStyle name="40% - Accent2 9" xfId="1364"/>
    <cellStyle name="40% - Accent2 9 2" xfId="1365"/>
    <cellStyle name="40% - Accent2 9 2 2" xfId="1366"/>
    <cellStyle name="40% - Accent2 9 3" xfId="1367"/>
    <cellStyle name="40% - Accent3" xfId="31" builtinId="39" customBuiltin="1"/>
    <cellStyle name="40% - Accent3 10" xfId="1368"/>
    <cellStyle name="40% - Accent3 10 2" xfId="1369"/>
    <cellStyle name="40% - Accent3 10 2 2" xfId="1370"/>
    <cellStyle name="40% - Accent3 10 3" xfId="1371"/>
    <cellStyle name="40% - Accent3 11" xfId="1372"/>
    <cellStyle name="40% - Accent3 11 2" xfId="1373"/>
    <cellStyle name="40% - Accent3 12" xfId="1374"/>
    <cellStyle name="40% - Accent3 13" xfId="1375"/>
    <cellStyle name="40% - Accent3 14" xfId="1376"/>
    <cellStyle name="40% - Accent3 15" xfId="1377"/>
    <cellStyle name="40% - Accent3 16" xfId="1378"/>
    <cellStyle name="40% - Accent3 17" xfId="1379"/>
    <cellStyle name="40% - Accent3 2" xfId="70"/>
    <cellStyle name="40% - Accent3 2 2" xfId="71"/>
    <cellStyle name="40% - Accent3 2 2 2" xfId="770"/>
    <cellStyle name="40% - Accent3 2 2 2 2" xfId="1380"/>
    <cellStyle name="40% - Accent3 2 2 3" xfId="1381"/>
    <cellStyle name="40% - Accent3 2 3" xfId="771"/>
    <cellStyle name="40% - Accent3 2 3 2" xfId="1382"/>
    <cellStyle name="40% - Accent3 2 4" xfId="1383"/>
    <cellStyle name="40% - Accent3 3" xfId="72"/>
    <cellStyle name="40% - Accent3 3 2" xfId="772"/>
    <cellStyle name="40% - Accent3 3 2 2" xfId="773"/>
    <cellStyle name="40% - Accent3 3 3" xfId="774"/>
    <cellStyle name="40% - Accent3 4" xfId="775"/>
    <cellStyle name="40% - Accent3 4 2" xfId="776"/>
    <cellStyle name="40% - Accent3 4 2 2" xfId="1384"/>
    <cellStyle name="40% - Accent3 4 3" xfId="1385"/>
    <cellStyle name="40% - Accent3 5" xfId="777"/>
    <cellStyle name="40% - Accent3 5 2" xfId="1386"/>
    <cellStyle name="40% - Accent3 5 2 2" xfId="1387"/>
    <cellStyle name="40% - Accent3 5 3" xfId="1388"/>
    <cellStyle name="40% - Accent3 6" xfId="1389"/>
    <cellStyle name="40% - Accent3 6 2" xfId="1390"/>
    <cellStyle name="40% - Accent3 6 2 2" xfId="1391"/>
    <cellStyle name="40% - Accent3 6 3" xfId="1392"/>
    <cellStyle name="40% - Accent3 7" xfId="1393"/>
    <cellStyle name="40% - Accent3 7 2" xfId="1394"/>
    <cellStyle name="40% - Accent3 7 2 2" xfId="1395"/>
    <cellStyle name="40% - Accent3 7 3" xfId="1396"/>
    <cellStyle name="40% - Accent3 8" xfId="1397"/>
    <cellStyle name="40% - Accent3 8 2" xfId="1398"/>
    <cellStyle name="40% - Accent3 8 2 2" xfId="1399"/>
    <cellStyle name="40% - Accent3 8 3" xfId="1400"/>
    <cellStyle name="40% - Accent3 9" xfId="1401"/>
    <cellStyle name="40% - Accent3 9 2" xfId="1402"/>
    <cellStyle name="40% - Accent3 9 2 2" xfId="1403"/>
    <cellStyle name="40% - Accent3 9 3" xfId="1404"/>
    <cellStyle name="40% - Accent4" xfId="35" builtinId="43" customBuiltin="1"/>
    <cellStyle name="40% - Accent4 10" xfId="1405"/>
    <cellStyle name="40% - Accent4 10 2" xfId="1406"/>
    <cellStyle name="40% - Accent4 10 2 2" xfId="1407"/>
    <cellStyle name="40% - Accent4 10 3" xfId="1408"/>
    <cellStyle name="40% - Accent4 11" xfId="1409"/>
    <cellStyle name="40% - Accent4 11 2" xfId="1410"/>
    <cellStyle name="40% - Accent4 12" xfId="1411"/>
    <cellStyle name="40% - Accent4 13" xfId="1412"/>
    <cellStyle name="40% - Accent4 14" xfId="1413"/>
    <cellStyle name="40% - Accent4 15" xfId="1414"/>
    <cellStyle name="40% - Accent4 16" xfId="1415"/>
    <cellStyle name="40% - Accent4 17" xfId="1416"/>
    <cellStyle name="40% - Accent4 2" xfId="73"/>
    <cellStyle name="40% - Accent4 2 2" xfId="74"/>
    <cellStyle name="40% - Accent4 2 2 2" xfId="778"/>
    <cellStyle name="40% - Accent4 2 2 2 2" xfId="1417"/>
    <cellStyle name="40% - Accent4 2 2 3" xfId="1418"/>
    <cellStyle name="40% - Accent4 2 3" xfId="779"/>
    <cellStyle name="40% - Accent4 2 3 2" xfId="780"/>
    <cellStyle name="40% - Accent4 2 4" xfId="781"/>
    <cellStyle name="40% - Accent4 3" xfId="75"/>
    <cellStyle name="40% - Accent4 3 2" xfId="782"/>
    <cellStyle name="40% - Accent4 3 2 2" xfId="1419"/>
    <cellStyle name="40% - Accent4 3 3" xfId="1420"/>
    <cellStyle name="40% - Accent4 4" xfId="783"/>
    <cellStyle name="40% - Accent4 4 2" xfId="1421"/>
    <cellStyle name="40% - Accent4 4 2 2" xfId="1422"/>
    <cellStyle name="40% - Accent4 4 3" xfId="1423"/>
    <cellStyle name="40% - Accent4 5" xfId="1424"/>
    <cellStyle name="40% - Accent4 5 2" xfId="1425"/>
    <cellStyle name="40% - Accent4 5 2 2" xfId="1426"/>
    <cellStyle name="40% - Accent4 5 3" xfId="1427"/>
    <cellStyle name="40% - Accent4 6" xfId="1428"/>
    <cellStyle name="40% - Accent4 6 2" xfId="1429"/>
    <cellStyle name="40% - Accent4 6 2 2" xfId="1430"/>
    <cellStyle name="40% - Accent4 6 3" xfId="1431"/>
    <cellStyle name="40% - Accent4 7" xfId="1432"/>
    <cellStyle name="40% - Accent4 7 2" xfId="1433"/>
    <cellStyle name="40% - Accent4 7 2 2" xfId="1434"/>
    <cellStyle name="40% - Accent4 7 3" xfId="1435"/>
    <cellStyle name="40% - Accent4 8" xfId="1436"/>
    <cellStyle name="40% - Accent4 8 2" xfId="1437"/>
    <cellStyle name="40% - Accent4 8 2 2" xfId="1438"/>
    <cellStyle name="40% - Accent4 8 3" xfId="1439"/>
    <cellStyle name="40% - Accent4 9" xfId="1440"/>
    <cellStyle name="40% - Accent4 9 2" xfId="1441"/>
    <cellStyle name="40% - Accent4 9 2 2" xfId="1442"/>
    <cellStyle name="40% - Accent4 9 3" xfId="1443"/>
    <cellStyle name="40% - Accent5" xfId="39" builtinId="47" customBuiltin="1"/>
    <cellStyle name="40% - Accent5 10" xfId="1444"/>
    <cellStyle name="40% - Accent5 10 2" xfId="1445"/>
    <cellStyle name="40% - Accent5 10 2 2" xfId="1446"/>
    <cellStyle name="40% - Accent5 10 3" xfId="1447"/>
    <cellStyle name="40% - Accent5 11" xfId="1448"/>
    <cellStyle name="40% - Accent5 11 2" xfId="1449"/>
    <cellStyle name="40% - Accent5 12" xfId="1450"/>
    <cellStyle name="40% - Accent5 13" xfId="1451"/>
    <cellStyle name="40% - Accent5 14" xfId="1452"/>
    <cellStyle name="40% - Accent5 15" xfId="1453"/>
    <cellStyle name="40% - Accent5 16" xfId="1454"/>
    <cellStyle name="40% - Accent5 17" xfId="1455"/>
    <cellStyle name="40% - Accent5 2" xfId="76"/>
    <cellStyle name="40% - Accent5 2 2" xfId="77"/>
    <cellStyle name="40% - Accent5 2 2 2" xfId="784"/>
    <cellStyle name="40% - Accent5 2 2 2 2" xfId="1456"/>
    <cellStyle name="40% - Accent5 2 2 3" xfId="1457"/>
    <cellStyle name="40% - Accent5 2 3" xfId="785"/>
    <cellStyle name="40% - Accent5 2 3 2" xfId="786"/>
    <cellStyle name="40% - Accent5 2 4" xfId="787"/>
    <cellStyle name="40% - Accent5 3" xfId="78"/>
    <cellStyle name="40% - Accent5 3 2" xfId="788"/>
    <cellStyle name="40% - Accent5 3 2 2" xfId="1458"/>
    <cellStyle name="40% - Accent5 3 3" xfId="1459"/>
    <cellStyle name="40% - Accent5 4" xfId="789"/>
    <cellStyle name="40% - Accent5 4 2" xfId="1460"/>
    <cellStyle name="40% - Accent5 4 2 2" xfId="1461"/>
    <cellStyle name="40% - Accent5 4 3" xfId="1462"/>
    <cellStyle name="40% - Accent5 5" xfId="1463"/>
    <cellStyle name="40% - Accent5 5 2" xfId="1464"/>
    <cellStyle name="40% - Accent5 5 2 2" xfId="1465"/>
    <cellStyle name="40% - Accent5 5 3" xfId="1466"/>
    <cellStyle name="40% - Accent5 6" xfId="1467"/>
    <cellStyle name="40% - Accent5 6 2" xfId="1468"/>
    <cellStyle name="40% - Accent5 6 2 2" xfId="1469"/>
    <cellStyle name="40% - Accent5 6 3" xfId="1470"/>
    <cellStyle name="40% - Accent5 7" xfId="1471"/>
    <cellStyle name="40% - Accent5 7 2" xfId="1472"/>
    <cellStyle name="40% - Accent5 7 2 2" xfId="1473"/>
    <cellStyle name="40% - Accent5 7 3" xfId="1474"/>
    <cellStyle name="40% - Accent5 8" xfId="1475"/>
    <cellStyle name="40% - Accent5 8 2" xfId="1476"/>
    <cellStyle name="40% - Accent5 8 2 2" xfId="1477"/>
    <cellStyle name="40% - Accent5 8 3" xfId="1478"/>
    <cellStyle name="40% - Accent5 9" xfId="1479"/>
    <cellStyle name="40% - Accent5 9 2" xfId="1480"/>
    <cellStyle name="40% - Accent5 9 2 2" xfId="1481"/>
    <cellStyle name="40% - Accent5 9 3" xfId="1482"/>
    <cellStyle name="40% - Accent6" xfId="43" builtinId="51" customBuiltin="1"/>
    <cellStyle name="40% - Accent6 10" xfId="1483"/>
    <cellStyle name="40% - Accent6 10 2" xfId="1484"/>
    <cellStyle name="40% - Accent6 10 2 2" xfId="1485"/>
    <cellStyle name="40% - Accent6 10 3" xfId="1486"/>
    <cellStyle name="40% - Accent6 11" xfId="1487"/>
    <cellStyle name="40% - Accent6 11 2" xfId="1488"/>
    <cellStyle name="40% - Accent6 12" xfId="1489"/>
    <cellStyle name="40% - Accent6 13" xfId="1490"/>
    <cellStyle name="40% - Accent6 14" xfId="1491"/>
    <cellStyle name="40% - Accent6 15" xfId="1492"/>
    <cellStyle name="40% - Accent6 16" xfId="1493"/>
    <cellStyle name="40% - Accent6 17" xfId="1494"/>
    <cellStyle name="40% - Accent6 2" xfId="79"/>
    <cellStyle name="40% - Accent6 2 2" xfId="80"/>
    <cellStyle name="40% - Accent6 2 2 2" xfId="790"/>
    <cellStyle name="40% - Accent6 2 2 2 2" xfId="1495"/>
    <cellStyle name="40% - Accent6 2 2 3" xfId="1496"/>
    <cellStyle name="40% - Accent6 2 3" xfId="791"/>
    <cellStyle name="40% - Accent6 2 3 2" xfId="792"/>
    <cellStyle name="40% - Accent6 2 4" xfId="793"/>
    <cellStyle name="40% - Accent6 3" xfId="81"/>
    <cellStyle name="40% - Accent6 3 2" xfId="794"/>
    <cellStyle name="40% - Accent6 3 2 2" xfId="1497"/>
    <cellStyle name="40% - Accent6 3 3" xfId="1498"/>
    <cellStyle name="40% - Accent6 4" xfId="795"/>
    <cellStyle name="40% - Accent6 4 2" xfId="1499"/>
    <cellStyle name="40% - Accent6 4 2 2" xfId="1500"/>
    <cellStyle name="40% - Accent6 4 3" xfId="1501"/>
    <cellStyle name="40% - Accent6 5" xfId="1502"/>
    <cellStyle name="40% - Accent6 5 2" xfId="1503"/>
    <cellStyle name="40% - Accent6 5 2 2" xfId="1504"/>
    <cellStyle name="40% - Accent6 5 3" xfId="1505"/>
    <cellStyle name="40% - Accent6 6" xfId="1506"/>
    <cellStyle name="40% - Accent6 6 2" xfId="1507"/>
    <cellStyle name="40% - Accent6 6 2 2" xfId="1508"/>
    <cellStyle name="40% - Accent6 6 3" xfId="1509"/>
    <cellStyle name="40% - Accent6 7" xfId="1510"/>
    <cellStyle name="40% - Accent6 7 2" xfId="1511"/>
    <cellStyle name="40% - Accent6 7 2 2" xfId="1512"/>
    <cellStyle name="40% - Accent6 7 3" xfId="1513"/>
    <cellStyle name="40% - Accent6 8" xfId="1514"/>
    <cellStyle name="40% - Accent6 8 2" xfId="1515"/>
    <cellStyle name="40% - Accent6 8 2 2" xfId="1516"/>
    <cellStyle name="40% - Accent6 8 3" xfId="1517"/>
    <cellStyle name="40% - Accent6 9" xfId="1518"/>
    <cellStyle name="40% - Accent6 9 2" xfId="1519"/>
    <cellStyle name="40% - Accent6 9 2 2" xfId="1520"/>
    <cellStyle name="40% - Accent6 9 3" xfId="1521"/>
    <cellStyle name="60% - Accent1" xfId="24" builtinId="32" customBuiltin="1"/>
    <cellStyle name="60% - Accent1 2" xfId="82"/>
    <cellStyle name="60% - Accent1 2 2" xfId="83"/>
    <cellStyle name="60% - Accent1 2 2 2" xfId="796"/>
    <cellStyle name="60% - Accent1 2 3" xfId="797"/>
    <cellStyle name="60% - Accent1 2 3 2" xfId="798"/>
    <cellStyle name="60% - Accent1 2 4" xfId="799"/>
    <cellStyle name="60% - Accent1 3" xfId="84"/>
    <cellStyle name="60% - Accent1 3 2" xfId="800"/>
    <cellStyle name="60% - Accent2" xfId="28" builtinId="36" customBuiltin="1"/>
    <cellStyle name="60% - Accent2 2" xfId="85"/>
    <cellStyle name="60% - Accent2 2 2" xfId="86"/>
    <cellStyle name="60% - Accent2 2 2 2" xfId="801"/>
    <cellStyle name="60% - Accent2 2 3" xfId="802"/>
    <cellStyle name="60% - Accent2 2 3 2" xfId="803"/>
    <cellStyle name="60% - Accent2 2 4" xfId="804"/>
    <cellStyle name="60% - Accent2 3" xfId="87"/>
    <cellStyle name="60% - Accent2 3 2" xfId="805"/>
    <cellStyle name="60% - Accent3" xfId="32" builtinId="40" customBuiltin="1"/>
    <cellStyle name="60% - Accent3 2" xfId="88"/>
    <cellStyle name="60% - Accent3 2 2" xfId="89"/>
    <cellStyle name="60% - Accent3 2 2 2" xfId="806"/>
    <cellStyle name="60% - Accent3 2 3" xfId="807"/>
    <cellStyle name="60% - Accent3 3" xfId="90"/>
    <cellStyle name="60% - Accent3 3 2" xfId="808"/>
    <cellStyle name="60% - Accent3 3 2 2" xfId="809"/>
    <cellStyle name="60% - Accent3 3 3" xfId="810"/>
    <cellStyle name="60% - Accent3 4" xfId="811"/>
    <cellStyle name="60% - Accent3 4 2" xfId="812"/>
    <cellStyle name="60% - Accent4" xfId="36" builtinId="44" customBuiltin="1"/>
    <cellStyle name="60% - Accent4 2" xfId="91"/>
    <cellStyle name="60% - Accent4 2 2" xfId="92"/>
    <cellStyle name="60% - Accent4 2 2 2" xfId="813"/>
    <cellStyle name="60% - Accent4 2 3" xfId="814"/>
    <cellStyle name="60% - Accent4 3" xfId="93"/>
    <cellStyle name="60% - Accent4 3 2" xfId="815"/>
    <cellStyle name="60% - Accent4 3 2 2" xfId="816"/>
    <cellStyle name="60% - Accent4 3 3" xfId="817"/>
    <cellStyle name="60% - Accent4 4" xfId="818"/>
    <cellStyle name="60% - Accent4 4 2" xfId="819"/>
    <cellStyle name="60% - Accent5" xfId="40" builtinId="48" customBuiltin="1"/>
    <cellStyle name="60% - Accent5 2" xfId="94"/>
    <cellStyle name="60% - Accent5 2 2" xfId="95"/>
    <cellStyle name="60% - Accent5 2 2 2" xfId="820"/>
    <cellStyle name="60% - Accent5 2 3" xfId="821"/>
    <cellStyle name="60% - Accent5 2 3 2" xfId="822"/>
    <cellStyle name="60% - Accent5 2 4" xfId="823"/>
    <cellStyle name="60% - Accent5 3" xfId="96"/>
    <cellStyle name="60% - Accent5 3 2" xfId="824"/>
    <cellStyle name="60% - Accent6" xfId="44" builtinId="52" customBuiltin="1"/>
    <cellStyle name="60% - Accent6 2" xfId="97"/>
    <cellStyle name="60% - Accent6 2 2" xfId="98"/>
    <cellStyle name="60% - Accent6 2 2 2" xfId="825"/>
    <cellStyle name="60% - Accent6 2 3" xfId="826"/>
    <cellStyle name="60% - Accent6 3" xfId="99"/>
    <cellStyle name="60% - Accent6 3 2" xfId="827"/>
    <cellStyle name="60% - Accent6 3 2 2" xfId="828"/>
    <cellStyle name="60% - Accent6 3 3" xfId="829"/>
    <cellStyle name="60% - Accent6 4" xfId="830"/>
    <cellStyle name="60% - Accent6 4 2" xfId="831"/>
    <cellStyle name="Accent1" xfId="21" builtinId="29" customBuiltin="1"/>
    <cellStyle name="Accent1 2" xfId="100"/>
    <cellStyle name="Accent1 2 2" xfId="101"/>
    <cellStyle name="Accent1 2 2 2" xfId="832"/>
    <cellStyle name="Accent1 2 3" xfId="833"/>
    <cellStyle name="Accent1 2 3 2" xfId="834"/>
    <cellStyle name="Accent1 2 4" xfId="835"/>
    <cellStyle name="Accent1 3" xfId="102"/>
    <cellStyle name="Accent1 3 2" xfId="836"/>
    <cellStyle name="Accent2" xfId="25" builtinId="33" customBuiltin="1"/>
    <cellStyle name="Accent2 2" xfId="103"/>
    <cellStyle name="Accent2 2 2" xfId="104"/>
    <cellStyle name="Accent2 2 2 2" xfId="837"/>
    <cellStyle name="Accent2 2 3" xfId="838"/>
    <cellStyle name="Accent2 2 3 2" xfId="839"/>
    <cellStyle name="Accent2 2 4" xfId="840"/>
    <cellStyle name="Accent2 3" xfId="105"/>
    <cellStyle name="Accent2 3 2" xfId="841"/>
    <cellStyle name="Accent3" xfId="29" builtinId="37" customBuiltin="1"/>
    <cellStyle name="Accent3 2" xfId="106"/>
    <cellStyle name="Accent3 2 2" xfId="107"/>
    <cellStyle name="Accent3 2 2 2" xfId="842"/>
    <cellStyle name="Accent3 2 3" xfId="843"/>
    <cellStyle name="Accent3 2 3 2" xfId="844"/>
    <cellStyle name="Accent3 2 4" xfId="845"/>
    <cellStyle name="Accent3 3" xfId="108"/>
    <cellStyle name="Accent3 3 2" xfId="846"/>
    <cellStyle name="Accent4" xfId="33" builtinId="41" customBuiltin="1"/>
    <cellStyle name="Accent4 2" xfId="109"/>
    <cellStyle name="Accent4 2 2" xfId="110"/>
    <cellStyle name="Accent4 2 2 2" xfId="847"/>
    <cellStyle name="Accent4 2 3" xfId="848"/>
    <cellStyle name="Accent4 2 3 2" xfId="849"/>
    <cellStyle name="Accent4 2 4" xfId="850"/>
    <cellStyle name="Accent4 3" xfId="111"/>
    <cellStyle name="Accent4 3 2" xfId="851"/>
    <cellStyle name="Accent5" xfId="37" builtinId="45" customBuiltin="1"/>
    <cellStyle name="Accent5 2" xfId="112"/>
    <cellStyle name="Accent5 2 2" xfId="113"/>
    <cellStyle name="Accent5 2 2 2" xfId="852"/>
    <cellStyle name="Accent5 2 3" xfId="853"/>
    <cellStyle name="Accent5 2 3 2" xfId="854"/>
    <cellStyle name="Accent5 2 4" xfId="855"/>
    <cellStyle name="Accent5 3" xfId="114"/>
    <cellStyle name="Accent5 3 2" xfId="856"/>
    <cellStyle name="Accent6" xfId="41" builtinId="49" customBuiltin="1"/>
    <cellStyle name="Accent6 2" xfId="115"/>
    <cellStyle name="Accent6 2 2" xfId="116"/>
    <cellStyle name="Accent6 2 2 2" xfId="857"/>
    <cellStyle name="Accent6 2 3" xfId="858"/>
    <cellStyle name="Accent6 2 3 2" xfId="859"/>
    <cellStyle name="Accent6 2 4" xfId="860"/>
    <cellStyle name="Accent6 3" xfId="117"/>
    <cellStyle name="Accent6 3 2" xfId="861"/>
    <cellStyle name="Bad" xfId="10" builtinId="27" customBuiltin="1"/>
    <cellStyle name="Bad 2" xfId="118"/>
    <cellStyle name="Bad 2 2" xfId="119"/>
    <cellStyle name="Bad 2 2 2" xfId="862"/>
    <cellStyle name="Bad 2 3" xfId="863"/>
    <cellStyle name="Bad 2 3 2" xfId="864"/>
    <cellStyle name="Bad 2 4" xfId="865"/>
    <cellStyle name="Bad 3" xfId="120"/>
    <cellStyle name="Bad 3 2" xfId="866"/>
    <cellStyle name="Calculation" xfId="14" builtinId="22" customBuiltin="1"/>
    <cellStyle name="Calculation 2" xfId="121"/>
    <cellStyle name="Calculation 2 2" xfId="122"/>
    <cellStyle name="Calculation 2 2 2" xfId="867"/>
    <cellStyle name="Calculation 2 3" xfId="868"/>
    <cellStyle name="Calculation 2 3 2" xfId="869"/>
    <cellStyle name="Calculation 2 3 2 2" xfId="870"/>
    <cellStyle name="Calculation 2 3 3" xfId="871"/>
    <cellStyle name="Calculation 2 3 3 2" xfId="872"/>
    <cellStyle name="Calculation 2 3 4" xfId="873"/>
    <cellStyle name="Calculation 2 4" xfId="874"/>
    <cellStyle name="Calculation 2 4 2" xfId="875"/>
    <cellStyle name="Calculation 2 5" xfId="876"/>
    <cellStyle name="Calculation 2 5 2" xfId="877"/>
    <cellStyle name="Calculation 2 6" xfId="878"/>
    <cellStyle name="Calculation 3" xfId="123"/>
    <cellStyle name="Calculation 3 2" xfId="879"/>
    <cellStyle name="Check Cell" xfId="16" builtinId="23" customBuiltin="1"/>
    <cellStyle name="Check Cell 2" xfId="124"/>
    <cellStyle name="Check Cell 2 2" xfId="125"/>
    <cellStyle name="Check Cell 2 2 2" xfId="880"/>
    <cellStyle name="Check Cell 2 3" xfId="881"/>
    <cellStyle name="Check Cell 2 3 2" xfId="882"/>
    <cellStyle name="Check Cell 2 4" xfId="883"/>
    <cellStyle name="Check Cell 3" xfId="126"/>
    <cellStyle name="Check Cell 3 2" xfId="884"/>
    <cellStyle name="Comma" xfId="1" builtinId="3"/>
    <cellStyle name="Comma [0] 2" xfId="127"/>
    <cellStyle name="Comma [0] 3" xfId="128"/>
    <cellStyle name="Comma [0] 3 2" xfId="129"/>
    <cellStyle name="Comma [0] 4" xfId="130"/>
    <cellStyle name="Comma [0] 4 2" xfId="131"/>
    <cellStyle name="Comma [0] 5" xfId="132"/>
    <cellStyle name="Comma [0] 5 2" xfId="133"/>
    <cellStyle name="Comma [0] 5 3" xfId="134"/>
    <cellStyle name="Comma [0] 5 4" xfId="135"/>
    <cellStyle name="Comma [0] 5 5" xfId="136"/>
    <cellStyle name="Comma [0] 6" xfId="137"/>
    <cellStyle name="Comma [0] 6 2" xfId="138"/>
    <cellStyle name="Comma [0] 7" xfId="139"/>
    <cellStyle name="Comma [0] 7 2" xfId="140"/>
    <cellStyle name="Comma [0] 7 2 2" xfId="141"/>
    <cellStyle name="Comma [0] 7 2 3" xfId="142"/>
    <cellStyle name="Comma [0] 7 3" xfId="143"/>
    <cellStyle name="Comma [0] 7 4" xfId="144"/>
    <cellStyle name="Comma [0] 8" xfId="145"/>
    <cellStyle name="Comma [0] 8 2" xfId="146"/>
    <cellStyle name="Comma [0] 8 3" xfId="147"/>
    <cellStyle name="Comma 10" xfId="148"/>
    <cellStyle name="Comma 100" xfId="149"/>
    <cellStyle name="Comma 100 2" xfId="150"/>
    <cellStyle name="Comma 101" xfId="151"/>
    <cellStyle name="Comma 102" xfId="152"/>
    <cellStyle name="Comma 103" xfId="153"/>
    <cellStyle name="Comma 104" xfId="154"/>
    <cellStyle name="Comma 11" xfId="155"/>
    <cellStyle name="Comma 11 2" xfId="156"/>
    <cellStyle name="Comma 12" xfId="157"/>
    <cellStyle name="Comma 13" xfId="158"/>
    <cellStyle name="Comma 14" xfId="159"/>
    <cellStyle name="Comma 15" xfId="160"/>
    <cellStyle name="Comma 16" xfId="161"/>
    <cellStyle name="Comma 17" xfId="162"/>
    <cellStyle name="Comma 18" xfId="163"/>
    <cellStyle name="Comma 19" xfId="164"/>
    <cellStyle name="Comma 2" xfId="165"/>
    <cellStyle name="Comma 2 2" xfId="166"/>
    <cellStyle name="Comma 2 2 2" xfId="167"/>
    <cellStyle name="Comma 2 3" xfId="168"/>
    <cellStyle name="Comma 2 3 2" xfId="885"/>
    <cellStyle name="Comma 2 4" xfId="169"/>
    <cellStyle name="Comma 2 5" xfId="170"/>
    <cellStyle name="Comma 20" xfId="171"/>
    <cellStyle name="Comma 21" xfId="172"/>
    <cellStyle name="Comma 22" xfId="173"/>
    <cellStyle name="Comma 23" xfId="174"/>
    <cellStyle name="Comma 24" xfId="175"/>
    <cellStyle name="Comma 25" xfId="176"/>
    <cellStyle name="Comma 25 2" xfId="177"/>
    <cellStyle name="Comma 26" xfId="178"/>
    <cellStyle name="Comma 26 2" xfId="179"/>
    <cellStyle name="Comma 27" xfId="180"/>
    <cellStyle name="Comma 27 2" xfId="181"/>
    <cellStyle name="Comma 28" xfId="182"/>
    <cellStyle name="Comma 28 2" xfId="183"/>
    <cellStyle name="Comma 29" xfId="184"/>
    <cellStyle name="Comma 3" xfId="185"/>
    <cellStyle name="Comma 3 2" xfId="186"/>
    <cellStyle name="Comma 3 3" xfId="187"/>
    <cellStyle name="Comma 3 4" xfId="886"/>
    <cellStyle name="Comma 30" xfId="188"/>
    <cellStyle name="Comma 31" xfId="189"/>
    <cellStyle name="Comma 32" xfId="190"/>
    <cellStyle name="Comma 32 2" xfId="191"/>
    <cellStyle name="Comma 32 3" xfId="192"/>
    <cellStyle name="Comma 33" xfId="193"/>
    <cellStyle name="Comma 33 2" xfId="194"/>
    <cellStyle name="Comma 33 3" xfId="195"/>
    <cellStyle name="Comma 34" xfId="196"/>
    <cellStyle name="Comma 34 2" xfId="197"/>
    <cellStyle name="Comma 34 3" xfId="198"/>
    <cellStyle name="Comma 34 4" xfId="199"/>
    <cellStyle name="Comma 34 5" xfId="200"/>
    <cellStyle name="Comma 35" xfId="201"/>
    <cellStyle name="Comma 35 2" xfId="202"/>
    <cellStyle name="Comma 36" xfId="203"/>
    <cellStyle name="Comma 36 2" xfId="204"/>
    <cellStyle name="Comma 37" xfId="205"/>
    <cellStyle name="Comma 38" xfId="206"/>
    <cellStyle name="Comma 39" xfId="207"/>
    <cellStyle name="Comma 4" xfId="208"/>
    <cellStyle name="Comma 40" xfId="209"/>
    <cellStyle name="Comma 41" xfId="210"/>
    <cellStyle name="Comma 42" xfId="211"/>
    <cellStyle name="Comma 42 2" xfId="212"/>
    <cellStyle name="Comma 42 3" xfId="213"/>
    <cellStyle name="Comma 43" xfId="214"/>
    <cellStyle name="Comma 43 2" xfId="215"/>
    <cellStyle name="Comma 43 3" xfId="216"/>
    <cellStyle name="Comma 44" xfId="217"/>
    <cellStyle name="Comma 44 2" xfId="218"/>
    <cellStyle name="Comma 44 3" xfId="219"/>
    <cellStyle name="Comma 44 4" xfId="220"/>
    <cellStyle name="Comma 45" xfId="221"/>
    <cellStyle name="Comma 45 2" xfId="222"/>
    <cellStyle name="Comma 45 3" xfId="223"/>
    <cellStyle name="Comma 45 4" xfId="224"/>
    <cellStyle name="Comma 46" xfId="225"/>
    <cellStyle name="Comma 46 2" xfId="226"/>
    <cellStyle name="Comma 46 3" xfId="227"/>
    <cellStyle name="Comma 46 4" xfId="228"/>
    <cellStyle name="Comma 47" xfId="229"/>
    <cellStyle name="Comma 47 2" xfId="230"/>
    <cellStyle name="Comma 47 3" xfId="231"/>
    <cellStyle name="Comma 47 4" xfId="232"/>
    <cellStyle name="Comma 48" xfId="233"/>
    <cellStyle name="Comma 48 2" xfId="234"/>
    <cellStyle name="Comma 48 3" xfId="235"/>
    <cellStyle name="Comma 48 4" xfId="236"/>
    <cellStyle name="Comma 49" xfId="237"/>
    <cellStyle name="Comma 49 2" xfId="238"/>
    <cellStyle name="Comma 49 3" xfId="239"/>
    <cellStyle name="Comma 49 4" xfId="240"/>
    <cellStyle name="Comma 5" xfId="241"/>
    <cellStyle name="Comma 50" xfId="242"/>
    <cellStyle name="Comma 50 2" xfId="243"/>
    <cellStyle name="Comma 50 3" xfId="244"/>
    <cellStyle name="Comma 50 4" xfId="245"/>
    <cellStyle name="Comma 51" xfId="246"/>
    <cellStyle name="Comma 51 2" xfId="247"/>
    <cellStyle name="Comma 51 3" xfId="248"/>
    <cellStyle name="Comma 51 4" xfId="249"/>
    <cellStyle name="Comma 52" xfId="250"/>
    <cellStyle name="Comma 52 2" xfId="251"/>
    <cellStyle name="Comma 52 3" xfId="252"/>
    <cellStyle name="Comma 52 4" xfId="253"/>
    <cellStyle name="Comma 53" xfId="254"/>
    <cellStyle name="Comma 53 2" xfId="255"/>
    <cellStyle name="Comma 53 3" xfId="256"/>
    <cellStyle name="Comma 53 4" xfId="257"/>
    <cellStyle name="Comma 54" xfId="258"/>
    <cellStyle name="Comma 54 2" xfId="259"/>
    <cellStyle name="Comma 54 3" xfId="260"/>
    <cellStyle name="Comma 54 4" xfId="261"/>
    <cellStyle name="Comma 55" xfId="262"/>
    <cellStyle name="Comma 55 2" xfId="263"/>
    <cellStyle name="Comma 55 3" xfId="264"/>
    <cellStyle name="Comma 55 4" xfId="265"/>
    <cellStyle name="Comma 56" xfId="266"/>
    <cellStyle name="Comma 56 2" xfId="267"/>
    <cellStyle name="Comma 56 3" xfId="268"/>
    <cellStyle name="Comma 56 4" xfId="269"/>
    <cellStyle name="Comma 57" xfId="270"/>
    <cellStyle name="Comma 57 2" xfId="271"/>
    <cellStyle name="Comma 57 3" xfId="272"/>
    <cellStyle name="Comma 57 4" xfId="273"/>
    <cellStyle name="Comma 58" xfId="274"/>
    <cellStyle name="Comma 58 2" xfId="275"/>
    <cellStyle name="Comma 58 3" xfId="276"/>
    <cellStyle name="Comma 58 4" xfId="277"/>
    <cellStyle name="Comma 59" xfId="278"/>
    <cellStyle name="Comma 59 2" xfId="279"/>
    <cellStyle name="Comma 59 3" xfId="280"/>
    <cellStyle name="Comma 59 4" xfId="281"/>
    <cellStyle name="Comma 6" xfId="282"/>
    <cellStyle name="Comma 60" xfId="283"/>
    <cellStyle name="Comma 60 2" xfId="284"/>
    <cellStyle name="Comma 60 3" xfId="285"/>
    <cellStyle name="Comma 60 4" xfId="286"/>
    <cellStyle name="Comma 61" xfId="287"/>
    <cellStyle name="Comma 61 2" xfId="288"/>
    <cellStyle name="Comma 61 3" xfId="289"/>
    <cellStyle name="Comma 61 4" xfId="290"/>
    <cellStyle name="Comma 62" xfId="291"/>
    <cellStyle name="Comma 62 2" xfId="292"/>
    <cellStyle name="Comma 62 3" xfId="293"/>
    <cellStyle name="Comma 62 4" xfId="294"/>
    <cellStyle name="Comma 63" xfId="295"/>
    <cellStyle name="Comma 63 2" xfId="296"/>
    <cellStyle name="Comma 63 3" xfId="297"/>
    <cellStyle name="Comma 63 4" xfId="298"/>
    <cellStyle name="Comma 64" xfId="299"/>
    <cellStyle name="Comma 64 2" xfId="300"/>
    <cellStyle name="Comma 64 3" xfId="301"/>
    <cellStyle name="Comma 64 4" xfId="302"/>
    <cellStyle name="Comma 65" xfId="303"/>
    <cellStyle name="Comma 65 2" xfId="304"/>
    <cellStyle name="Comma 65 3" xfId="305"/>
    <cellStyle name="Comma 65 4" xfId="306"/>
    <cellStyle name="Comma 66" xfId="307"/>
    <cellStyle name="Comma 66 2" xfId="308"/>
    <cellStyle name="Comma 66 2 2" xfId="309"/>
    <cellStyle name="Comma 66 2 3" xfId="310"/>
    <cellStyle name="Comma 66 3" xfId="311"/>
    <cellStyle name="Comma 66 4" xfId="312"/>
    <cellStyle name="Comma 66 5" xfId="313"/>
    <cellStyle name="Comma 67" xfId="314"/>
    <cellStyle name="Comma 67 2" xfId="315"/>
    <cellStyle name="Comma 67 2 2" xfId="316"/>
    <cellStyle name="Comma 67 2 3" xfId="317"/>
    <cellStyle name="Comma 67 3" xfId="318"/>
    <cellStyle name="Comma 67 4" xfId="319"/>
    <cellStyle name="Comma 67 5" xfId="320"/>
    <cellStyle name="Comma 68" xfId="321"/>
    <cellStyle name="Comma 68 2" xfId="322"/>
    <cellStyle name="Comma 69" xfId="323"/>
    <cellStyle name="Comma 69 2" xfId="324"/>
    <cellStyle name="Comma 7" xfId="325"/>
    <cellStyle name="Comma 70" xfId="326"/>
    <cellStyle name="Comma 70 2" xfId="327"/>
    <cellStyle name="Comma 71" xfId="328"/>
    <cellStyle name="Comma 71 2" xfId="329"/>
    <cellStyle name="Comma 72" xfId="330"/>
    <cellStyle name="Comma 72 2" xfId="331"/>
    <cellStyle name="Comma 73" xfId="332"/>
    <cellStyle name="Comma 73 2" xfId="333"/>
    <cellStyle name="Comma 74" xfId="334"/>
    <cellStyle name="Comma 74 2" xfId="335"/>
    <cellStyle name="Comma 75" xfId="336"/>
    <cellStyle name="Comma 75 2" xfId="337"/>
    <cellStyle name="Comma 75 3" xfId="338"/>
    <cellStyle name="Comma 76" xfId="339"/>
    <cellStyle name="Comma 76 2" xfId="340"/>
    <cellStyle name="Comma 76 3" xfId="341"/>
    <cellStyle name="Comma 77" xfId="342"/>
    <cellStyle name="Comma 78" xfId="343"/>
    <cellStyle name="Comma 79" xfId="344"/>
    <cellStyle name="Comma 79 2" xfId="345"/>
    <cellStyle name="Comma 79 3" xfId="346"/>
    <cellStyle name="Comma 8" xfId="347"/>
    <cellStyle name="Comma 80" xfId="348"/>
    <cellStyle name="Comma 80 2" xfId="349"/>
    <cellStyle name="Comma 80 3" xfId="350"/>
    <cellStyle name="Comma 81" xfId="351"/>
    <cellStyle name="Comma 81 2" xfId="352"/>
    <cellStyle name="Comma 81 3" xfId="353"/>
    <cellStyle name="Comma 82" xfId="354"/>
    <cellStyle name="Comma 82 2" xfId="355"/>
    <cellStyle name="Comma 82 3" xfId="356"/>
    <cellStyle name="Comma 83" xfId="357"/>
    <cellStyle name="Comma 83 2" xfId="358"/>
    <cellStyle name="Comma 83 3" xfId="359"/>
    <cellStyle name="Comma 84" xfId="360"/>
    <cellStyle name="Comma 84 2" xfId="361"/>
    <cellStyle name="Comma 84 3" xfId="362"/>
    <cellStyle name="Comma 85" xfId="363"/>
    <cellStyle name="Comma 85 2" xfId="364"/>
    <cellStyle name="Comma 85 3" xfId="365"/>
    <cellStyle name="Comma 86" xfId="366"/>
    <cellStyle name="Comma 86 2" xfId="367"/>
    <cellStyle name="Comma 86 3" xfId="368"/>
    <cellStyle name="Comma 87" xfId="369"/>
    <cellStyle name="Comma 87 2" xfId="370"/>
    <cellStyle name="Comma 87 3" xfId="371"/>
    <cellStyle name="Comma 88" xfId="372"/>
    <cellStyle name="Comma 88 2" xfId="373"/>
    <cellStyle name="Comma 88 3" xfId="374"/>
    <cellStyle name="Comma 88 3 2" xfId="375"/>
    <cellStyle name="Comma 89" xfId="376"/>
    <cellStyle name="Comma 89 2" xfId="377"/>
    <cellStyle name="Comma 89 3" xfId="378"/>
    <cellStyle name="Comma 89 3 2" xfId="379"/>
    <cellStyle name="Comma 9" xfId="380"/>
    <cellStyle name="Comma 90" xfId="381"/>
    <cellStyle name="Comma 90 2" xfId="382"/>
    <cellStyle name="Comma 90 3" xfId="383"/>
    <cellStyle name="Comma 90 3 2" xfId="384"/>
    <cellStyle name="Comma 91" xfId="385"/>
    <cellStyle name="Comma 91 2" xfId="386"/>
    <cellStyle name="Comma 91 3" xfId="387"/>
    <cellStyle name="Comma 91 3 2" xfId="388"/>
    <cellStyle name="Comma 92" xfId="389"/>
    <cellStyle name="Comma 93" xfId="390"/>
    <cellStyle name="Comma 94" xfId="391"/>
    <cellStyle name="Comma 94 2" xfId="392"/>
    <cellStyle name="Comma 95" xfId="393"/>
    <cellStyle name="Comma 95 2" xfId="394"/>
    <cellStyle name="Comma 95 3" xfId="395"/>
    <cellStyle name="Comma 96" xfId="396"/>
    <cellStyle name="Comma 97" xfId="397"/>
    <cellStyle name="Comma 98" xfId="398"/>
    <cellStyle name="Comma 99" xfId="399"/>
    <cellStyle name="Comma 99 2" xfId="400"/>
    <cellStyle name="Comma0" xfId="401"/>
    <cellStyle name="Comma0 2" xfId="402"/>
    <cellStyle name="Currency" xfId="2" builtinId="4"/>
    <cellStyle name="Currency [0] 10" xfId="403"/>
    <cellStyle name="Currency [0] 11" xfId="404"/>
    <cellStyle name="Currency [0] 12" xfId="405"/>
    <cellStyle name="Currency [0] 2" xfId="406"/>
    <cellStyle name="Currency [0] 3" xfId="407"/>
    <cellStyle name="Currency [0] 3 2" xfId="408"/>
    <cellStyle name="Currency [0] 4" xfId="409"/>
    <cellStyle name="Currency [0] 4 2" xfId="410"/>
    <cellStyle name="Currency [0] 5" xfId="411"/>
    <cellStyle name="Currency [0] 5 2" xfId="412"/>
    <cellStyle name="Currency [0] 5 3" xfId="413"/>
    <cellStyle name="Currency [0] 5 4" xfId="414"/>
    <cellStyle name="Currency [0] 5 5" xfId="415"/>
    <cellStyle name="Currency [0] 6" xfId="416"/>
    <cellStyle name="Currency [0] 6 2" xfId="417"/>
    <cellStyle name="Currency [0] 7" xfId="418"/>
    <cellStyle name="Currency [0] 7 2" xfId="419"/>
    <cellStyle name="Currency [0] 7 2 2" xfId="420"/>
    <cellStyle name="Currency [0] 7 2 3" xfId="421"/>
    <cellStyle name="Currency [0] 7 3" xfId="422"/>
    <cellStyle name="Currency [0] 7 4" xfId="423"/>
    <cellStyle name="Currency [0] 8" xfId="424"/>
    <cellStyle name="Currency [0] 8 2" xfId="425"/>
    <cellStyle name="Currency [0] 8 3" xfId="426"/>
    <cellStyle name="Currency [0] 9" xfId="427"/>
    <cellStyle name="Currency 10" xfId="428"/>
    <cellStyle name="Currency 10 2" xfId="429"/>
    <cellStyle name="Currency 11" xfId="430"/>
    <cellStyle name="Currency 12" xfId="431"/>
    <cellStyle name="Currency 13" xfId="432"/>
    <cellStyle name="Currency 14" xfId="433"/>
    <cellStyle name="Currency 15" xfId="434"/>
    <cellStyle name="Currency 16" xfId="435"/>
    <cellStyle name="Currency 17" xfId="436"/>
    <cellStyle name="Currency 18" xfId="437"/>
    <cellStyle name="Currency 19" xfId="438"/>
    <cellStyle name="Currency 2" xfId="439"/>
    <cellStyle name="Currency 2 2" xfId="887"/>
    <cellStyle name="Currency 2 3" xfId="888"/>
    <cellStyle name="Currency 2 4" xfId="889"/>
    <cellStyle name="Currency 20" xfId="440"/>
    <cellStyle name="Currency 21" xfId="441"/>
    <cellStyle name="Currency 22" xfId="442"/>
    <cellStyle name="Currency 23" xfId="443"/>
    <cellStyle name="Currency 24" xfId="444"/>
    <cellStyle name="Currency 24 2" xfId="445"/>
    <cellStyle name="Currency 25" xfId="446"/>
    <cellStyle name="Currency 25 2" xfId="447"/>
    <cellStyle name="Currency 26" xfId="448"/>
    <cellStyle name="Currency 26 2" xfId="449"/>
    <cellStyle name="Currency 27" xfId="450"/>
    <cellStyle name="Currency 27 2" xfId="451"/>
    <cellStyle name="Currency 27 3" xfId="452"/>
    <cellStyle name="Currency 27 4" xfId="453"/>
    <cellStyle name="Currency 28" xfId="454"/>
    <cellStyle name="Currency 28 2" xfId="455"/>
    <cellStyle name="Currency 28 3" xfId="456"/>
    <cellStyle name="Currency 28 4" xfId="457"/>
    <cellStyle name="Currency 29" xfId="458"/>
    <cellStyle name="Currency 29 2" xfId="459"/>
    <cellStyle name="Currency 29 3" xfId="460"/>
    <cellStyle name="Currency 29 4" xfId="461"/>
    <cellStyle name="Currency 3" xfId="462"/>
    <cellStyle name="Currency 30" xfId="463"/>
    <cellStyle name="Currency 30 2" xfId="464"/>
    <cellStyle name="Currency 31" xfId="465"/>
    <cellStyle name="Currency 32" xfId="466"/>
    <cellStyle name="Currency 32 2" xfId="467"/>
    <cellStyle name="Currency 33" xfId="468"/>
    <cellStyle name="Currency 33 2" xfId="469"/>
    <cellStyle name="Currency 34" xfId="470"/>
    <cellStyle name="Currency 34 2" xfId="471"/>
    <cellStyle name="Currency 35" xfId="472"/>
    <cellStyle name="Currency 35 2" xfId="473"/>
    <cellStyle name="Currency 36" xfId="474"/>
    <cellStyle name="Currency 37" xfId="475"/>
    <cellStyle name="Currency 37 2" xfId="476"/>
    <cellStyle name="Currency 38" xfId="477"/>
    <cellStyle name="Currency 38 2" xfId="478"/>
    <cellStyle name="Currency 39" xfId="479"/>
    <cellStyle name="Currency 4" xfId="480"/>
    <cellStyle name="Currency 40" xfId="481"/>
    <cellStyle name="Currency 40 2" xfId="482"/>
    <cellStyle name="Currency 41" xfId="483"/>
    <cellStyle name="Currency 41 2" xfId="484"/>
    <cellStyle name="Currency 42" xfId="485"/>
    <cellStyle name="Currency 42 2" xfId="486"/>
    <cellStyle name="Currency 43" xfId="487"/>
    <cellStyle name="Currency 43 2" xfId="488"/>
    <cellStyle name="Currency 44" xfId="489"/>
    <cellStyle name="Currency 44 2" xfId="490"/>
    <cellStyle name="Currency 45" xfId="491"/>
    <cellStyle name="Currency 45 2" xfId="492"/>
    <cellStyle name="Currency 46" xfId="493"/>
    <cellStyle name="Currency 46 2" xfId="494"/>
    <cellStyle name="Currency 47" xfId="495"/>
    <cellStyle name="Currency 47 2" xfId="496"/>
    <cellStyle name="Currency 48" xfId="497"/>
    <cellStyle name="Currency 48 2" xfId="498"/>
    <cellStyle name="Currency 49" xfId="499"/>
    <cellStyle name="Currency 49 2" xfId="500"/>
    <cellStyle name="Currency 5" xfId="501"/>
    <cellStyle name="Currency 50" xfId="502"/>
    <cellStyle name="Currency 50 2" xfId="503"/>
    <cellStyle name="Currency 51" xfId="504"/>
    <cellStyle name="Currency 51 2" xfId="505"/>
    <cellStyle name="Currency 52" xfId="506"/>
    <cellStyle name="Currency 52 2" xfId="507"/>
    <cellStyle name="Currency 53" xfId="508"/>
    <cellStyle name="Currency 53 2" xfId="509"/>
    <cellStyle name="Currency 53 2 2" xfId="510"/>
    <cellStyle name="Currency 53 2 3" xfId="511"/>
    <cellStyle name="Currency 53 3" xfId="512"/>
    <cellStyle name="Currency 54" xfId="513"/>
    <cellStyle name="Currency 54 2" xfId="514"/>
    <cellStyle name="Currency 54 2 2" xfId="515"/>
    <cellStyle name="Currency 54 2 3" xfId="516"/>
    <cellStyle name="Currency 54 3" xfId="517"/>
    <cellStyle name="Currency 55" xfId="518"/>
    <cellStyle name="Currency 56" xfId="519"/>
    <cellStyle name="Currency 57" xfId="520"/>
    <cellStyle name="Currency 58" xfId="521"/>
    <cellStyle name="Currency 59" xfId="522"/>
    <cellStyle name="Currency 6" xfId="523"/>
    <cellStyle name="Currency 60" xfId="524"/>
    <cellStyle name="Currency 61" xfId="525"/>
    <cellStyle name="Currency 62" xfId="526"/>
    <cellStyle name="Currency 63" xfId="527"/>
    <cellStyle name="Currency 64" xfId="528"/>
    <cellStyle name="Currency 64 2" xfId="529"/>
    <cellStyle name="Currency 64 3" xfId="530"/>
    <cellStyle name="Currency 65" xfId="531"/>
    <cellStyle name="Currency 65 2" xfId="532"/>
    <cellStyle name="Currency 65 3" xfId="533"/>
    <cellStyle name="Currency 66" xfId="534"/>
    <cellStyle name="Currency 67" xfId="535"/>
    <cellStyle name="Currency 68" xfId="536"/>
    <cellStyle name="Currency 68 2" xfId="537"/>
    <cellStyle name="Currency 68 3" xfId="538"/>
    <cellStyle name="Currency 69" xfId="539"/>
    <cellStyle name="Currency 69 2" xfId="540"/>
    <cellStyle name="Currency 69 3" xfId="541"/>
    <cellStyle name="Currency 7" xfId="542"/>
    <cellStyle name="Currency 70" xfId="543"/>
    <cellStyle name="Currency 70 2" xfId="544"/>
    <cellStyle name="Currency 70 3" xfId="545"/>
    <cellStyle name="Currency 71" xfId="546"/>
    <cellStyle name="Currency 71 2" xfId="547"/>
    <cellStyle name="Currency 71 3" xfId="548"/>
    <cellStyle name="Currency 72" xfId="549"/>
    <cellStyle name="Currency 72 2" xfId="550"/>
    <cellStyle name="Currency 72 3" xfId="551"/>
    <cellStyle name="Currency 73" xfId="552"/>
    <cellStyle name="Currency 73 2" xfId="553"/>
    <cellStyle name="Currency 73 3" xfId="554"/>
    <cellStyle name="Currency 74" xfId="555"/>
    <cellStyle name="Currency 74 2" xfId="556"/>
    <cellStyle name="Currency 74 3" xfId="557"/>
    <cellStyle name="Currency 75" xfId="558"/>
    <cellStyle name="Currency 75 2" xfId="559"/>
    <cellStyle name="Currency 75 3" xfId="560"/>
    <cellStyle name="Currency 76" xfId="561"/>
    <cellStyle name="Currency 76 2" xfId="562"/>
    <cellStyle name="Currency 76 3" xfId="563"/>
    <cellStyle name="Currency 77" xfId="564"/>
    <cellStyle name="Currency 77 2" xfId="565"/>
    <cellStyle name="Currency 77 3" xfId="566"/>
    <cellStyle name="Currency 77 3 2" xfId="567"/>
    <cellStyle name="Currency 78" xfId="568"/>
    <cellStyle name="Currency 78 2" xfId="569"/>
    <cellStyle name="Currency 78 3" xfId="570"/>
    <cellStyle name="Currency 78 3 2" xfId="571"/>
    <cellStyle name="Currency 79" xfId="572"/>
    <cellStyle name="Currency 79 2" xfId="573"/>
    <cellStyle name="Currency 79 3" xfId="574"/>
    <cellStyle name="Currency 79 3 2" xfId="575"/>
    <cellStyle name="Currency 8" xfId="576"/>
    <cellStyle name="Currency 80" xfId="577"/>
    <cellStyle name="Currency 80 2" xfId="578"/>
    <cellStyle name="Currency 80 3" xfId="579"/>
    <cellStyle name="Currency 80 3 2" xfId="580"/>
    <cellStyle name="Currency 81" xfId="581"/>
    <cellStyle name="Currency 82" xfId="582"/>
    <cellStyle name="Currency 83" xfId="583"/>
    <cellStyle name="Currency 83 2" xfId="584"/>
    <cellStyle name="Currency 84" xfId="585"/>
    <cellStyle name="Currency 84 2" xfId="586"/>
    <cellStyle name="Currency 84 3" xfId="587"/>
    <cellStyle name="Currency 85" xfId="588"/>
    <cellStyle name="Currency 86" xfId="589"/>
    <cellStyle name="Currency 87" xfId="590"/>
    <cellStyle name="Currency 88" xfId="591"/>
    <cellStyle name="Currency 89" xfId="592"/>
    <cellStyle name="Currency 9" xfId="593"/>
    <cellStyle name="Currency 90" xfId="594"/>
    <cellStyle name="Currency 91" xfId="595"/>
    <cellStyle name="Currency 92" xfId="596"/>
    <cellStyle name="Currency 93" xfId="597"/>
    <cellStyle name="Currency0" xfId="598"/>
    <cellStyle name="Currency0 2" xfId="599"/>
    <cellStyle name="Date" xfId="600"/>
    <cellStyle name="Date 2" xfId="601"/>
    <cellStyle name="ds" xfId="602"/>
    <cellStyle name="Explanatory Text" xfId="19" builtinId="53" customBuiltin="1"/>
    <cellStyle name="Explanatory Text 2" xfId="603"/>
    <cellStyle name="Explanatory Text 2 2" xfId="604"/>
    <cellStyle name="Explanatory Text 2 2 2" xfId="890"/>
    <cellStyle name="Explanatory Text 2 3" xfId="891"/>
    <cellStyle name="Explanatory Text 2 3 2" xfId="892"/>
    <cellStyle name="Explanatory Text 2 4" xfId="893"/>
    <cellStyle name="Explanatory Text 3" xfId="605"/>
    <cellStyle name="Explanatory Text 3 2" xfId="894"/>
    <cellStyle name="F3" xfId="606"/>
    <cellStyle name="F4" xfId="607"/>
    <cellStyle name="F5" xfId="608"/>
    <cellStyle name="Fixed" xfId="609"/>
    <cellStyle name="Fixed 2" xfId="610"/>
    <cellStyle name="Followed Hyperlink 2" xfId="895"/>
    <cellStyle name="Good" xfId="9" builtinId="26" customBuiltin="1"/>
    <cellStyle name="Good 2" xfId="611"/>
    <cellStyle name="Good 2 2" xfId="612"/>
    <cellStyle name="Good 2 2 2" xfId="896"/>
    <cellStyle name="Good 2 3" xfId="897"/>
    <cellStyle name="Good 2 3 2" xfId="898"/>
    <cellStyle name="Good 2 4" xfId="899"/>
    <cellStyle name="Good 3" xfId="613"/>
    <cellStyle name="Good 3 2" xfId="900"/>
    <cellStyle name="Heading 1" xfId="5" builtinId="16" customBuiltin="1"/>
    <cellStyle name="Heading 1 2" xfId="614"/>
    <cellStyle name="Heading 1 2 2" xfId="615"/>
    <cellStyle name="Heading 1 2 2 2" xfId="901"/>
    <cellStyle name="Heading 1 2 3" xfId="902"/>
    <cellStyle name="Heading 1 2 3 2" xfId="903"/>
    <cellStyle name="Heading 1 2 4" xfId="904"/>
    <cellStyle name="Heading 1 3" xfId="616"/>
    <cellStyle name="Heading 1 3 2" xfId="905"/>
    <cellStyle name="Heading 2" xfId="6" builtinId="17" customBuiltin="1"/>
    <cellStyle name="Heading 2 2" xfId="617"/>
    <cellStyle name="Heading 2 2 2" xfId="618"/>
    <cellStyle name="Heading 2 2 2 2" xfId="906"/>
    <cellStyle name="Heading 2 2 3" xfId="619"/>
    <cellStyle name="Heading 2 2 3 2" xfId="907"/>
    <cellStyle name="Heading 2 2 4" xfId="908"/>
    <cellStyle name="Heading 2 3" xfId="620"/>
    <cellStyle name="Heading 2 3 2" xfId="909"/>
    <cellStyle name="Heading 3" xfId="7" builtinId="18" customBuiltin="1"/>
    <cellStyle name="Heading 3 2" xfId="621"/>
    <cellStyle name="Heading 3 2 2" xfId="622"/>
    <cellStyle name="Heading 3 2 2 2" xfId="910"/>
    <cellStyle name="Heading 3 2 3" xfId="911"/>
    <cellStyle name="Heading 3 2 3 2" xfId="912"/>
    <cellStyle name="Heading 3 2 4" xfId="913"/>
    <cellStyle name="Heading 3 2 5" xfId="1562"/>
    <cellStyle name="Heading 3 3" xfId="623"/>
    <cellStyle name="Heading 3 3 2" xfId="914"/>
    <cellStyle name="Heading 4" xfId="8" builtinId="19" customBuiltin="1"/>
    <cellStyle name="Heading 4 2" xfId="624"/>
    <cellStyle name="Heading 4 2 2" xfId="625"/>
    <cellStyle name="Heading 4 2 2 2" xfId="915"/>
    <cellStyle name="Heading 4 2 3" xfId="916"/>
    <cellStyle name="Heading 4 2 3 2" xfId="917"/>
    <cellStyle name="Heading 4 2 4" xfId="918"/>
    <cellStyle name="Heading 4 3" xfId="626"/>
    <cellStyle name="Heading 4 3 2" xfId="919"/>
    <cellStyle name="Hyperlink 2" xfId="627"/>
    <cellStyle name="Hyperlink 3" xfId="628"/>
    <cellStyle name="Input" xfId="12" builtinId="20" customBuiltin="1"/>
    <cellStyle name="Input 2" xfId="629"/>
    <cellStyle name="Input 2 2" xfId="630"/>
    <cellStyle name="Input 2 2 2" xfId="920"/>
    <cellStyle name="Input 2 3" xfId="921"/>
    <cellStyle name="Input 2 3 2" xfId="922"/>
    <cellStyle name="Input 2 3 2 2" xfId="923"/>
    <cellStyle name="Input 2 3 3" xfId="924"/>
    <cellStyle name="Input 2 3 3 2" xfId="925"/>
    <cellStyle name="Input 2 3 4" xfId="926"/>
    <cellStyle name="Input 2 4" xfId="927"/>
    <cellStyle name="Input 2 4 2" xfId="928"/>
    <cellStyle name="Input 2 5" xfId="929"/>
    <cellStyle name="Input 2 5 2" xfId="930"/>
    <cellStyle name="Input 2 6" xfId="931"/>
    <cellStyle name="Input 3" xfId="631"/>
    <cellStyle name="Input 3 2" xfId="932"/>
    <cellStyle name="Linked Cell" xfId="15" builtinId="24" customBuiltin="1"/>
    <cellStyle name="Linked Cell 2" xfId="632"/>
    <cellStyle name="Linked Cell 2 2" xfId="633"/>
    <cellStyle name="Linked Cell 2 2 2" xfId="933"/>
    <cellStyle name="Linked Cell 2 3" xfId="934"/>
    <cellStyle name="Linked Cell 2 3 2" xfId="935"/>
    <cellStyle name="Linked Cell 2 4" xfId="936"/>
    <cellStyle name="Linked Cell 3" xfId="634"/>
    <cellStyle name="Linked Cell 3 2" xfId="937"/>
    <cellStyle name="Neutral" xfId="11" builtinId="28" customBuiltin="1"/>
    <cellStyle name="Neutral 2" xfId="635"/>
    <cellStyle name="Neutral 2 2" xfId="636"/>
    <cellStyle name="Neutral 2 2 2" xfId="938"/>
    <cellStyle name="Neutral 2 3" xfId="939"/>
    <cellStyle name="Neutral 2 3 2" xfId="940"/>
    <cellStyle name="Neutral 2 4" xfId="941"/>
    <cellStyle name="Neutral 3" xfId="637"/>
    <cellStyle name="Neutral 3 2" xfId="942"/>
    <cellStyle name="Normal" xfId="0" builtinId="0"/>
    <cellStyle name="Normal 10" xfId="943"/>
    <cellStyle name="Normal 10 2" xfId="713"/>
    <cellStyle name="Normal 11" xfId="944"/>
    <cellStyle name="Normal 11 2" xfId="945"/>
    <cellStyle name="Normal 12" xfId="946"/>
    <cellStyle name="Normal 13" xfId="947"/>
    <cellStyle name="Normal 13 2" xfId="948"/>
    <cellStyle name="Normal 14" xfId="949"/>
    <cellStyle name="Normal 14 2" xfId="950"/>
    <cellStyle name="Normal 14 2 2" xfId="951"/>
    <cellStyle name="Normal 14 3" xfId="952"/>
    <cellStyle name="Normal 15" xfId="953"/>
    <cellStyle name="Normal 16" xfId="954"/>
    <cellStyle name="Normal 17" xfId="955"/>
    <cellStyle name="Normal 18" xfId="956"/>
    <cellStyle name="Normal 19" xfId="957"/>
    <cellStyle name="Normal 2" xfId="45"/>
    <cellStyle name="Normal 2 2" xfId="639"/>
    <cellStyle name="Normal 2 2 2" xfId="640"/>
    <cellStyle name="Normal 2 2 3" xfId="641"/>
    <cellStyle name="Normal 2 3" xfId="642"/>
    <cellStyle name="Normal 2 3 2" xfId="643"/>
    <cellStyle name="Normal 2 4" xfId="638"/>
    <cellStyle name="Normal 2 5" xfId="958"/>
    <cellStyle name="Normal 2 6" xfId="959"/>
    <cellStyle name="Normal 2 7" xfId="960"/>
    <cellStyle name="Normal 2 8" xfId="712"/>
    <cellStyle name="Normal 2 9" xfId="961"/>
    <cellStyle name="Normal 20" xfId="962"/>
    <cellStyle name="Normal 21" xfId="963"/>
    <cellStyle name="Normal 22" xfId="964"/>
    <cellStyle name="Normal 23" xfId="965"/>
    <cellStyle name="Normal 24" xfId="966"/>
    <cellStyle name="Normal 25" xfId="967"/>
    <cellStyle name="Normal 26" xfId="968"/>
    <cellStyle name="Normal 27" xfId="969"/>
    <cellStyle name="Normal 28" xfId="970"/>
    <cellStyle name="Normal 29" xfId="971"/>
    <cellStyle name="Normal 3" xfId="644"/>
    <cellStyle name="Normal 3 2" xfId="645"/>
    <cellStyle name="Normal 3 2 2" xfId="710"/>
    <cellStyle name="Normal 3 2 2 2" xfId="1563"/>
    <cellStyle name="Normal 3 3" xfId="972"/>
    <cellStyle name="Normal 3 4" xfId="973"/>
    <cellStyle name="Normal 30" xfId="974"/>
    <cellStyle name="Normal 31" xfId="975"/>
    <cellStyle name="Normal 32" xfId="976"/>
    <cellStyle name="Normal 33" xfId="977"/>
    <cellStyle name="Normal 34" xfId="978"/>
    <cellStyle name="Normal 35" xfId="979"/>
    <cellStyle name="Normal 36" xfId="980"/>
    <cellStyle name="Normal 37" xfId="981"/>
    <cellStyle name="Normal 38" xfId="982"/>
    <cellStyle name="Normal 39" xfId="983"/>
    <cellStyle name="Normal 4" xfId="646"/>
    <cellStyle name="Normal 4 2" xfId="647"/>
    <cellStyle name="Normal 4 2 2" xfId="984"/>
    <cellStyle name="Normal 4 3" xfId="985"/>
    <cellStyle name="Normal 4 4" xfId="986"/>
    <cellStyle name="Normal 4 5" xfId="987"/>
    <cellStyle name="Normal 40" xfId="988"/>
    <cellStyle name="Normal 41" xfId="989"/>
    <cellStyle name="Normal 42" xfId="990"/>
    <cellStyle name="Normal 43" xfId="991"/>
    <cellStyle name="Normal 44" xfId="992"/>
    <cellStyle name="Normal 45" xfId="993"/>
    <cellStyle name="Normal 46" xfId="994"/>
    <cellStyle name="Normal 47" xfId="995"/>
    <cellStyle name="Normal 48" xfId="996"/>
    <cellStyle name="Normal 49" xfId="997"/>
    <cellStyle name="Normal 5" xfId="648"/>
    <cellStyle name="Normal 5 2" xfId="649"/>
    <cellStyle name="Normal 5 2 2" xfId="998"/>
    <cellStyle name="Normal 5 3" xfId="650"/>
    <cellStyle name="Normal 5 4" xfId="999"/>
    <cellStyle name="Normal 5 5" xfId="1000"/>
    <cellStyle name="Normal 5 6" xfId="1001"/>
    <cellStyle name="Normal 50" xfId="1002"/>
    <cellStyle name="Normal 6" xfId="651"/>
    <cellStyle name="Normal 6 2" xfId="652"/>
    <cellStyle name="Normal 6 2 2" xfId="1003"/>
    <cellStyle name="Normal 6 3" xfId="1004"/>
    <cellStyle name="Normal 6 4" xfId="1005"/>
    <cellStyle name="Normal 6 5" xfId="1006"/>
    <cellStyle name="Normal 7" xfId="653"/>
    <cellStyle name="Normal 7 2" xfId="1007"/>
    <cellStyle name="Normal 7 2 2" xfId="1008"/>
    <cellStyle name="Normal 7 3" xfId="1009"/>
    <cellStyle name="Normal 7 3 2" xfId="1522"/>
    <cellStyle name="Normal 7 4" xfId="1010"/>
    <cellStyle name="Normal 8" xfId="654"/>
    <cellStyle name="Normal 8 2" xfId="1011"/>
    <cellStyle name="Normal 8 2 2" xfId="1012"/>
    <cellStyle name="Normal 8 3" xfId="1013"/>
    <cellStyle name="Normal 9" xfId="655"/>
    <cellStyle name="Normal 9 2" xfId="1523"/>
    <cellStyle name="Normal 9 2 2" xfId="1524"/>
    <cellStyle name="Normal 9 3" xfId="1525"/>
    <cellStyle name="Note" xfId="18" builtinId="10" customBuiltin="1"/>
    <cellStyle name="Note 10" xfId="1526"/>
    <cellStyle name="Note 10 2" xfId="1527"/>
    <cellStyle name="Note 10 2 2" xfId="1528"/>
    <cellStyle name="Note 10 3" xfId="1529"/>
    <cellStyle name="Note 11" xfId="1530"/>
    <cellStyle name="Note 11 2" xfId="1531"/>
    <cellStyle name="Note 12" xfId="1532"/>
    <cellStyle name="Note 13" xfId="1533"/>
    <cellStyle name="Note 14" xfId="1534"/>
    <cellStyle name="Note 15" xfId="1535"/>
    <cellStyle name="Note 16" xfId="1536"/>
    <cellStyle name="Note 17" xfId="1537"/>
    <cellStyle name="Note 2" xfId="656"/>
    <cellStyle name="Note 2 2" xfId="657"/>
    <cellStyle name="Note 2 2 2" xfId="1014"/>
    <cellStyle name="Note 2 2 2 2" xfId="1538"/>
    <cellStyle name="Note 2 2 3" xfId="1539"/>
    <cellStyle name="Note 2 3" xfId="1015"/>
    <cellStyle name="Note 2 3 2" xfId="1016"/>
    <cellStyle name="Note 2 4" xfId="1017"/>
    <cellStyle name="Note 3" xfId="658"/>
    <cellStyle name="Note 3 2" xfId="1018"/>
    <cellStyle name="Note 3 2 2" xfId="1019"/>
    <cellStyle name="Note 3 2 2 2" xfId="1020"/>
    <cellStyle name="Note 3 2 3" xfId="1021"/>
    <cellStyle name="Note 3 2 3 2" xfId="1022"/>
    <cellStyle name="Note 3 2 4" xfId="1023"/>
    <cellStyle name="Note 3 3" xfId="1024"/>
    <cellStyle name="Note 3 3 2" xfId="1025"/>
    <cellStyle name="Note 3 4" xfId="1026"/>
    <cellStyle name="Note 3 4 2" xfId="1027"/>
    <cellStyle name="Note 3 5" xfId="1028"/>
    <cellStyle name="Note 4" xfId="1029"/>
    <cellStyle name="Note 4 2" xfId="1030"/>
    <cellStyle name="Note 4 2 2" xfId="1540"/>
    <cellStyle name="Note 4 3" xfId="1541"/>
    <cellStyle name="Note 5" xfId="1031"/>
    <cellStyle name="Note 5 2" xfId="1542"/>
    <cellStyle name="Note 5 2 2" xfId="1543"/>
    <cellStyle name="Note 5 3" xfId="1544"/>
    <cellStyle name="Note 6" xfId="1545"/>
    <cellStyle name="Note 6 2" xfId="1546"/>
    <cellStyle name="Note 6 2 2" xfId="1547"/>
    <cellStyle name="Note 6 3" xfId="1548"/>
    <cellStyle name="Note 7" xfId="1549"/>
    <cellStyle name="Note 7 2" xfId="1550"/>
    <cellStyle name="Note 7 2 2" xfId="1551"/>
    <cellStyle name="Note 7 3" xfId="1552"/>
    <cellStyle name="Note 8" xfId="1553"/>
    <cellStyle name="Note 8 2" xfId="1554"/>
    <cellStyle name="Note 8 2 2" xfId="1555"/>
    <cellStyle name="Note 8 3" xfId="1556"/>
    <cellStyle name="Note 9" xfId="1557"/>
    <cellStyle name="Note 9 2" xfId="1558"/>
    <cellStyle name="Note 9 2 2" xfId="1559"/>
    <cellStyle name="Note 9 3" xfId="1560"/>
    <cellStyle name="NUM" xfId="659"/>
    <cellStyle name="NUM 2" xfId="660"/>
    <cellStyle name="Output" xfId="13" builtinId="21" customBuiltin="1"/>
    <cellStyle name="Output 2" xfId="661"/>
    <cellStyle name="Output 2 2" xfId="662"/>
    <cellStyle name="Output 2 2 2" xfId="1032"/>
    <cellStyle name="Output 2 3" xfId="1033"/>
    <cellStyle name="Output 2 3 2" xfId="1034"/>
    <cellStyle name="Output 2 3 3" xfId="1035"/>
    <cellStyle name="Output 2 3 4" xfId="1036"/>
    <cellStyle name="Output 2 4" xfId="1037"/>
    <cellStyle name="Output 2 4 2" xfId="1038"/>
    <cellStyle name="Output 2 5" xfId="1039"/>
    <cellStyle name="Output 2 6" xfId="1040"/>
    <cellStyle name="Output 2 7" xfId="1041"/>
    <cellStyle name="Output 3" xfId="663"/>
    <cellStyle name="Output 3 2" xfId="1042"/>
    <cellStyle name="Percent" xfId="3" builtinId="5"/>
    <cellStyle name="Percent 10" xfId="664"/>
    <cellStyle name="Percent 11" xfId="665"/>
    <cellStyle name="Percent 12" xfId="666"/>
    <cellStyle name="Percent 13" xfId="667"/>
    <cellStyle name="Percent 2" xfId="668"/>
    <cellStyle name="Percent 2 2" xfId="669"/>
    <cellStyle name="Percent 2 2 2" xfId="1561"/>
    <cellStyle name="Percent 2 3" xfId="670"/>
    <cellStyle name="Percent 2 4" xfId="671"/>
    <cellStyle name="Percent 3" xfId="672"/>
    <cellStyle name="Percent 3 2" xfId="673"/>
    <cellStyle name="Percent 3 2 2" xfId="674"/>
    <cellStyle name="Percent 3 3" xfId="675"/>
    <cellStyle name="Percent 3 4" xfId="676"/>
    <cellStyle name="Percent 3 5" xfId="677"/>
    <cellStyle name="Percent 3 6" xfId="711"/>
    <cellStyle name="Percent 4" xfId="678"/>
    <cellStyle name="Percent 4 2" xfId="679"/>
    <cellStyle name="Percent 5" xfId="680"/>
    <cellStyle name="Percent 5 2" xfId="681"/>
    <cellStyle name="Percent 5 3" xfId="682"/>
    <cellStyle name="Percent 5 4" xfId="683"/>
    <cellStyle name="Percent 5 5" xfId="684"/>
    <cellStyle name="Percent 6" xfId="685"/>
    <cellStyle name="Percent 6 2" xfId="686"/>
    <cellStyle name="Percent 6 3" xfId="687"/>
    <cellStyle name="Percent 6 4" xfId="688"/>
    <cellStyle name="Percent 7" xfId="689"/>
    <cellStyle name="Percent 7 2" xfId="690"/>
    <cellStyle name="Percent 7 2 2" xfId="691"/>
    <cellStyle name="Percent 7 2 3" xfId="692"/>
    <cellStyle name="Percent 7 3" xfId="693"/>
    <cellStyle name="Percent 7 4" xfId="694"/>
    <cellStyle name="Percent 8" xfId="695"/>
    <cellStyle name="Percent 8 2" xfId="696"/>
    <cellStyle name="Percent 8 3" xfId="697"/>
    <cellStyle name="Percent 9" xfId="698"/>
    <cellStyle name="Percent 9 2" xfId="699"/>
    <cellStyle name="Percent 9 3" xfId="700"/>
    <cellStyle name="Pivot Style Medium 13" xfId="1043"/>
    <cellStyle name="Title" xfId="4" builtinId="15" customBuiltin="1"/>
    <cellStyle name="Title 2" xfId="701"/>
    <cellStyle name="Title 2 2" xfId="702"/>
    <cellStyle name="Title 2 2 2" xfId="1044"/>
    <cellStyle name="Title 2 3" xfId="1045"/>
    <cellStyle name="Title 2 4" xfId="1046"/>
    <cellStyle name="Title 3" xfId="1047"/>
    <cellStyle name="Title 3 2" xfId="1048"/>
    <cellStyle name="Total" xfId="20" builtinId="25" customBuiltin="1"/>
    <cellStyle name="Total 2" xfId="703"/>
    <cellStyle name="Total 2 2" xfId="704"/>
    <cellStyle name="Total 2 2 2" xfId="1049"/>
    <cellStyle name="Total 2 3" xfId="705"/>
    <cellStyle name="Total 2 3 2" xfId="1050"/>
    <cellStyle name="Total 2 3 3" xfId="1051"/>
    <cellStyle name="Total 2 3 4" xfId="1052"/>
    <cellStyle name="Total 2 4" xfId="1053"/>
    <cellStyle name="Total 2 4 2" xfId="1054"/>
    <cellStyle name="Total 2 5" xfId="1055"/>
    <cellStyle name="Total 2 6" xfId="1056"/>
    <cellStyle name="Total 2 7" xfId="1057"/>
    <cellStyle name="Total 3" xfId="706"/>
    <cellStyle name="Total 3 2" xfId="1058"/>
    <cellStyle name="Warning Text" xfId="17" builtinId="11" customBuiltin="1"/>
    <cellStyle name="Warning Text 2" xfId="707"/>
    <cellStyle name="Warning Text 2 2" xfId="708"/>
    <cellStyle name="Warning Text 2 2 2" xfId="1059"/>
    <cellStyle name="Warning Text 2 3" xfId="1060"/>
    <cellStyle name="Warning Text 2 3 2" xfId="1061"/>
    <cellStyle name="Warning Text 2 4" xfId="1062"/>
    <cellStyle name="Warning Text 3" xfId="709"/>
    <cellStyle name="Warning Text 3 2" xfId="10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6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chartsheet" Target="chartsheets/sheet1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10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9.xml"/><Relationship Id="rId19" Type="http://schemas.openxmlformats.org/officeDocument/2006/relationships/calcChain" Target="calcChain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Relationship Id="rId14" Type="http://schemas.openxmlformats.org/officeDocument/2006/relationships/externalLink" Target="externalLinks/externalLink3.xml"/><Relationship Id="rId22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Scaling Methodology: </a:t>
            </a:r>
            <a:br>
              <a:rPr lang="en-US"/>
            </a:br>
            <a:r>
              <a:rPr lang="en-US"/>
              <a:t>Uniform</a:t>
            </a:r>
            <a:r>
              <a:rPr lang="en-US" baseline="0"/>
              <a:t> Rewards/Penalties vs Continuous  Scale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1379296422123636E-2"/>
          <c:y val="0.11315096411665437"/>
          <c:w val="0.71973063545806393"/>
          <c:h val="0.84828754870016587"/>
        </c:manualLayout>
      </c:layout>
      <c:lineChart>
        <c:grouping val="standard"/>
        <c:varyColors val="0"/>
        <c:ser>
          <c:idx val="0"/>
          <c:order val="0"/>
          <c:tx>
            <c:strRef>
              <c:f>'1.Readmission Scaling'!$E$11</c:f>
              <c:strCache>
                <c:ptCount val="1"/>
                <c:pt idx="0">
                  <c:v>2. Single Continous Scale</c:v>
                </c:pt>
              </c:strCache>
            </c:strRef>
          </c:tx>
          <c:cat>
            <c:numRef>
              <c:f>'1.Readmission Scaling'!$A$13:$A$45</c:f>
              <c:numCache>
                <c:formatCode>0.0%</c:formatCode>
                <c:ptCount val="33"/>
                <c:pt idx="0" formatCode="0%">
                  <c:v>-0.2</c:v>
                </c:pt>
                <c:pt idx="1">
                  <c:v>-0.19</c:v>
                </c:pt>
                <c:pt idx="2">
                  <c:v>-0.18</c:v>
                </c:pt>
                <c:pt idx="3">
                  <c:v>-0.16999999999999998</c:v>
                </c:pt>
                <c:pt idx="4">
                  <c:v>-0.15999999999999998</c:v>
                </c:pt>
                <c:pt idx="5">
                  <c:v>-0.14999999999999997</c:v>
                </c:pt>
                <c:pt idx="6">
                  <c:v>-0.13999999999999996</c:v>
                </c:pt>
                <c:pt idx="7">
                  <c:v>-0.12999999999999995</c:v>
                </c:pt>
                <c:pt idx="8">
                  <c:v>-0.11999999999999995</c:v>
                </c:pt>
                <c:pt idx="9">
                  <c:v>-0.10999999999999996</c:v>
                </c:pt>
                <c:pt idx="10">
                  <c:v>-9.9999999999999964E-2</c:v>
                </c:pt>
                <c:pt idx="11">
                  <c:v>-8.9999999999999969E-2</c:v>
                </c:pt>
                <c:pt idx="12">
                  <c:v>-7.9999999999999974E-2</c:v>
                </c:pt>
                <c:pt idx="13">
                  <c:v>-6.9999999999999979E-2</c:v>
                </c:pt>
                <c:pt idx="14">
                  <c:v>-5.9999999999999977E-2</c:v>
                </c:pt>
                <c:pt idx="15">
                  <c:v>-4.9999999999999975E-2</c:v>
                </c:pt>
                <c:pt idx="16">
                  <c:v>-3.9999999999999973E-2</c:v>
                </c:pt>
                <c:pt idx="17">
                  <c:v>-2.9999999999999971E-2</c:v>
                </c:pt>
                <c:pt idx="18">
                  <c:v>-1.9999999999999969E-2</c:v>
                </c:pt>
                <c:pt idx="19">
                  <c:v>-9.999999999999969E-3</c:v>
                </c:pt>
                <c:pt idx="20">
                  <c:v>3.1225022567582528E-17</c:v>
                </c:pt>
                <c:pt idx="21">
                  <c:v>1.0000000000000031E-2</c:v>
                </c:pt>
                <c:pt idx="22">
                  <c:v>2.0000000000000032E-2</c:v>
                </c:pt>
                <c:pt idx="23">
                  <c:v>3.0000000000000034E-2</c:v>
                </c:pt>
                <c:pt idx="24">
                  <c:v>4.0000000000000036E-2</c:v>
                </c:pt>
                <c:pt idx="25">
                  <c:v>5.0000000000000037E-2</c:v>
                </c:pt>
                <c:pt idx="26">
                  <c:v>6.0000000000000039E-2</c:v>
                </c:pt>
                <c:pt idx="27">
                  <c:v>7.0000000000000034E-2</c:v>
                </c:pt>
                <c:pt idx="28">
                  <c:v>8.0000000000000029E-2</c:v>
                </c:pt>
                <c:pt idx="29">
                  <c:v>9.0000000000000024E-2</c:v>
                </c:pt>
                <c:pt idx="30">
                  <c:v>0.10000000000000002</c:v>
                </c:pt>
                <c:pt idx="31">
                  <c:v>0.11000000000000001</c:v>
                </c:pt>
                <c:pt idx="32">
                  <c:v>0.12000000000000001</c:v>
                </c:pt>
              </c:numCache>
            </c:numRef>
          </c:cat>
          <c:val>
            <c:numRef>
              <c:f>'1.Readmission Scaling'!$E$13:$E$45</c:f>
              <c:numCache>
                <c:formatCode>0.00%</c:formatCode>
                <c:ptCount val="33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8.8489072007590895E-3</c:v>
                </c:pt>
                <c:pt idx="4">
                  <c:v>7.6978144015181806E-3</c:v>
                </c:pt>
                <c:pt idx="5">
                  <c:v>6.5467216022772707E-3</c:v>
                </c:pt>
                <c:pt idx="6">
                  <c:v>5.39562880303636E-3</c:v>
                </c:pt>
                <c:pt idx="7">
                  <c:v>4.2445360037954493E-3</c:v>
                </c:pt>
                <c:pt idx="8">
                  <c:v>3.0934432045545412E-3</c:v>
                </c:pt>
                <c:pt idx="9">
                  <c:v>1.9423504053136332E-3</c:v>
                </c:pt>
                <c:pt idx="10">
                  <c:v>7.9125760607272463E-4</c:v>
                </c:pt>
                <c:pt idx="11">
                  <c:v>-3.5983519316818384E-4</c:v>
                </c:pt>
                <c:pt idx="12">
                  <c:v>-1.5109279924090922E-3</c:v>
                </c:pt>
                <c:pt idx="13">
                  <c:v>-2.6620207916500005E-3</c:v>
                </c:pt>
                <c:pt idx="14">
                  <c:v>-3.8131135908909099E-3</c:v>
                </c:pt>
                <c:pt idx="15">
                  <c:v>-4.9642063901318189E-3</c:v>
                </c:pt>
                <c:pt idx="16">
                  <c:v>-6.1152991893727278E-3</c:v>
                </c:pt>
                <c:pt idx="17">
                  <c:v>-7.2663919886136377E-3</c:v>
                </c:pt>
                <c:pt idx="18">
                  <c:v>-8.4174847878545483E-3</c:v>
                </c:pt>
                <c:pt idx="19">
                  <c:v>-9.5685775870954573E-3</c:v>
                </c:pt>
                <c:pt idx="20">
                  <c:v>-1.0719670386336365E-2</c:v>
                </c:pt>
                <c:pt idx="21">
                  <c:v>-1.1870763185577273E-2</c:v>
                </c:pt>
                <c:pt idx="22">
                  <c:v>-1.3021855984818184E-2</c:v>
                </c:pt>
                <c:pt idx="23">
                  <c:v>-1.4172948784059091E-2</c:v>
                </c:pt>
                <c:pt idx="24">
                  <c:v>-1.5324041583300002E-2</c:v>
                </c:pt>
                <c:pt idx="25">
                  <c:v>-1.6475134382540911E-2</c:v>
                </c:pt>
                <c:pt idx="26">
                  <c:v>-1.7626227181781823E-2</c:v>
                </c:pt>
                <c:pt idx="27">
                  <c:v>-1.8777319981022729E-2</c:v>
                </c:pt>
                <c:pt idx="28">
                  <c:v>-1.9928412780263634E-2</c:v>
                </c:pt>
                <c:pt idx="29">
                  <c:v>-0.02</c:v>
                </c:pt>
                <c:pt idx="30">
                  <c:v>-0.02</c:v>
                </c:pt>
                <c:pt idx="31">
                  <c:v>-0.02</c:v>
                </c:pt>
                <c:pt idx="32">
                  <c:v>-0.02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'1.Readmission Scaling'!$D$11</c:f>
              <c:strCache>
                <c:ptCount val="1"/>
                <c:pt idx="0">
                  <c:v>1.Single Scale with Uniform Rewards</c:v>
                </c:pt>
              </c:strCache>
            </c:strRef>
          </c:tx>
          <c:cat>
            <c:numRef>
              <c:f>'1.Readmission Scaling'!$A$13:$A$45</c:f>
              <c:numCache>
                <c:formatCode>0.0%</c:formatCode>
                <c:ptCount val="33"/>
                <c:pt idx="0" formatCode="0%">
                  <c:v>-0.2</c:v>
                </c:pt>
                <c:pt idx="1">
                  <c:v>-0.19</c:v>
                </c:pt>
                <c:pt idx="2">
                  <c:v>-0.18</c:v>
                </c:pt>
                <c:pt idx="3">
                  <c:v>-0.16999999999999998</c:v>
                </c:pt>
                <c:pt idx="4">
                  <c:v>-0.15999999999999998</c:v>
                </c:pt>
                <c:pt idx="5">
                  <c:v>-0.14999999999999997</c:v>
                </c:pt>
                <c:pt idx="6">
                  <c:v>-0.13999999999999996</c:v>
                </c:pt>
                <c:pt idx="7">
                  <c:v>-0.12999999999999995</c:v>
                </c:pt>
                <c:pt idx="8">
                  <c:v>-0.11999999999999995</c:v>
                </c:pt>
                <c:pt idx="9">
                  <c:v>-0.10999999999999996</c:v>
                </c:pt>
                <c:pt idx="10">
                  <c:v>-9.9999999999999964E-2</c:v>
                </c:pt>
                <c:pt idx="11">
                  <c:v>-8.9999999999999969E-2</c:v>
                </c:pt>
                <c:pt idx="12">
                  <c:v>-7.9999999999999974E-2</c:v>
                </c:pt>
                <c:pt idx="13">
                  <c:v>-6.9999999999999979E-2</c:v>
                </c:pt>
                <c:pt idx="14">
                  <c:v>-5.9999999999999977E-2</c:v>
                </c:pt>
                <c:pt idx="15">
                  <c:v>-4.9999999999999975E-2</c:v>
                </c:pt>
                <c:pt idx="16">
                  <c:v>-3.9999999999999973E-2</c:v>
                </c:pt>
                <c:pt idx="17">
                  <c:v>-2.9999999999999971E-2</c:v>
                </c:pt>
                <c:pt idx="18">
                  <c:v>-1.9999999999999969E-2</c:v>
                </c:pt>
                <c:pt idx="19">
                  <c:v>-9.999999999999969E-3</c:v>
                </c:pt>
                <c:pt idx="20">
                  <c:v>3.1225022567582528E-17</c:v>
                </c:pt>
                <c:pt idx="21">
                  <c:v>1.0000000000000031E-2</c:v>
                </c:pt>
                <c:pt idx="22">
                  <c:v>2.0000000000000032E-2</c:v>
                </c:pt>
                <c:pt idx="23">
                  <c:v>3.0000000000000034E-2</c:v>
                </c:pt>
                <c:pt idx="24">
                  <c:v>4.0000000000000036E-2</c:v>
                </c:pt>
                <c:pt idx="25">
                  <c:v>5.0000000000000037E-2</c:v>
                </c:pt>
                <c:pt idx="26">
                  <c:v>6.0000000000000039E-2</c:v>
                </c:pt>
                <c:pt idx="27">
                  <c:v>7.0000000000000034E-2</c:v>
                </c:pt>
                <c:pt idx="28">
                  <c:v>8.0000000000000029E-2</c:v>
                </c:pt>
                <c:pt idx="29">
                  <c:v>9.0000000000000024E-2</c:v>
                </c:pt>
                <c:pt idx="30">
                  <c:v>0.10000000000000002</c:v>
                </c:pt>
                <c:pt idx="31">
                  <c:v>0.11000000000000001</c:v>
                </c:pt>
                <c:pt idx="32">
                  <c:v>0.12000000000000001</c:v>
                </c:pt>
              </c:numCache>
            </c:numRef>
          </c:cat>
          <c:val>
            <c:numRef>
              <c:f>'1.Readmission Scaling'!$D$13:$D$45</c:f>
              <c:numCache>
                <c:formatCode>0.00%</c:formatCode>
                <c:ptCount val="33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-4.0829519494688408E-4</c:v>
                </c:pt>
                <c:pt idx="12">
                  <c:v>-1.714408848617091E-3</c:v>
                </c:pt>
                <c:pt idx="13">
                  <c:v>-3.020522502287298E-3</c:v>
                </c:pt>
                <c:pt idx="14">
                  <c:v>-4.3266361559575056E-3</c:v>
                </c:pt>
                <c:pt idx="15">
                  <c:v>-5.6327498096277132E-3</c:v>
                </c:pt>
                <c:pt idx="16">
                  <c:v>-6.9388634632979208E-3</c:v>
                </c:pt>
                <c:pt idx="17">
                  <c:v>-8.2449771169681284E-3</c:v>
                </c:pt>
                <c:pt idx="18">
                  <c:v>-9.5510907706383378E-3</c:v>
                </c:pt>
                <c:pt idx="19">
                  <c:v>-1.0857204424308545E-2</c:v>
                </c:pt>
                <c:pt idx="20">
                  <c:v>-1.2163318077978751E-2</c:v>
                </c:pt>
                <c:pt idx="21">
                  <c:v>-1.3469431731648961E-2</c:v>
                </c:pt>
                <c:pt idx="22">
                  <c:v>-1.4775545385319167E-2</c:v>
                </c:pt>
                <c:pt idx="23">
                  <c:v>-1.6081659038989372E-2</c:v>
                </c:pt>
                <c:pt idx="24">
                  <c:v>-1.7387772692659582E-2</c:v>
                </c:pt>
                <c:pt idx="25">
                  <c:v>-1.8693886346329791E-2</c:v>
                </c:pt>
                <c:pt idx="26">
                  <c:v>-0.02</c:v>
                </c:pt>
                <c:pt idx="27">
                  <c:v>-0.02</c:v>
                </c:pt>
                <c:pt idx="28">
                  <c:v>-0.02</c:v>
                </c:pt>
                <c:pt idx="29">
                  <c:v>-0.02</c:v>
                </c:pt>
                <c:pt idx="30">
                  <c:v>-0.02</c:v>
                </c:pt>
                <c:pt idx="31">
                  <c:v>-0.02</c:v>
                </c:pt>
                <c:pt idx="32">
                  <c:v>-0.02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897016"/>
        <c:axId val="424897408"/>
      </c:lineChart>
      <c:catAx>
        <c:axId val="424897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Readmission Rate Change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424897408"/>
        <c:crosses val="autoZero"/>
        <c:auto val="1"/>
        <c:lblAlgn val="ctr"/>
        <c:lblOffset val="100"/>
        <c:noMultiLvlLbl val="0"/>
      </c:catAx>
      <c:valAx>
        <c:axId val="4248974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 Payment Adjustment</a:t>
                </a:r>
              </a:p>
            </c:rich>
          </c:tx>
          <c:overlay val="0"/>
        </c:title>
        <c:numFmt formatCode="0.00%" sourceLinked="1"/>
        <c:majorTickMark val="out"/>
        <c:minorTickMark val="none"/>
        <c:tickLblPos val="nextTo"/>
        <c:crossAx val="4248970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79815131804178"/>
          <c:y val="0.51478774844774355"/>
          <c:w val="0.15367066073262584"/>
          <c:h val="0.11835387977383885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5" workbookViewId="0" zoomToFit="1"/>
  </sheetViews>
  <pageMargins left="0.45" right="0.45" top="0.25" bottom="0.2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17106" cy="719865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aiver%20Modeling/Workgroups/Performance%20Measurement/Meeting%20Materials/2015/March%202/MD%20vs%20Nation%20Medicare%20Trends%20V2_allPayerTarg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MS%20Compliance%20File/Aggregate%20Revenue%20At%20Risk/20141125%20Counter%20Proposal/Revenue%20at%20Risk%20Calculation%20Summary%2020141125%20(AS%20modified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Quality/MHAC/New%20MHAC%20Methodology/CY2013/Tables/MHAC%20Scaling%20Options_v14%20MH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Waiver%20Modeling/Workgroups/Performance%20Measurement/Meeting%20Materials/Apr%202%20Mtg/MHAC%20Scaling%20Options_v11%20FINAL%20NUMBER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CMMI Target"/>
      <sheetName val="2. MD State Target"/>
      <sheetName val="3.Scenarios"/>
      <sheetName val="4.MDvs US Trend Comparison"/>
      <sheetName val="5.Readmission Scaling"/>
      <sheetName val="6.RRIP Modeling Results"/>
    </sheetNames>
    <sheetDataSet>
      <sheetData sheetId="0" refreshError="1"/>
      <sheetData sheetId="1">
        <row r="28">
          <cell r="E28">
            <v>-5.76953773241069E-2</v>
          </cell>
        </row>
        <row r="29">
          <cell r="E29">
            <v>-9.3126031136720466E-2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all Summary"/>
      <sheetName val="MD data--&gt;"/>
      <sheetName val="MD Consolidated SFY 15"/>
      <sheetName val="MD Consolidated SFY 14"/>
      <sheetName val="6.GBR Efficiency Adjustments"/>
      <sheetName val="7.Hospital PAU Percents"/>
      <sheetName val="MD Rev RY2015 Scaling - MHAC"/>
      <sheetName val="MD Rev RY2014 Scaling - MHAC"/>
      <sheetName val="MHAC_FY2015 BaseYearModeling"/>
      <sheetName val="MD FY 15 Scaling Readmits"/>
      <sheetName val="MD FY 14 Scaling Readmits"/>
      <sheetName val="QBR RY 15"/>
      <sheetName val="MD RY 14 QBR Scaling"/>
      <sheetName val="National CMS data--&gt;"/>
      <sheetName val="impact_puf15 (final)"/>
      <sheetName val="FY 15 CMS Readmissions"/>
      <sheetName val="FY15 HAC"/>
      <sheetName val="impact_puf14_CN_IFC (final)"/>
      <sheetName val="FY14 CMS Readmissions"/>
    </sheetNames>
    <sheetDataSet>
      <sheetData sheetId="0">
        <row r="22">
          <cell r="M22" t="str">
            <v>% IP Rev</v>
          </cell>
          <cell r="R22">
            <v>2018</v>
          </cell>
        </row>
        <row r="23">
          <cell r="M23" t="str">
            <v>HAC</v>
          </cell>
          <cell r="O23">
            <v>0.01</v>
          </cell>
          <cell r="P23">
            <v>0.01</v>
          </cell>
          <cell r="Q23">
            <v>0.01</v>
          </cell>
          <cell r="R23" t="str">
            <v>tbd</v>
          </cell>
        </row>
        <row r="24">
          <cell r="M24" t="str">
            <v>Readmits</v>
          </cell>
          <cell r="N24">
            <v>0.02</v>
          </cell>
          <cell r="O24">
            <v>0.03</v>
          </cell>
          <cell r="P24">
            <v>0.03</v>
          </cell>
          <cell r="Q24">
            <v>0.03</v>
          </cell>
          <cell r="R24" t="str">
            <v>tbd</v>
          </cell>
        </row>
        <row r="25">
          <cell r="M25" t="str">
            <v>VBP</v>
          </cell>
          <cell r="N25">
            <v>1.2500000000000001E-2</v>
          </cell>
          <cell r="O25">
            <v>1.4999999999999999E-2</v>
          </cell>
          <cell r="P25">
            <v>1.7500000000000002E-2</v>
          </cell>
          <cell r="Q25">
            <v>0.02</v>
          </cell>
          <cell r="R25" t="str">
            <v>tbd</v>
          </cell>
        </row>
        <row r="26">
          <cell r="N26">
            <v>3.2500000000000001E-2</v>
          </cell>
          <cell r="O26">
            <v>5.5E-2</v>
          </cell>
          <cell r="P26">
            <v>5.7500000000000002E-2</v>
          </cell>
          <cell r="Q26">
            <v>0.06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Scaling Parameters"/>
      <sheetName val="1.Payment Scale-"/>
      <sheetName val="2.Scaling"/>
      <sheetName val="Detailed Payment Scale"/>
      <sheetName val="Inpatient Revenue"/>
    </sheetNames>
    <sheetDataSet>
      <sheetData sheetId="0">
        <row r="5">
          <cell r="C5">
            <v>0.51</v>
          </cell>
        </row>
      </sheetData>
      <sheetData sheetId="1">
        <row r="5">
          <cell r="D5">
            <v>-0.01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Scaling Parameters"/>
      <sheetName val="1.Payment Scale-"/>
      <sheetName val="2.Scaling"/>
      <sheetName val="Inpatient Revenue"/>
    </sheetNames>
    <sheetDataSet>
      <sheetData sheetId="0" refreshError="1">
        <row r="5">
          <cell r="E5">
            <v>-5.0000000000000001E-3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workbookViewId="0"/>
  </sheetViews>
  <sheetFormatPr defaultColWidth="8.88671875" defaultRowHeight="14.4"/>
  <cols>
    <col min="1" max="1" width="16" style="60" customWidth="1"/>
    <col min="2" max="3" width="16.6640625" style="60" customWidth="1"/>
    <col min="4" max="4" width="17.88671875" style="60" customWidth="1"/>
    <col min="5" max="5" width="17.33203125" style="60" customWidth="1"/>
    <col min="6" max="6" width="16.6640625" style="60" customWidth="1"/>
    <col min="7" max="7" width="16.109375" style="60" customWidth="1"/>
    <col min="8" max="8" width="18.33203125" style="60" customWidth="1"/>
    <col min="9" max="16384" width="8.88671875" style="60"/>
  </cols>
  <sheetData>
    <row r="1" spans="1:5">
      <c r="A1" s="59" t="s">
        <v>180</v>
      </c>
    </row>
    <row r="2" spans="1:5" ht="18" customHeight="1">
      <c r="A2" s="68" t="s">
        <v>157</v>
      </c>
      <c r="B2" s="68"/>
      <c r="C2" s="68"/>
      <c r="D2" s="69"/>
      <c r="E2" s="69"/>
    </row>
    <row r="3" spans="1:5" ht="42.6" customHeight="1">
      <c r="A3" s="67"/>
      <c r="B3" s="117" t="s">
        <v>176</v>
      </c>
      <c r="C3" s="117"/>
      <c r="D3" s="114" t="s">
        <v>158</v>
      </c>
      <c r="E3" s="114" t="s">
        <v>155</v>
      </c>
    </row>
    <row r="4" spans="1:5">
      <c r="A4" s="59" t="s">
        <v>153</v>
      </c>
      <c r="B4" s="62">
        <v>-6.7599999999999993E-2</v>
      </c>
      <c r="C4" s="62"/>
      <c r="D4" s="61">
        <v>-6.7599999999999993E-2</v>
      </c>
      <c r="E4" s="63">
        <f>$B$8*D4</f>
        <v>-8.4166754918201976E-3</v>
      </c>
    </row>
    <row r="5" spans="1:5">
      <c r="A5" s="59" t="s">
        <v>177</v>
      </c>
      <c r="B5" s="62">
        <f>'[1]2. MD State Target'!$E$28</f>
        <v>-5.76953773241069E-2</v>
      </c>
      <c r="C5" s="62"/>
      <c r="D5" s="71">
        <f>'[1]2. MD State Target'!$E$29</f>
        <v>-9.3126031136720466E-2</v>
      </c>
      <c r="E5" s="63">
        <f>$B$8*D5</f>
        <v>-1.1594845915960354E-2</v>
      </c>
    </row>
    <row r="6" spans="1:5">
      <c r="A6" s="59" t="s">
        <v>178</v>
      </c>
      <c r="B6" s="70"/>
      <c r="C6" s="70"/>
      <c r="D6" s="63"/>
    </row>
    <row r="7" spans="1:5">
      <c r="A7" s="59"/>
      <c r="B7" s="70"/>
      <c r="C7" s="70"/>
      <c r="D7" s="63"/>
    </row>
    <row r="8" spans="1:5" ht="28.8">
      <c r="A8" s="64" t="s">
        <v>154</v>
      </c>
      <c r="B8" s="61">
        <f>'Appendix1.RRIP Modeling Results'!D51</f>
        <v>0.12450703390266567</v>
      </c>
      <c r="C8" s="61"/>
    </row>
    <row r="10" spans="1:5">
      <c r="A10" s="462" t="s">
        <v>152</v>
      </c>
      <c r="B10" s="72"/>
      <c r="C10" s="119"/>
      <c r="D10" s="65"/>
      <c r="E10" s="72"/>
    </row>
    <row r="11" spans="1:5" ht="109.2" customHeight="1">
      <c r="A11" s="462"/>
      <c r="B11" s="72" t="s">
        <v>156</v>
      </c>
      <c r="C11" s="119" t="s">
        <v>192</v>
      </c>
      <c r="D11" s="66" t="s">
        <v>198</v>
      </c>
      <c r="E11" s="119" t="s">
        <v>197</v>
      </c>
    </row>
    <row r="12" spans="1:5">
      <c r="A12" s="59" t="s">
        <v>191</v>
      </c>
      <c r="B12" s="121"/>
      <c r="C12" s="121"/>
      <c r="D12" s="96">
        <f>'1.Aggregate Summary'!$C$6</f>
        <v>0.01</v>
      </c>
      <c r="E12" s="96">
        <v>0.01</v>
      </c>
    </row>
    <row r="13" spans="1:5">
      <c r="A13" s="120">
        <v>-0.2</v>
      </c>
      <c r="B13" s="122">
        <f>A13*$B$8</f>
        <v>-2.4901406780533136E-2</v>
      </c>
      <c r="C13" s="132">
        <f t="shared" ref="C13:C45" si="0">A13-$D$5</f>
        <v>-0.10687396886327954</v>
      </c>
      <c r="D13" s="96">
        <f>'1.Aggregate Summary'!$C$6</f>
        <v>0.01</v>
      </c>
      <c r="E13" s="96">
        <v>0.01</v>
      </c>
    </row>
    <row r="14" spans="1:5">
      <c r="A14" s="73">
        <f>A13+1%</f>
        <v>-0.19</v>
      </c>
      <c r="B14" s="122">
        <f t="shared" ref="B14:B45" si="1">A14*$B$8</f>
        <v>-2.3656336441506477E-2</v>
      </c>
      <c r="C14" s="132">
        <f t="shared" si="0"/>
        <v>-9.6873968863279536E-2</v>
      </c>
      <c r="D14" s="122">
        <f>'1.Aggregate Summary'!$C$6</f>
        <v>0.01</v>
      </c>
      <c r="E14" s="96">
        <v>0.01</v>
      </c>
    </row>
    <row r="15" spans="1:5">
      <c r="A15" s="73">
        <f t="shared" ref="A15:A45" si="2">A14+1%</f>
        <v>-0.18</v>
      </c>
      <c r="B15" s="122">
        <f t="shared" si="1"/>
        <v>-2.2411266102479819E-2</v>
      </c>
      <c r="C15" s="132">
        <f t="shared" si="0"/>
        <v>-8.6873968863279527E-2</v>
      </c>
      <c r="D15" s="122">
        <f>'1.Aggregate Summary'!$C$6</f>
        <v>0.01</v>
      </c>
      <c r="E15" s="96">
        <v>0.01</v>
      </c>
    </row>
    <row r="16" spans="1:5">
      <c r="A16" s="73">
        <f t="shared" si="2"/>
        <v>-0.16999999999999998</v>
      </c>
      <c r="B16" s="122">
        <f t="shared" si="1"/>
        <v>-2.1166195763453161E-2</v>
      </c>
      <c r="C16" s="132">
        <f t="shared" si="0"/>
        <v>-7.6873968863279518E-2</v>
      </c>
      <c r="D16" s="122">
        <f>'1.Aggregate Summary'!$C$6</f>
        <v>0.01</v>
      </c>
      <c r="E16" s="129">
        <f>C16*$E$15/$C$15</f>
        <v>8.8489072007590895E-3</v>
      </c>
    </row>
    <row r="17" spans="1:5">
      <c r="A17" s="73">
        <f t="shared" si="2"/>
        <v>-0.15999999999999998</v>
      </c>
      <c r="B17" s="122">
        <f t="shared" si="1"/>
        <v>-1.9921125424426502E-2</v>
      </c>
      <c r="C17" s="132">
        <f t="shared" si="0"/>
        <v>-6.6873968863279509E-2</v>
      </c>
      <c r="D17" s="122">
        <f>'1.Aggregate Summary'!$C$6</f>
        <v>0.01</v>
      </c>
      <c r="E17" s="129">
        <f t="shared" ref="E17:E46" si="3">C17*$E$15/$C$15</f>
        <v>7.6978144015181806E-3</v>
      </c>
    </row>
    <row r="18" spans="1:5">
      <c r="A18" s="73">
        <f t="shared" si="2"/>
        <v>-0.14999999999999997</v>
      </c>
      <c r="B18" s="122">
        <f t="shared" si="1"/>
        <v>-1.8676055085399847E-2</v>
      </c>
      <c r="C18" s="132">
        <f t="shared" si="0"/>
        <v>-5.68739688632795E-2</v>
      </c>
      <c r="D18" s="122">
        <f>'1.Aggregate Summary'!$C$6</f>
        <v>0.01</v>
      </c>
      <c r="E18" s="129">
        <f t="shared" si="3"/>
        <v>6.5467216022772707E-3</v>
      </c>
    </row>
    <row r="19" spans="1:5">
      <c r="A19" s="73">
        <f t="shared" si="2"/>
        <v>-0.13999999999999996</v>
      </c>
      <c r="B19" s="122">
        <f t="shared" si="1"/>
        <v>-1.7430984746373189E-2</v>
      </c>
      <c r="C19" s="132">
        <f t="shared" si="0"/>
        <v>-4.6873968863279492E-2</v>
      </c>
      <c r="D19" s="122">
        <f>'1.Aggregate Summary'!$C$6</f>
        <v>0.01</v>
      </c>
      <c r="E19" s="129">
        <f t="shared" si="3"/>
        <v>5.39562880303636E-3</v>
      </c>
    </row>
    <row r="20" spans="1:5">
      <c r="A20" s="73">
        <f t="shared" si="2"/>
        <v>-0.12999999999999995</v>
      </c>
      <c r="B20" s="122">
        <f t="shared" si="1"/>
        <v>-1.6185914407346531E-2</v>
      </c>
      <c r="C20" s="132">
        <f t="shared" si="0"/>
        <v>-3.6873968863279483E-2</v>
      </c>
      <c r="D20" s="122">
        <f>'1.Aggregate Summary'!$C$6</f>
        <v>0.01</v>
      </c>
      <c r="E20" s="129">
        <f t="shared" si="3"/>
        <v>4.2445360037954493E-3</v>
      </c>
    </row>
    <row r="21" spans="1:5">
      <c r="A21" s="73">
        <f t="shared" si="2"/>
        <v>-0.11999999999999995</v>
      </c>
      <c r="B21" s="122">
        <f t="shared" si="1"/>
        <v>-1.4940844068319874E-2</v>
      </c>
      <c r="C21" s="132">
        <f t="shared" si="0"/>
        <v>-2.6873968863279488E-2</v>
      </c>
      <c r="D21" s="122">
        <f>'1.Aggregate Summary'!$C$6</f>
        <v>0.01</v>
      </c>
      <c r="E21" s="129">
        <f t="shared" si="3"/>
        <v>3.0934432045545412E-3</v>
      </c>
    </row>
    <row r="22" spans="1:5">
      <c r="A22" s="73">
        <f t="shared" si="2"/>
        <v>-0.10999999999999996</v>
      </c>
      <c r="B22" s="122">
        <f t="shared" si="1"/>
        <v>-1.3695773729293217E-2</v>
      </c>
      <c r="C22" s="132">
        <f t="shared" si="0"/>
        <v>-1.6873968863279493E-2</v>
      </c>
      <c r="D22" s="122">
        <f>'1.Aggregate Summary'!$C$6</f>
        <v>0.01</v>
      </c>
      <c r="E22" s="129">
        <f t="shared" si="3"/>
        <v>1.9423504053136332E-3</v>
      </c>
    </row>
    <row r="23" spans="1:5">
      <c r="A23" s="73">
        <f>A22+1%</f>
        <v>-9.9999999999999964E-2</v>
      </c>
      <c r="B23" s="122">
        <f t="shared" si="1"/>
        <v>-1.2450703390266563E-2</v>
      </c>
      <c r="C23" s="132">
        <f t="shared" si="0"/>
        <v>-6.8739688632794976E-3</v>
      </c>
      <c r="D23" s="135">
        <f>'1.Aggregate Summary'!$C$6</f>
        <v>0.01</v>
      </c>
      <c r="E23" s="129">
        <f t="shared" si="3"/>
        <v>7.9125760607272463E-4</v>
      </c>
    </row>
    <row r="24" spans="1:5">
      <c r="A24" s="125">
        <f t="shared" si="2"/>
        <v>-8.9999999999999969E-2</v>
      </c>
      <c r="B24" s="124">
        <f t="shared" si="1"/>
        <v>-1.1205633051239906E-2</v>
      </c>
      <c r="C24" s="133">
        <f t="shared" si="0"/>
        <v>3.1260311367204974E-3</v>
      </c>
      <c r="D24" s="128">
        <f>C24*($D$39/$C$39)</f>
        <v>-4.0829519494688408E-4</v>
      </c>
      <c r="E24" s="129">
        <f t="shared" si="3"/>
        <v>-3.5983519316818384E-4</v>
      </c>
    </row>
    <row r="25" spans="1:5">
      <c r="A25" s="73">
        <f t="shared" si="2"/>
        <v>-7.9999999999999974E-2</v>
      </c>
      <c r="B25" s="122">
        <f t="shared" si="1"/>
        <v>-9.9605627122132494E-3</v>
      </c>
      <c r="C25" s="132">
        <f t="shared" si="0"/>
        <v>1.3126031136720492E-2</v>
      </c>
      <c r="D25" s="128">
        <f>C25*($D$39/$C$39)</f>
        <v>-1.714408848617091E-3</v>
      </c>
      <c r="E25" s="129">
        <f t="shared" si="3"/>
        <v>-1.5109279924090922E-3</v>
      </c>
    </row>
    <row r="26" spans="1:5">
      <c r="A26" s="73">
        <f t="shared" si="2"/>
        <v>-6.9999999999999979E-2</v>
      </c>
      <c r="B26" s="122">
        <f t="shared" si="1"/>
        <v>-8.7154923731865945E-3</v>
      </c>
      <c r="C26" s="132">
        <f t="shared" si="0"/>
        <v>2.3126031136720487E-2</v>
      </c>
      <c r="D26" s="128">
        <f t="shared" ref="D26:D38" si="4">C26*($D$39/$C$39)</f>
        <v>-3.020522502287298E-3</v>
      </c>
      <c r="E26" s="129">
        <f t="shared" si="3"/>
        <v>-2.6620207916500005E-3</v>
      </c>
    </row>
    <row r="27" spans="1:5">
      <c r="A27" s="73">
        <f t="shared" si="2"/>
        <v>-5.9999999999999977E-2</v>
      </c>
      <c r="B27" s="122">
        <f t="shared" si="1"/>
        <v>-7.470422034159937E-3</v>
      </c>
      <c r="C27" s="132">
        <f t="shared" si="0"/>
        <v>3.3126031136720489E-2</v>
      </c>
      <c r="D27" s="128">
        <f t="shared" si="4"/>
        <v>-4.3266361559575056E-3</v>
      </c>
      <c r="E27" s="129">
        <f t="shared" si="3"/>
        <v>-3.8131135908909099E-3</v>
      </c>
    </row>
    <row r="28" spans="1:5">
      <c r="A28" s="73">
        <f t="shared" si="2"/>
        <v>-4.9999999999999975E-2</v>
      </c>
      <c r="B28" s="122">
        <f t="shared" si="1"/>
        <v>-6.2253516951332804E-3</v>
      </c>
      <c r="C28" s="132">
        <f t="shared" si="0"/>
        <v>4.3126031136720491E-2</v>
      </c>
      <c r="D28" s="128">
        <f t="shared" si="4"/>
        <v>-5.6327498096277132E-3</v>
      </c>
      <c r="E28" s="129">
        <f t="shared" si="3"/>
        <v>-4.9642063901318189E-3</v>
      </c>
    </row>
    <row r="29" spans="1:5">
      <c r="A29" s="73">
        <f t="shared" si="2"/>
        <v>-3.9999999999999973E-2</v>
      </c>
      <c r="B29" s="122">
        <f t="shared" si="1"/>
        <v>-4.980281356106623E-3</v>
      </c>
      <c r="C29" s="132">
        <f t="shared" si="0"/>
        <v>5.3126031136720493E-2</v>
      </c>
      <c r="D29" s="128">
        <f t="shared" si="4"/>
        <v>-6.9388634632979208E-3</v>
      </c>
      <c r="E29" s="129">
        <f t="shared" si="3"/>
        <v>-6.1152991893727278E-3</v>
      </c>
    </row>
    <row r="30" spans="1:5">
      <c r="A30" s="73">
        <f t="shared" si="2"/>
        <v>-2.9999999999999971E-2</v>
      </c>
      <c r="B30" s="122">
        <f t="shared" si="1"/>
        <v>-3.7352110170799663E-3</v>
      </c>
      <c r="C30" s="132">
        <f t="shared" si="0"/>
        <v>6.3126031136720495E-2</v>
      </c>
      <c r="D30" s="128">
        <f t="shared" si="4"/>
        <v>-8.2449771169681284E-3</v>
      </c>
      <c r="E30" s="129">
        <f t="shared" si="3"/>
        <v>-7.2663919886136377E-3</v>
      </c>
    </row>
    <row r="31" spans="1:5">
      <c r="A31" s="73">
        <f t="shared" si="2"/>
        <v>-1.9999999999999969E-2</v>
      </c>
      <c r="B31" s="122">
        <f t="shared" si="1"/>
        <v>-2.4901406780533093E-3</v>
      </c>
      <c r="C31" s="132">
        <f t="shared" si="0"/>
        <v>7.3126031136720504E-2</v>
      </c>
      <c r="D31" s="128">
        <f t="shared" si="4"/>
        <v>-9.5510907706383378E-3</v>
      </c>
      <c r="E31" s="129">
        <f t="shared" si="3"/>
        <v>-8.4174847878545483E-3</v>
      </c>
    </row>
    <row r="32" spans="1:5">
      <c r="A32" s="73">
        <f t="shared" si="2"/>
        <v>-9.999999999999969E-3</v>
      </c>
      <c r="B32" s="122">
        <f t="shared" si="1"/>
        <v>-1.2450703390266529E-3</v>
      </c>
      <c r="C32" s="132">
        <f t="shared" si="0"/>
        <v>8.3126031136720499E-2</v>
      </c>
      <c r="D32" s="128">
        <f t="shared" si="4"/>
        <v>-1.0857204424308545E-2</v>
      </c>
      <c r="E32" s="129">
        <f t="shared" si="3"/>
        <v>-9.5685775870954573E-3</v>
      </c>
    </row>
    <row r="33" spans="1:5">
      <c r="A33" s="126">
        <f t="shared" si="2"/>
        <v>3.1225022567582528E-17</v>
      </c>
      <c r="B33" s="127">
        <f t="shared" si="1"/>
        <v>3.8877349434334981E-18</v>
      </c>
      <c r="C33" s="134">
        <f t="shared" si="0"/>
        <v>9.3126031136720494E-2</v>
      </c>
      <c r="D33" s="131">
        <f t="shared" si="4"/>
        <v>-1.2163318077978751E-2</v>
      </c>
      <c r="E33" s="129">
        <f t="shared" si="3"/>
        <v>-1.0719670386336365E-2</v>
      </c>
    </row>
    <row r="34" spans="1:5">
      <c r="A34" s="123">
        <f t="shared" si="2"/>
        <v>1.0000000000000031E-2</v>
      </c>
      <c r="B34" s="124">
        <f t="shared" si="1"/>
        <v>1.2450703390266605E-3</v>
      </c>
      <c r="C34" s="133">
        <f t="shared" si="0"/>
        <v>0.1031260311367205</v>
      </c>
      <c r="D34" s="128">
        <f t="shared" si="4"/>
        <v>-1.3469431731648961E-2</v>
      </c>
      <c r="E34" s="129">
        <f t="shared" si="3"/>
        <v>-1.1870763185577273E-2</v>
      </c>
    </row>
    <row r="35" spans="1:5">
      <c r="A35" s="73">
        <f t="shared" si="2"/>
        <v>2.0000000000000032E-2</v>
      </c>
      <c r="B35" s="122">
        <f t="shared" si="1"/>
        <v>2.4901406780533171E-3</v>
      </c>
      <c r="C35" s="132">
        <f t="shared" si="0"/>
        <v>0.1131260311367205</v>
      </c>
      <c r="D35" s="128">
        <f t="shared" si="4"/>
        <v>-1.4775545385319167E-2</v>
      </c>
      <c r="E35" s="129">
        <f t="shared" si="3"/>
        <v>-1.3021855984818184E-2</v>
      </c>
    </row>
    <row r="36" spans="1:5">
      <c r="A36" s="73">
        <f t="shared" si="2"/>
        <v>3.0000000000000034E-2</v>
      </c>
      <c r="B36" s="122">
        <f t="shared" si="1"/>
        <v>3.7352110170799742E-3</v>
      </c>
      <c r="C36" s="132">
        <f t="shared" si="0"/>
        <v>0.12312603113672049</v>
      </c>
      <c r="D36" s="128">
        <f>C36*($D$39/$C$39)</f>
        <v>-1.6081659038989372E-2</v>
      </c>
      <c r="E36" s="129">
        <f t="shared" si="3"/>
        <v>-1.4172948784059091E-2</v>
      </c>
    </row>
    <row r="37" spans="1:5">
      <c r="A37" s="73">
        <f t="shared" si="2"/>
        <v>4.0000000000000036E-2</v>
      </c>
      <c r="B37" s="122">
        <f t="shared" si="1"/>
        <v>4.9802813561066308E-3</v>
      </c>
      <c r="C37" s="132">
        <f t="shared" si="0"/>
        <v>0.1331260311367205</v>
      </c>
      <c r="D37" s="128">
        <f t="shared" si="4"/>
        <v>-1.7387772692659582E-2</v>
      </c>
      <c r="E37" s="129">
        <f t="shared" si="3"/>
        <v>-1.5324041583300002E-2</v>
      </c>
    </row>
    <row r="38" spans="1:5">
      <c r="A38" s="73">
        <f t="shared" si="2"/>
        <v>5.0000000000000037E-2</v>
      </c>
      <c r="B38" s="122">
        <f t="shared" si="1"/>
        <v>6.2253516951332882E-3</v>
      </c>
      <c r="C38" s="132">
        <f t="shared" si="0"/>
        <v>0.14312603113672051</v>
      </c>
      <c r="D38" s="128">
        <f t="shared" si="4"/>
        <v>-1.8693886346329791E-2</v>
      </c>
      <c r="E38" s="129">
        <f t="shared" si="3"/>
        <v>-1.6475134382540911E-2</v>
      </c>
    </row>
    <row r="39" spans="1:5">
      <c r="A39" s="73">
        <f t="shared" si="2"/>
        <v>6.0000000000000039E-2</v>
      </c>
      <c r="B39" s="122">
        <f t="shared" si="1"/>
        <v>7.4704220341599448E-3</v>
      </c>
      <c r="C39" s="132">
        <f t="shared" si="0"/>
        <v>0.15312603113672052</v>
      </c>
      <c r="D39" s="136">
        <v>-0.02</v>
      </c>
      <c r="E39" s="129">
        <f t="shared" si="3"/>
        <v>-1.7626227181781823E-2</v>
      </c>
    </row>
    <row r="40" spans="1:5">
      <c r="A40" s="73">
        <f t="shared" si="2"/>
        <v>7.0000000000000034E-2</v>
      </c>
      <c r="B40" s="122">
        <f t="shared" si="1"/>
        <v>8.7154923731866014E-3</v>
      </c>
      <c r="C40" s="132">
        <f t="shared" si="0"/>
        <v>0.1631260311367205</v>
      </c>
      <c r="D40" s="128">
        <v>-0.02</v>
      </c>
      <c r="E40" s="129">
        <f t="shared" si="3"/>
        <v>-1.8777319981022729E-2</v>
      </c>
    </row>
    <row r="41" spans="1:5">
      <c r="A41" s="73">
        <f t="shared" si="2"/>
        <v>8.0000000000000029E-2</v>
      </c>
      <c r="B41" s="122">
        <f t="shared" si="1"/>
        <v>9.9605627122132563E-3</v>
      </c>
      <c r="C41" s="132">
        <f t="shared" si="0"/>
        <v>0.17312603113672048</v>
      </c>
      <c r="D41" s="128">
        <v>-0.02</v>
      </c>
      <c r="E41" s="129">
        <f t="shared" si="3"/>
        <v>-1.9928412780263634E-2</v>
      </c>
    </row>
    <row r="42" spans="1:5">
      <c r="A42" s="73">
        <f t="shared" si="2"/>
        <v>9.0000000000000024E-2</v>
      </c>
      <c r="B42" s="122">
        <f t="shared" si="1"/>
        <v>1.1205633051239913E-2</v>
      </c>
      <c r="C42" s="132">
        <f t="shared" si="0"/>
        <v>0.18312603113672049</v>
      </c>
      <c r="D42" s="128">
        <v>-0.02</v>
      </c>
      <c r="E42" s="137">
        <v>-0.02</v>
      </c>
    </row>
    <row r="43" spans="1:5">
      <c r="A43" s="73">
        <f t="shared" si="2"/>
        <v>0.10000000000000002</v>
      </c>
      <c r="B43" s="122">
        <f t="shared" si="1"/>
        <v>1.245070339026657E-2</v>
      </c>
      <c r="C43" s="132">
        <f t="shared" si="0"/>
        <v>0.1931260311367205</v>
      </c>
      <c r="D43" s="128">
        <v>-0.02</v>
      </c>
      <c r="E43" s="129">
        <v>-0.02</v>
      </c>
    </row>
    <row r="44" spans="1:5">
      <c r="A44" s="73">
        <f t="shared" si="2"/>
        <v>0.11000000000000001</v>
      </c>
      <c r="B44" s="122">
        <f t="shared" si="1"/>
        <v>1.3695773729293224E-2</v>
      </c>
      <c r="C44" s="132">
        <f t="shared" si="0"/>
        <v>0.20312603113672048</v>
      </c>
      <c r="D44" s="128">
        <v>-0.02</v>
      </c>
      <c r="E44" s="129">
        <v>-0.02</v>
      </c>
    </row>
    <row r="45" spans="1:5" s="59" customFormat="1">
      <c r="A45" s="73">
        <f t="shared" si="2"/>
        <v>0.12000000000000001</v>
      </c>
      <c r="B45" s="62">
        <f t="shared" si="1"/>
        <v>1.4940844068319881E-2</v>
      </c>
      <c r="C45" s="132">
        <f t="shared" si="0"/>
        <v>0.21312603113672046</v>
      </c>
      <c r="D45" s="96">
        <v>-0.02</v>
      </c>
      <c r="E45" s="129">
        <v>-0.02</v>
      </c>
    </row>
    <row r="46" spans="1:5">
      <c r="A46" s="59" t="s">
        <v>193</v>
      </c>
      <c r="B46" s="59"/>
      <c r="C46" s="59"/>
      <c r="D46" s="130">
        <f>D45</f>
        <v>-0.02</v>
      </c>
      <c r="E46" s="129">
        <f t="shared" si="3"/>
        <v>0</v>
      </c>
    </row>
    <row r="48" spans="1:5">
      <c r="A48" s="59"/>
    </row>
  </sheetData>
  <mergeCells count="1">
    <mergeCell ref="A10:A11"/>
  </mergeCells>
  <printOptions horizontalCentered="1" verticalCentered="1"/>
  <pageMargins left="0.45" right="0.45" top="0.25" bottom="0.25" header="0.3" footer="0.3"/>
  <pageSetup scale="92" orientation="portrait" r:id="rId1"/>
  <headerFooter>
    <oddFooter>&amp;CHSCRC Work Group Meeting
Feb 2, 2015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workbookViewId="0"/>
  </sheetViews>
  <sheetFormatPr defaultRowHeight="14.4"/>
  <cols>
    <col min="1" max="1" width="12.6640625" customWidth="1"/>
    <col min="2" max="2" width="40.109375" customWidth="1"/>
    <col min="3" max="3" width="13.44140625" bestFit="1" customWidth="1"/>
  </cols>
  <sheetData>
    <row r="1" spans="1:3" ht="57.6">
      <c r="A1" s="23" t="s">
        <v>113</v>
      </c>
      <c r="B1" s="22" t="s">
        <v>112</v>
      </c>
      <c r="C1" s="22" t="s">
        <v>111</v>
      </c>
    </row>
    <row r="2" spans="1:3" ht="15.6">
      <c r="A2" s="21">
        <v>210001</v>
      </c>
      <c r="B2" s="21" t="s">
        <v>47</v>
      </c>
      <c r="C2" s="20">
        <v>187434496.6631088</v>
      </c>
    </row>
    <row r="3" spans="1:3" ht="15.6">
      <c r="A3" s="21">
        <v>210002</v>
      </c>
      <c r="B3" s="21" t="s">
        <v>48</v>
      </c>
      <c r="C3" s="20">
        <v>863843448.60398436</v>
      </c>
    </row>
    <row r="4" spans="1:3" ht="15.6">
      <c r="A4" s="21">
        <v>210003</v>
      </c>
      <c r="B4" s="21" t="s">
        <v>49</v>
      </c>
      <c r="C4" s="20">
        <v>177243165.22063905</v>
      </c>
    </row>
    <row r="5" spans="1:3" ht="15.6">
      <c r="A5" s="21">
        <v>210004</v>
      </c>
      <c r="B5" s="21" t="s">
        <v>50</v>
      </c>
      <c r="C5" s="20">
        <v>319596342.21781081</v>
      </c>
    </row>
    <row r="6" spans="1:3" ht="15.6">
      <c r="A6" s="21">
        <v>210005</v>
      </c>
      <c r="B6" s="21" t="s">
        <v>51</v>
      </c>
      <c r="C6" s="20">
        <v>189480762.70820984</v>
      </c>
    </row>
    <row r="7" spans="1:3" ht="15.6">
      <c r="A7" s="21">
        <v>210006</v>
      </c>
      <c r="B7" s="21" t="s">
        <v>52</v>
      </c>
      <c r="C7" s="20">
        <v>47089618.293410309</v>
      </c>
    </row>
    <row r="8" spans="1:3" ht="15.6">
      <c r="A8" s="21">
        <v>210008</v>
      </c>
      <c r="B8" s="21" t="s">
        <v>53</v>
      </c>
      <c r="C8" s="20">
        <v>233163593.66479388</v>
      </c>
    </row>
    <row r="9" spans="1:3" ht="15.6">
      <c r="A9" s="21">
        <v>210009</v>
      </c>
      <c r="B9" s="21" t="s">
        <v>54</v>
      </c>
      <c r="C9" s="20">
        <v>1292515919.3162181</v>
      </c>
    </row>
    <row r="10" spans="1:3" ht="15.6">
      <c r="A10" s="21">
        <v>210010</v>
      </c>
      <c r="B10" s="21" t="s">
        <v>55</v>
      </c>
      <c r="C10" s="20">
        <v>25127934.983499374</v>
      </c>
    </row>
    <row r="11" spans="1:3" ht="15.6">
      <c r="A11" s="21">
        <v>210011</v>
      </c>
      <c r="B11" s="21" t="s">
        <v>56</v>
      </c>
      <c r="C11" s="20">
        <v>239121555.83864471</v>
      </c>
    </row>
    <row r="12" spans="1:3" ht="15.6">
      <c r="A12" s="21">
        <v>210012</v>
      </c>
      <c r="B12" s="21" t="s">
        <v>57</v>
      </c>
      <c r="C12" s="20">
        <v>429154678.73181057</v>
      </c>
    </row>
    <row r="13" spans="1:3" ht="15.6">
      <c r="A13" s="21">
        <v>210013</v>
      </c>
      <c r="B13" s="21" t="s">
        <v>58</v>
      </c>
      <c r="C13" s="20">
        <v>78212787.330636472</v>
      </c>
    </row>
    <row r="14" spans="1:3" ht="15.6">
      <c r="A14" s="21">
        <v>210015</v>
      </c>
      <c r="B14" s="21" t="s">
        <v>59</v>
      </c>
      <c r="C14" s="20">
        <v>285691170.35922825</v>
      </c>
    </row>
    <row r="15" spans="1:3" ht="15.6">
      <c r="A15" s="21">
        <v>210016</v>
      </c>
      <c r="B15" s="21" t="s">
        <v>60</v>
      </c>
      <c r="C15" s="20">
        <v>161698669.47905135</v>
      </c>
    </row>
    <row r="16" spans="1:3" ht="15.6">
      <c r="A16" s="21">
        <v>210017</v>
      </c>
      <c r="B16" s="21" t="s">
        <v>61</v>
      </c>
      <c r="C16" s="20">
        <v>18724073.644907132</v>
      </c>
    </row>
    <row r="17" spans="1:3" ht="15.6">
      <c r="A17" s="21">
        <v>210018</v>
      </c>
      <c r="B17" s="21" t="s">
        <v>62</v>
      </c>
      <c r="C17" s="20">
        <v>87652208.15841648</v>
      </c>
    </row>
    <row r="18" spans="1:3" ht="15.6">
      <c r="A18" s="21">
        <v>210019</v>
      </c>
      <c r="B18" s="21" t="s">
        <v>63</v>
      </c>
      <c r="C18" s="20">
        <v>233728496.38738936</v>
      </c>
    </row>
    <row r="19" spans="1:3" ht="15.6">
      <c r="A19" s="21">
        <v>210022</v>
      </c>
      <c r="B19" s="21" t="s">
        <v>64</v>
      </c>
      <c r="C19" s="20">
        <v>181410188.33315492</v>
      </c>
    </row>
    <row r="20" spans="1:3" ht="15.6">
      <c r="A20" s="21">
        <v>210023</v>
      </c>
      <c r="B20" s="21" t="s">
        <v>65</v>
      </c>
      <c r="C20" s="20">
        <v>310117074.81392145</v>
      </c>
    </row>
    <row r="21" spans="1:3" ht="15.6">
      <c r="A21" s="21">
        <v>210024</v>
      </c>
      <c r="B21" s="21" t="s">
        <v>66</v>
      </c>
      <c r="C21" s="20">
        <v>242505500.48554313</v>
      </c>
    </row>
    <row r="22" spans="1:3" ht="30.6">
      <c r="A22" s="21">
        <v>210027</v>
      </c>
      <c r="B22" s="21" t="s">
        <v>67</v>
      </c>
      <c r="C22" s="20">
        <v>184484265.97300443</v>
      </c>
    </row>
    <row r="23" spans="1:3" ht="15.6">
      <c r="A23" s="21">
        <v>210028</v>
      </c>
      <c r="B23" s="21" t="s">
        <v>68</v>
      </c>
      <c r="C23" s="20">
        <v>69520305.288439929</v>
      </c>
    </row>
    <row r="24" spans="1:3" ht="15.6">
      <c r="A24" s="21">
        <v>210029</v>
      </c>
      <c r="B24" s="21" t="s">
        <v>69</v>
      </c>
      <c r="C24" s="20">
        <v>356396901.46731883</v>
      </c>
    </row>
    <row r="25" spans="1:3" ht="15.6">
      <c r="A25" s="21">
        <v>210030</v>
      </c>
      <c r="B25" s="21" t="s">
        <v>70</v>
      </c>
      <c r="C25" s="20">
        <v>29416674.305924561</v>
      </c>
    </row>
    <row r="26" spans="1:3" ht="30.6">
      <c r="A26" s="21">
        <v>210032</v>
      </c>
      <c r="B26" s="21" t="s">
        <v>71</v>
      </c>
      <c r="C26" s="20">
        <v>67852188.547545061</v>
      </c>
    </row>
    <row r="27" spans="1:3" ht="15.6">
      <c r="A27" s="21">
        <v>210033</v>
      </c>
      <c r="B27" s="21" t="s">
        <v>72</v>
      </c>
      <c r="C27" s="20">
        <v>138209278.26224214</v>
      </c>
    </row>
    <row r="28" spans="1:3" ht="15.6">
      <c r="A28" s="21">
        <v>210034</v>
      </c>
      <c r="B28" s="21" t="s">
        <v>73</v>
      </c>
      <c r="C28" s="20">
        <v>124002219.66514386</v>
      </c>
    </row>
    <row r="29" spans="1:3" ht="15.6">
      <c r="A29" s="21">
        <v>210035</v>
      </c>
      <c r="B29" s="21" t="s">
        <v>74</v>
      </c>
      <c r="C29" s="20">
        <v>76338049.290417254</v>
      </c>
    </row>
    <row r="30" spans="1:3" ht="15.6">
      <c r="A30" s="21">
        <v>210037</v>
      </c>
      <c r="B30" s="21" t="s">
        <v>75</v>
      </c>
      <c r="C30" s="20">
        <v>94828131.850859523</v>
      </c>
    </row>
    <row r="31" spans="1:3" ht="15.6">
      <c r="A31" s="21">
        <v>210038</v>
      </c>
      <c r="B31" s="21" t="s">
        <v>76</v>
      </c>
      <c r="C31" s="20">
        <v>133787810.98689511</v>
      </c>
    </row>
    <row r="32" spans="1:3" ht="15.6">
      <c r="A32" s="21">
        <v>210039</v>
      </c>
      <c r="B32" s="21" t="s">
        <v>77</v>
      </c>
      <c r="C32" s="20">
        <v>67385286.839919657</v>
      </c>
    </row>
    <row r="33" spans="1:3" ht="15.6">
      <c r="A33" s="21">
        <v>210040</v>
      </c>
      <c r="B33" s="21" t="s">
        <v>78</v>
      </c>
      <c r="C33" s="20">
        <v>142186717.48751882</v>
      </c>
    </row>
    <row r="34" spans="1:3" ht="30.6">
      <c r="A34" s="21">
        <v>210043</v>
      </c>
      <c r="B34" s="21" t="s">
        <v>79</v>
      </c>
      <c r="C34" s="20">
        <v>223155125.99975017</v>
      </c>
    </row>
    <row r="35" spans="1:3" ht="15.6">
      <c r="A35" s="21">
        <v>210044</v>
      </c>
      <c r="B35" s="21" t="s">
        <v>80</v>
      </c>
      <c r="C35" s="20">
        <v>201533345.32362995</v>
      </c>
    </row>
    <row r="36" spans="1:3" ht="15.6">
      <c r="A36" s="21">
        <v>210045</v>
      </c>
      <c r="B36" s="21" t="s">
        <v>81</v>
      </c>
      <c r="C36" s="20">
        <v>3734618.2392469109</v>
      </c>
    </row>
    <row r="37" spans="1:3" ht="15.6">
      <c r="A37" s="21">
        <v>210048</v>
      </c>
      <c r="B37" s="21" t="s">
        <v>82</v>
      </c>
      <c r="C37" s="20">
        <v>167386496.75761572</v>
      </c>
    </row>
    <row r="38" spans="1:3" ht="15.6">
      <c r="A38" s="21">
        <v>210049</v>
      </c>
      <c r="B38" s="21" t="s">
        <v>83</v>
      </c>
      <c r="C38" s="20">
        <v>148917095.66517001</v>
      </c>
    </row>
    <row r="39" spans="1:3" ht="15.6">
      <c r="A39" s="21">
        <v>210051</v>
      </c>
      <c r="B39" s="21" t="s">
        <v>84</v>
      </c>
      <c r="C39" s="20">
        <v>136225390.68992713</v>
      </c>
    </row>
    <row r="40" spans="1:3" ht="15.6">
      <c r="A40" s="21">
        <v>210055</v>
      </c>
      <c r="B40" s="21" t="s">
        <v>85</v>
      </c>
      <c r="C40" s="20">
        <v>77501975.342135206</v>
      </c>
    </row>
    <row r="41" spans="1:3" ht="15.6">
      <c r="A41" s="21">
        <v>210056</v>
      </c>
      <c r="B41" s="21" t="s">
        <v>86</v>
      </c>
      <c r="C41" s="20">
        <v>180861011.49427712</v>
      </c>
    </row>
    <row r="42" spans="1:3" ht="15.6">
      <c r="A42" s="21">
        <v>210057</v>
      </c>
      <c r="B42" s="21" t="s">
        <v>87</v>
      </c>
      <c r="C42" s="20">
        <v>228731774.96088892</v>
      </c>
    </row>
    <row r="43" spans="1:3" ht="15.6">
      <c r="A43" s="21">
        <v>210058</v>
      </c>
      <c r="B43" s="21" t="s">
        <v>88</v>
      </c>
      <c r="C43" s="20">
        <v>69104845.787293941</v>
      </c>
    </row>
    <row r="44" spans="1:3" ht="15.6">
      <c r="A44" s="21">
        <v>210060</v>
      </c>
      <c r="B44" s="21" t="s">
        <v>89</v>
      </c>
      <c r="C44" s="20">
        <v>17776133.449990414</v>
      </c>
    </row>
    <row r="45" spans="1:3" ht="15.6">
      <c r="A45" s="21">
        <v>210061</v>
      </c>
      <c r="B45" s="21" t="s">
        <v>90</v>
      </c>
      <c r="C45" s="20">
        <v>38640762.060988352</v>
      </c>
    </row>
    <row r="46" spans="1:3" ht="15.6">
      <c r="A46" s="21">
        <v>210062</v>
      </c>
      <c r="B46" s="21" t="s">
        <v>91</v>
      </c>
      <c r="C46" s="20">
        <v>163208213.46317798</v>
      </c>
    </row>
    <row r="47" spans="1:3" ht="15.6">
      <c r="A47" s="21">
        <v>210063</v>
      </c>
      <c r="B47" s="78" t="s">
        <v>92</v>
      </c>
      <c r="C47" s="20">
        <v>216335127.85977465</v>
      </c>
    </row>
    <row r="48" spans="1:3" ht="15.6">
      <c r="B48" s="85" t="s">
        <v>164</v>
      </c>
      <c r="C48" s="5">
        <f>SUM(C2:C47)</f>
        <v>8961031432.293478</v>
      </c>
    </row>
  </sheetData>
  <sortState ref="A2:C47">
    <sortCondition ref="A2:A4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workbookViewId="0">
      <selection activeCell="C39" sqref="C39"/>
    </sheetView>
  </sheetViews>
  <sheetFormatPr defaultRowHeight="14.4"/>
  <cols>
    <col min="1" max="1" width="31.6640625" customWidth="1"/>
    <col min="2" max="2" width="9.6640625" customWidth="1"/>
    <col min="3" max="3" width="10.5546875" customWidth="1"/>
    <col min="4" max="4" width="10.44140625" customWidth="1"/>
    <col min="5" max="5" width="16.109375" customWidth="1"/>
    <col min="9" max="9" width="35.44140625" customWidth="1"/>
    <col min="10" max="10" width="8.6640625" style="165" customWidth="1"/>
    <col min="11" max="11" width="15.6640625" customWidth="1"/>
    <col min="12" max="12" width="13.33203125" customWidth="1"/>
    <col min="13" max="13" width="14.33203125" customWidth="1"/>
  </cols>
  <sheetData>
    <row r="1" spans="1:13" s="97" customFormat="1">
      <c r="A1" s="19"/>
      <c r="J1" s="165"/>
    </row>
    <row r="2" spans="1:13">
      <c r="A2" s="19" t="s">
        <v>263</v>
      </c>
      <c r="I2" s="463" t="s">
        <v>231</v>
      </c>
      <c r="J2" s="463"/>
      <c r="K2" s="463"/>
      <c r="L2" s="463"/>
      <c r="M2" s="463"/>
    </row>
    <row r="3" spans="1:13" s="11" customFormat="1" ht="28.8">
      <c r="A3" s="115"/>
      <c r="B3" s="116" t="s">
        <v>146</v>
      </c>
      <c r="C3" s="116" t="s">
        <v>166</v>
      </c>
      <c r="D3" s="95" t="s">
        <v>149</v>
      </c>
      <c r="I3" s="95"/>
      <c r="J3" s="166"/>
      <c r="K3" s="116" t="s">
        <v>212</v>
      </c>
      <c r="L3" s="162" t="s">
        <v>213</v>
      </c>
      <c r="M3" s="163" t="s">
        <v>211</v>
      </c>
    </row>
    <row r="4" spans="1:13" s="11" customFormat="1">
      <c r="A4" s="86" t="s">
        <v>147</v>
      </c>
      <c r="B4" s="110">
        <v>-0.03</v>
      </c>
      <c r="C4" s="108">
        <v>0</v>
      </c>
      <c r="D4" s="86"/>
      <c r="I4" s="111" t="s">
        <v>259</v>
      </c>
      <c r="J4" s="169"/>
      <c r="K4" s="171" t="s">
        <v>214</v>
      </c>
      <c r="L4" s="171" t="s">
        <v>215</v>
      </c>
      <c r="M4" s="172" t="s">
        <v>216</v>
      </c>
    </row>
    <row r="5" spans="1:13" s="11" customFormat="1">
      <c r="A5" s="86" t="s">
        <v>148</v>
      </c>
      <c r="B5" s="110">
        <v>-0.01</v>
      </c>
      <c r="C5" s="110">
        <v>0.01</v>
      </c>
      <c r="D5" s="86"/>
      <c r="I5" s="87" t="s">
        <v>174</v>
      </c>
      <c r="J5" s="167" t="s">
        <v>217</v>
      </c>
      <c r="K5" s="156">
        <f>'3.MHAC Modeling Results'!H53</f>
        <v>-123076937.38692373</v>
      </c>
      <c r="L5" s="156">
        <f>'3.MHAC Modeling Results'!H55</f>
        <v>0</v>
      </c>
      <c r="M5" s="157">
        <f>SUM(K5:L5)</f>
        <v>-123076937.38692373</v>
      </c>
    </row>
    <row r="6" spans="1:13" s="11" customFormat="1">
      <c r="A6" s="86" t="s">
        <v>138</v>
      </c>
      <c r="B6" s="110">
        <v>-0.02</v>
      </c>
      <c r="C6" s="110">
        <v>0.01</v>
      </c>
      <c r="D6" s="86"/>
      <c r="I6" s="53" t="s">
        <v>142</v>
      </c>
      <c r="J6" s="168" t="s">
        <v>218</v>
      </c>
      <c r="K6" s="158">
        <f>'3.MHAC Modeling Results'!L53</f>
        <v>-16997459.817360856</v>
      </c>
      <c r="L6" s="158">
        <f>'3.MHAC Modeling Results'!L55</f>
        <v>3906129.8681446943</v>
      </c>
      <c r="M6" s="157">
        <f t="shared" ref="M6:M8" si="0">SUM(K6:L6)</f>
        <v>-13091329.949216161</v>
      </c>
    </row>
    <row r="7" spans="1:13" s="11" customFormat="1">
      <c r="A7" s="86" t="s">
        <v>127</v>
      </c>
      <c r="B7" s="110">
        <v>-0.02</v>
      </c>
      <c r="C7" s="110">
        <v>0.01</v>
      </c>
      <c r="D7" s="86"/>
      <c r="I7" s="53"/>
      <c r="J7" s="168"/>
      <c r="K7" s="158"/>
      <c r="L7" s="158"/>
      <c r="M7" s="157"/>
    </row>
    <row r="8" spans="1:13" s="11" customFormat="1">
      <c r="A8" s="181" t="s">
        <v>261</v>
      </c>
      <c r="B8" s="90"/>
      <c r="C8" s="90"/>
      <c r="D8" s="90"/>
      <c r="I8" s="98" t="s">
        <v>264</v>
      </c>
      <c r="J8" s="168" t="s">
        <v>219</v>
      </c>
      <c r="K8" s="158">
        <f>'Appendix1.RRIP Modeling Results'!O52</f>
        <v>-22052190.763688102</v>
      </c>
      <c r="L8" s="158">
        <f>'Appendix1.RRIP Modeling Results'!O53</f>
        <v>15492624.710911918</v>
      </c>
      <c r="M8" s="157">
        <f t="shared" si="0"/>
        <v>-6559566.0527761839</v>
      </c>
    </row>
    <row r="9" spans="1:13" s="11" customFormat="1">
      <c r="F9"/>
      <c r="I9" s="98"/>
      <c r="J9" s="168"/>
      <c r="K9" s="159"/>
      <c r="L9" s="158"/>
      <c r="M9" s="157"/>
    </row>
    <row r="10" spans="1:13" s="11" customFormat="1">
      <c r="A10" s="19" t="s">
        <v>262</v>
      </c>
      <c r="F10"/>
      <c r="I10" s="109" t="s">
        <v>229</v>
      </c>
      <c r="J10" s="173" t="s">
        <v>220</v>
      </c>
      <c r="K10" s="160">
        <f>'Appendix2QBR Modeling Results'!G48</f>
        <v>-25015762.152289432</v>
      </c>
      <c r="L10" s="160">
        <f>'Appendix2QBR Modeling Results'!G50</f>
        <v>21335875.079640433</v>
      </c>
      <c r="M10" s="161">
        <f>SUM(K10:L10)</f>
        <v>-3679887.0726489983</v>
      </c>
    </row>
    <row r="11" spans="1:13" s="11" customFormat="1" ht="15" thickBot="1">
      <c r="A11" s="11" t="s">
        <v>207</v>
      </c>
      <c r="F11"/>
      <c r="I11" s="98"/>
      <c r="J11" s="168"/>
      <c r="K11" s="99"/>
      <c r="L11" s="99"/>
      <c r="M11" s="89"/>
    </row>
    <row r="12" spans="1:13" s="11" customFormat="1" ht="43.2">
      <c r="A12" s="140" t="s">
        <v>125</v>
      </c>
      <c r="B12" s="141" t="s">
        <v>200</v>
      </c>
      <c r="C12" s="141" t="s">
        <v>201</v>
      </c>
      <c r="D12" s="141" t="s">
        <v>202</v>
      </c>
      <c r="E12" s="153" t="s">
        <v>208</v>
      </c>
      <c r="F12"/>
      <c r="I12" s="111" t="s">
        <v>260</v>
      </c>
      <c r="J12" s="169"/>
      <c r="K12" s="164"/>
      <c r="L12" s="164"/>
      <c r="M12" s="182"/>
    </row>
    <row r="13" spans="1:13" s="11" customFormat="1">
      <c r="A13" s="143" t="s">
        <v>126</v>
      </c>
      <c r="B13" s="52">
        <v>0.02</v>
      </c>
      <c r="C13" s="52">
        <v>0.03</v>
      </c>
      <c r="D13" s="52">
        <v>0.04</v>
      </c>
      <c r="E13" s="144">
        <f>-B4</f>
        <v>0.03</v>
      </c>
      <c r="F13"/>
      <c r="I13" s="183" t="s">
        <v>168</v>
      </c>
      <c r="J13" s="170" t="s">
        <v>221</v>
      </c>
      <c r="K13" s="158">
        <f>SUMIF('4.Consolidated'!$K$3:$K$48,"&lt;0")</f>
        <v>-136615973.18266067</v>
      </c>
      <c r="L13" s="88">
        <f>SUMIF('4.Consolidated'!$K$3:$K$48,"&gt;0")</f>
        <v>3299582.6703117816</v>
      </c>
      <c r="M13" s="157">
        <f>SUM(K13:L13)</f>
        <v>-133316390.51234889</v>
      </c>
    </row>
    <row r="14" spans="1:13" s="11" customFormat="1">
      <c r="A14" s="143" t="s">
        <v>138</v>
      </c>
      <c r="B14" s="154"/>
      <c r="C14" s="154"/>
      <c r="D14" s="52">
        <v>5.0000000000000001E-3</v>
      </c>
      <c r="E14" s="144">
        <f>-B6</f>
        <v>0.02</v>
      </c>
      <c r="I14" s="105" t="s">
        <v>167</v>
      </c>
      <c r="J14" s="170" t="s">
        <v>222</v>
      </c>
      <c r="K14" s="92">
        <f>K13/'4.Consolidated'!$D$49</f>
        <v>-1.5245563439307708E-2</v>
      </c>
      <c r="L14" s="92">
        <f>L13/'4.Consolidated'!$D$49</f>
        <v>3.6821460735210129E-4</v>
      </c>
      <c r="M14" s="93">
        <f>M13/'4.Consolidated'!$D$49</f>
        <v>-1.4877348831955607E-2</v>
      </c>
    </row>
    <row r="15" spans="1:13" s="11" customFormat="1" ht="22.2" customHeight="1">
      <c r="A15" s="143" t="s">
        <v>127</v>
      </c>
      <c r="B15" s="103">
        <v>5.0000000000000001E-3</v>
      </c>
      <c r="C15" s="103">
        <v>5.0000000000000001E-3</v>
      </c>
      <c r="D15" s="103">
        <v>0.01</v>
      </c>
      <c r="E15" s="144">
        <f>-B7</f>
        <v>0.02</v>
      </c>
      <c r="F15"/>
      <c r="I15" s="105" t="s">
        <v>172</v>
      </c>
      <c r="J15" s="170" t="s">
        <v>223</v>
      </c>
      <c r="K15" s="92">
        <f>K14*60%</f>
        <v>-9.1473380635846251E-3</v>
      </c>
      <c r="L15" s="92">
        <f t="shared" ref="L15:M15" si="1">L14*60%</f>
        <v>2.2092876441126075E-4</v>
      </c>
      <c r="M15" s="93">
        <f t="shared" si="1"/>
        <v>-8.9264092991733646E-3</v>
      </c>
    </row>
    <row r="16" spans="1:13" s="11" customFormat="1">
      <c r="A16" s="143" t="s">
        <v>139</v>
      </c>
      <c r="B16" s="103">
        <v>4.1000000000000003E-3</v>
      </c>
      <c r="C16" s="103">
        <v>8.6E-3</v>
      </c>
      <c r="D16" s="103">
        <f>C16</f>
        <v>8.6E-3</v>
      </c>
      <c r="E16" s="145">
        <f>D16</f>
        <v>8.6E-3</v>
      </c>
      <c r="F16"/>
      <c r="G16"/>
      <c r="I16" s="175" t="s">
        <v>230</v>
      </c>
      <c r="J16" s="176" t="s">
        <v>224</v>
      </c>
      <c r="K16" s="179">
        <f>MIN('4.Consolidated'!$J$3:$J$48)</f>
        <v>-4.4291082660146461E-2</v>
      </c>
      <c r="L16" s="179">
        <f>MAX('4.Consolidated'!$J$3:$J$48)</f>
        <v>0.02</v>
      </c>
      <c r="M16" s="178"/>
    </row>
    <row r="17" spans="1:14" s="11" customFormat="1">
      <c r="A17" s="143" t="s">
        <v>165</v>
      </c>
      <c r="B17" s="45">
        <v>5.0000000000000001E-3</v>
      </c>
      <c r="C17" s="45">
        <v>8.6E-3</v>
      </c>
      <c r="D17" s="45">
        <v>8.6E-3</v>
      </c>
      <c r="E17" s="145">
        <f>D17</f>
        <v>8.6E-3</v>
      </c>
      <c r="F17"/>
      <c r="G17"/>
      <c r="I17" s="91"/>
      <c r="J17" s="170"/>
      <c r="K17" s="112"/>
      <c r="L17" s="112"/>
      <c r="M17" s="104"/>
    </row>
    <row r="18" spans="1:14" s="11" customFormat="1" ht="15" thickBot="1">
      <c r="A18" s="146" t="s">
        <v>265</v>
      </c>
      <c r="B18" s="147">
        <f>SUM(B13:B17)</f>
        <v>3.4099999999999998E-2</v>
      </c>
      <c r="C18" s="147">
        <f>SUM(C13:C17)</f>
        <v>5.2199999999999996E-2</v>
      </c>
      <c r="D18" s="147">
        <f>SUM(D13:D17)</f>
        <v>7.22E-2</v>
      </c>
      <c r="E18" s="148">
        <f>SUM(E13:E17)</f>
        <v>8.72E-2</v>
      </c>
      <c r="F18"/>
      <c r="G18"/>
      <c r="I18" s="183" t="s">
        <v>142</v>
      </c>
      <c r="J18" s="170" t="s">
        <v>225</v>
      </c>
      <c r="K18" s="158">
        <f>SUMIF('4.Consolidated'!$N$3:$N$48,"&lt;0")</f>
        <v>-39716212.887073778</v>
      </c>
      <c r="L18" s="88">
        <f>SUMIF('4.Consolidated'!$N$3:$N$48,"&gt;0")</f>
        <v>16385429.812432423</v>
      </c>
      <c r="M18" s="157">
        <f>SUM(K18:L18)</f>
        <v>-23330783.074641354</v>
      </c>
    </row>
    <row r="19" spans="1:14">
      <c r="A19" s="91" t="s">
        <v>209</v>
      </c>
      <c r="I19" s="105" t="s">
        <v>167</v>
      </c>
      <c r="J19" s="170" t="s">
        <v>226</v>
      </c>
      <c r="K19" s="92">
        <f>K18/'4.Consolidated'!$D$49</f>
        <v>-4.4321028429769541E-3</v>
      </c>
      <c r="L19" s="92">
        <f>L18/'4.Consolidated'!$D$49</f>
        <v>1.8285205153262974E-3</v>
      </c>
      <c r="M19" s="93">
        <f>M18/'4.Consolidated'!$D$49</f>
        <v>-2.6035823276506563E-3</v>
      </c>
    </row>
    <row r="20" spans="1:14">
      <c r="A20" s="139"/>
      <c r="B20" s="97"/>
      <c r="C20" s="97"/>
      <c r="D20" s="97"/>
      <c r="E20" s="97"/>
      <c r="F20" s="97"/>
      <c r="I20" s="113" t="s">
        <v>172</v>
      </c>
      <c r="J20" s="174" t="s">
        <v>227</v>
      </c>
      <c r="K20" s="92">
        <f>K19*60%</f>
        <v>-2.6592617057861726E-3</v>
      </c>
      <c r="L20" s="92">
        <f t="shared" ref="L20" si="2">L19*60%</f>
        <v>1.0971123091957785E-3</v>
      </c>
      <c r="M20" s="93">
        <f t="shared" ref="M20" si="3">M19*60%</f>
        <v>-1.5621493965903936E-3</v>
      </c>
    </row>
    <row r="21" spans="1:14" ht="15" thickBot="1">
      <c r="A21" s="97" t="s">
        <v>179</v>
      </c>
      <c r="B21" s="97"/>
      <c r="C21" s="97"/>
      <c r="D21" s="97"/>
      <c r="E21" s="97"/>
      <c r="G21" s="11"/>
      <c r="I21" s="175" t="s">
        <v>173</v>
      </c>
      <c r="J21" s="176" t="s">
        <v>228</v>
      </c>
      <c r="K21" s="177">
        <f>MIN('4.Consolidated'!$M$3:$M$48)</f>
        <v>-2.5467553248381763E-2</v>
      </c>
      <c r="L21" s="177">
        <f>MAX('4.Consolidated'!$M$3:$M$48)</f>
        <v>2.3666666666666669E-2</v>
      </c>
      <c r="M21" s="178"/>
    </row>
    <row r="22" spans="1:14">
      <c r="A22" s="140" t="str">
        <f>'[2]Overall Summary'!M22</f>
        <v>% IP Rev</v>
      </c>
      <c r="B22" s="141" t="s">
        <v>203</v>
      </c>
      <c r="C22" s="141" t="s">
        <v>204</v>
      </c>
      <c r="D22" s="141" t="s">
        <v>205</v>
      </c>
      <c r="E22" s="142" t="s">
        <v>206</v>
      </c>
      <c r="F22" s="101">
        <f>'[2]Overall Summary'!R22</f>
        <v>2018</v>
      </c>
    </row>
    <row r="23" spans="1:14">
      <c r="A23" s="143" t="str">
        <f>'[2]Overall Summary'!M23</f>
        <v>HAC</v>
      </c>
      <c r="B23" s="155"/>
      <c r="C23" s="138">
        <f>'[2]Overall Summary'!O23</f>
        <v>0.01</v>
      </c>
      <c r="D23" s="138">
        <f>'[2]Overall Summary'!P23</f>
        <v>0.01</v>
      </c>
      <c r="E23" s="149">
        <f>'[2]Overall Summary'!Q23</f>
        <v>0.01</v>
      </c>
      <c r="F23" s="102" t="str">
        <f>'[2]Overall Summary'!R23</f>
        <v>tbd</v>
      </c>
    </row>
    <row r="24" spans="1:14" s="11" customFormat="1" ht="15" thickBot="1">
      <c r="A24" s="143" t="str">
        <f>'[2]Overall Summary'!M24</f>
        <v>Readmits</v>
      </c>
      <c r="B24" s="138">
        <f>'[2]Overall Summary'!N24</f>
        <v>0.02</v>
      </c>
      <c r="C24" s="138">
        <f>'[2]Overall Summary'!O24</f>
        <v>0.03</v>
      </c>
      <c r="D24" s="138">
        <f>'[2]Overall Summary'!P24</f>
        <v>0.03</v>
      </c>
      <c r="E24" s="149">
        <f>'[2]Overall Summary'!Q24</f>
        <v>0.03</v>
      </c>
      <c r="F24" s="102" t="str">
        <f>'[2]Overall Summary'!R24</f>
        <v>tbd</v>
      </c>
      <c r="G24"/>
      <c r="I24" s="442" t="s">
        <v>320</v>
      </c>
      <c r="J24"/>
      <c r="K24"/>
      <c r="L24"/>
      <c r="M24"/>
      <c r="N24"/>
    </row>
    <row r="25" spans="1:14" ht="28.8">
      <c r="A25" s="143" t="str">
        <f>'[2]Overall Summary'!M25</f>
        <v>VBP</v>
      </c>
      <c r="B25" s="103">
        <f>'[2]Overall Summary'!N25</f>
        <v>1.2500000000000001E-2</v>
      </c>
      <c r="C25" s="103">
        <f>'[2]Overall Summary'!O25</f>
        <v>1.4999999999999999E-2</v>
      </c>
      <c r="D25" s="103">
        <f>'[2]Overall Summary'!P25</f>
        <v>1.7500000000000002E-2</v>
      </c>
      <c r="E25" s="149">
        <f>'[2]Overall Summary'!Q25</f>
        <v>0.02</v>
      </c>
      <c r="F25" s="102" t="str">
        <f>'[2]Overall Summary'!R25</f>
        <v>tbd</v>
      </c>
      <c r="I25" s="443" t="s">
        <v>321</v>
      </c>
      <c r="J25" s="444" t="s">
        <v>126</v>
      </c>
      <c r="K25" s="444" t="s">
        <v>322</v>
      </c>
      <c r="L25" s="444" t="s">
        <v>127</v>
      </c>
      <c r="M25" s="444" t="s">
        <v>323</v>
      </c>
      <c r="N25" s="445" t="s">
        <v>324</v>
      </c>
    </row>
    <row r="26" spans="1:14" ht="15" thickBot="1">
      <c r="A26" s="146" t="s">
        <v>266</v>
      </c>
      <c r="B26" s="147">
        <f>'[2]Overall Summary'!N26</f>
        <v>3.2500000000000001E-2</v>
      </c>
      <c r="C26" s="147">
        <f>'[2]Overall Summary'!O26</f>
        <v>5.5E-2</v>
      </c>
      <c r="D26" s="147">
        <f>'[2]Overall Summary'!P26</f>
        <v>5.7500000000000002E-2</v>
      </c>
      <c r="E26" s="148">
        <f>'[2]Overall Summary'!Q26</f>
        <v>0.06</v>
      </c>
      <c r="I26" s="446">
        <v>1</v>
      </c>
      <c r="J26" s="447">
        <v>1.2999999999999999E-3</v>
      </c>
      <c r="K26" s="447">
        <v>-8.0000000000000004E-4</v>
      </c>
      <c r="L26" s="447">
        <v>2.8E-3</v>
      </c>
      <c r="M26" s="447">
        <v>0</v>
      </c>
      <c r="N26" s="448"/>
    </row>
    <row r="27" spans="1:14" ht="15" thickBot="1">
      <c r="A27" s="91"/>
      <c r="B27" s="99"/>
      <c r="C27" s="99"/>
      <c r="D27" s="99"/>
      <c r="E27" s="99"/>
      <c r="I27" s="446">
        <v>0.75</v>
      </c>
      <c r="J27" s="447">
        <v>5.9999999999999995E-4</v>
      </c>
      <c r="K27" s="447">
        <v>-5.8999999999999999E-3</v>
      </c>
      <c r="L27" s="447">
        <v>8.0000000000000004E-4</v>
      </c>
      <c r="M27" s="447">
        <v>-1.4E-3</v>
      </c>
      <c r="N27" s="448"/>
    </row>
    <row r="28" spans="1:14" ht="15" thickBot="1">
      <c r="A28" s="150" t="s">
        <v>332</v>
      </c>
      <c r="B28" s="151">
        <f>B18-B26</f>
        <v>1.5999999999999973E-3</v>
      </c>
      <c r="C28" s="151">
        <f>C18-C26</f>
        <v>-2.8000000000000039E-3</v>
      </c>
      <c r="D28" s="151">
        <f>D18-D26</f>
        <v>1.4699999999999998E-2</v>
      </c>
      <c r="E28" s="152">
        <f>E18-E26</f>
        <v>2.7200000000000002E-2</v>
      </c>
      <c r="G28" s="97"/>
      <c r="I28" s="446">
        <v>0.5</v>
      </c>
      <c r="J28" s="447">
        <v>5.0000000000000001E-4</v>
      </c>
      <c r="K28" s="447">
        <v>-6.4000000000000003E-3</v>
      </c>
      <c r="L28" s="447">
        <v>1E-4</v>
      </c>
      <c r="M28" s="447">
        <v>-2.8999999999999998E-3</v>
      </c>
      <c r="N28" s="448"/>
    </row>
    <row r="29" spans="1:14" ht="15" thickBot="1">
      <c r="A29" s="150" t="s">
        <v>333</v>
      </c>
      <c r="B29" s="151"/>
      <c r="C29" s="151">
        <f>C28</f>
        <v>-2.8000000000000039E-3</v>
      </c>
      <c r="D29" s="151">
        <f>C28+D28</f>
        <v>1.1899999999999994E-2</v>
      </c>
      <c r="E29" s="151">
        <f>D28+E28</f>
        <v>4.19E-2</v>
      </c>
      <c r="F29" s="97"/>
      <c r="G29" s="97"/>
      <c r="I29" s="446">
        <v>0.25</v>
      </c>
      <c r="J29" s="447">
        <v>2.0000000000000001E-4</v>
      </c>
      <c r="K29" s="447">
        <v>-7.1999999999999998E-3</v>
      </c>
      <c r="L29" s="447">
        <v>-1.5E-3</v>
      </c>
      <c r="M29" s="447">
        <v>-4.4000000000000003E-3</v>
      </c>
      <c r="N29" s="448"/>
    </row>
    <row r="30" spans="1:14">
      <c r="F30" s="99"/>
      <c r="G30" s="97"/>
      <c r="I30" s="446">
        <v>0</v>
      </c>
      <c r="J30" s="447">
        <v>-0.01</v>
      </c>
      <c r="K30" s="447">
        <v>-8.6E-3</v>
      </c>
      <c r="L30" s="447">
        <v>-5.0000000000000001E-3</v>
      </c>
      <c r="M30" s="447">
        <v>-8.6E-3</v>
      </c>
      <c r="N30" s="448"/>
    </row>
    <row r="31" spans="1:14">
      <c r="F31" s="100"/>
      <c r="G31" s="97"/>
      <c r="I31" s="449"/>
      <c r="J31"/>
      <c r="N31" s="448"/>
    </row>
    <row r="32" spans="1:14" s="97" customFormat="1">
      <c r="A32"/>
      <c r="B32"/>
      <c r="C32"/>
      <c r="D32"/>
      <c r="E32"/>
      <c r="F32" s="99"/>
      <c r="G32" s="11"/>
      <c r="I32" s="450" t="s">
        <v>325</v>
      </c>
      <c r="J32" s="451">
        <v>1.1000000000000001E-3</v>
      </c>
      <c r="K32" s="451">
        <v>6.4000000000000003E-3</v>
      </c>
      <c r="L32" s="451">
        <v>1.4E-3</v>
      </c>
      <c r="M32" s="451">
        <v>2.8999999999999998E-3</v>
      </c>
      <c r="N32" s="452">
        <v>1.18E-2</v>
      </c>
    </row>
    <row r="33" spans="1:14" s="97" customFormat="1" ht="15" thickBot="1">
      <c r="A33"/>
      <c r="B33"/>
      <c r="C33"/>
      <c r="D33"/>
      <c r="E33"/>
      <c r="F33" s="99"/>
      <c r="G33" s="11"/>
      <c r="I33" s="453" t="s">
        <v>326</v>
      </c>
      <c r="J33" s="454">
        <v>8.9999999999999998E-4</v>
      </c>
      <c r="K33" s="454">
        <v>6.7000000000000002E-3</v>
      </c>
      <c r="L33" s="454">
        <v>1.2999999999999999E-3</v>
      </c>
      <c r="M33" s="454">
        <v>2.2000000000000001E-3</v>
      </c>
      <c r="N33" s="455">
        <v>1.11E-2</v>
      </c>
    </row>
    <row r="34" spans="1:14" s="97" customFormat="1">
      <c r="A34"/>
      <c r="B34"/>
      <c r="C34"/>
      <c r="D34"/>
      <c r="E34"/>
      <c r="F34"/>
      <c r="G34" s="11"/>
      <c r="I34"/>
      <c r="J34"/>
      <c r="K34"/>
      <c r="L34"/>
      <c r="M34"/>
      <c r="N34"/>
    </row>
    <row r="35" spans="1:14" ht="15" thickBot="1">
      <c r="H35" s="11"/>
      <c r="I35" s="442" t="s">
        <v>327</v>
      </c>
      <c r="J35"/>
    </row>
    <row r="36" spans="1:14">
      <c r="H36" s="11"/>
      <c r="I36" s="443" t="s">
        <v>321</v>
      </c>
      <c r="J36" s="444" t="s">
        <v>328</v>
      </c>
      <c r="K36" s="444" t="s">
        <v>322</v>
      </c>
      <c r="L36" s="444" t="s">
        <v>329</v>
      </c>
      <c r="M36" s="444"/>
      <c r="N36" s="456" t="s">
        <v>330</v>
      </c>
    </row>
    <row r="37" spans="1:14">
      <c r="H37" s="11"/>
      <c r="I37" s="446">
        <v>1</v>
      </c>
      <c r="J37" s="447">
        <v>0</v>
      </c>
      <c r="K37" s="447">
        <v>0</v>
      </c>
      <c r="L37" s="447">
        <v>1.06E-2</v>
      </c>
      <c r="N37" s="448"/>
    </row>
    <row r="38" spans="1:14">
      <c r="I38" s="446">
        <v>0.75</v>
      </c>
      <c r="J38" s="447">
        <v>0</v>
      </c>
      <c r="K38" s="447">
        <v>-5.9999999999999995E-4</v>
      </c>
      <c r="L38" s="447">
        <v>1.5E-3</v>
      </c>
      <c r="N38" s="448"/>
    </row>
    <row r="39" spans="1:14">
      <c r="I39" s="446">
        <v>0.5</v>
      </c>
      <c r="J39" s="447">
        <v>0</v>
      </c>
      <c r="K39" s="447">
        <v>-3.0999999999999999E-3</v>
      </c>
      <c r="L39" s="447">
        <v>0</v>
      </c>
      <c r="N39" s="448"/>
    </row>
    <row r="40" spans="1:14">
      <c r="I40" s="446">
        <v>0.25</v>
      </c>
      <c r="J40" s="447">
        <v>0</v>
      </c>
      <c r="K40" s="447">
        <v>-7.7000000000000002E-3</v>
      </c>
      <c r="L40" s="447">
        <v>-2.0999999999999999E-3</v>
      </c>
      <c r="N40" s="448"/>
    </row>
    <row r="41" spans="1:14">
      <c r="I41" s="446">
        <v>0</v>
      </c>
      <c r="J41" s="447">
        <v>-0.01</v>
      </c>
      <c r="K41" s="447">
        <v>-0.03</v>
      </c>
      <c r="L41" s="447">
        <v>-1.37E-2</v>
      </c>
      <c r="N41" s="448"/>
    </row>
    <row r="42" spans="1:14">
      <c r="I42" s="457"/>
      <c r="J42"/>
      <c r="N42" s="448"/>
    </row>
    <row r="43" spans="1:14">
      <c r="I43" s="458" t="s">
        <v>331</v>
      </c>
      <c r="J43" s="451">
        <v>2.2000000000000001E-3</v>
      </c>
      <c r="K43" s="451">
        <v>5.1999999999999998E-3</v>
      </c>
      <c r="L43" s="451">
        <v>2.3999999999999998E-3</v>
      </c>
      <c r="N43" s="452">
        <v>9.7000000000000003E-3</v>
      </c>
    </row>
    <row r="44" spans="1:14" ht="15" thickBot="1">
      <c r="I44" s="459"/>
      <c r="J44" s="460"/>
      <c r="K44" s="460"/>
      <c r="L44" s="460"/>
      <c r="M44" s="460"/>
      <c r="N44" s="461"/>
    </row>
  </sheetData>
  <mergeCells count="1">
    <mergeCell ref="I2:M2"/>
  </mergeCells>
  <printOptions horizontalCentered="1" verticalCentered="1"/>
  <pageMargins left="0.2" right="0.2" top="0.25" bottom="0.25" header="0.3" footer="0.3"/>
  <pageSetup paperSize="5" scale="90" orientation="landscape" r:id="rId1"/>
  <headerFooter>
    <oddFooter>&amp;CHSCRC Work Group Meeting
Feb 2, 2015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2"/>
  <sheetViews>
    <sheetView zoomScale="50" zoomScaleNormal="50" workbookViewId="0">
      <selection activeCell="T52" sqref="T52"/>
    </sheetView>
  </sheetViews>
  <sheetFormatPr defaultColWidth="9.109375" defaultRowHeight="15.6"/>
  <cols>
    <col min="1" max="1" width="10.6640625" style="74" customWidth="1"/>
    <col min="2" max="2" width="29.44140625" style="74" customWidth="1"/>
    <col min="3" max="3" width="17.5546875" style="74" hidden="1" customWidth="1"/>
    <col min="4" max="4" width="17.5546875" style="74" customWidth="1"/>
    <col min="5" max="5" width="21.5546875" style="74" hidden="1" customWidth="1"/>
    <col min="6" max="6" width="17.44140625" style="74" customWidth="1"/>
    <col min="7" max="7" width="17.88671875" style="74" hidden="1" customWidth="1"/>
    <col min="8" max="8" width="17.6640625" style="74" customWidth="1"/>
    <col min="9" max="9" width="19.33203125" style="74" customWidth="1"/>
    <col min="10" max="10" width="19.33203125" style="118" customWidth="1"/>
    <col min="11" max="11" width="16.33203125" style="74" hidden="1" customWidth="1"/>
    <col min="12" max="12" width="16.33203125" style="74" customWidth="1"/>
    <col min="13" max="13" width="17.5546875" style="74" customWidth="1"/>
    <col min="14" max="14" width="11.6640625" style="74" customWidth="1"/>
    <col min="15" max="15" width="19" style="74" customWidth="1"/>
    <col min="16" max="16" width="2" style="74" hidden="1" customWidth="1"/>
    <col min="17" max="17" width="21.44140625" style="74" customWidth="1"/>
    <col min="18" max="16384" width="9.109375" style="74"/>
  </cols>
  <sheetData>
    <row r="1" spans="1:18" ht="28.5" customHeight="1">
      <c r="A1" s="184" t="s">
        <v>181</v>
      </c>
      <c r="B1" s="185"/>
      <c r="C1" s="185"/>
      <c r="D1" s="185"/>
      <c r="E1" s="186"/>
      <c r="F1" s="186"/>
      <c r="G1" s="186"/>
      <c r="H1" s="186"/>
      <c r="I1" s="186"/>
      <c r="J1" s="187"/>
      <c r="K1" s="188"/>
      <c r="L1" s="188"/>
      <c r="M1" s="189"/>
      <c r="N1" s="190" t="s">
        <v>232</v>
      </c>
      <c r="O1" s="191"/>
      <c r="P1" s="192"/>
      <c r="Q1" s="189"/>
      <c r="R1" s="192"/>
    </row>
    <row r="2" spans="1:18" s="75" customFormat="1" ht="63.75" customHeight="1">
      <c r="A2" s="236" t="s">
        <v>46</v>
      </c>
      <c r="B2" s="236" t="s">
        <v>1</v>
      </c>
      <c r="C2" s="193" t="str">
        <f>'Appendix2QBR Modeling Results'!$D$2</f>
        <v>Estimated Inpatient Revenue (FY15*2.6%)</v>
      </c>
      <c r="D2" s="236" t="s">
        <v>136</v>
      </c>
      <c r="E2" s="236" t="s">
        <v>137</v>
      </c>
      <c r="F2" s="240" t="s">
        <v>267</v>
      </c>
      <c r="G2" s="240" t="s">
        <v>247</v>
      </c>
      <c r="H2" s="240" t="s">
        <v>143</v>
      </c>
      <c r="I2" s="240" t="s">
        <v>150</v>
      </c>
      <c r="J2" s="241" t="s">
        <v>195</v>
      </c>
      <c r="K2" s="241" t="s">
        <v>159</v>
      </c>
      <c r="L2" s="241" t="s">
        <v>196</v>
      </c>
      <c r="M2" s="241" t="s">
        <v>194</v>
      </c>
      <c r="N2" s="241" t="s">
        <v>144</v>
      </c>
      <c r="O2" s="241" t="s">
        <v>145</v>
      </c>
      <c r="P2" s="194" t="s">
        <v>199</v>
      </c>
      <c r="Q2" s="241" t="s">
        <v>249</v>
      </c>
      <c r="R2" s="194"/>
    </row>
    <row r="3" spans="1:18" s="180" customFormat="1" ht="16.95" customHeight="1">
      <c r="A3" s="237" t="s">
        <v>233</v>
      </c>
      <c r="B3" s="237" t="s">
        <v>234</v>
      </c>
      <c r="C3" s="195" t="s">
        <v>235</v>
      </c>
      <c r="D3" s="196" t="s">
        <v>236</v>
      </c>
      <c r="E3" s="196" t="s">
        <v>237</v>
      </c>
      <c r="F3" s="196" t="s">
        <v>238</v>
      </c>
      <c r="G3" s="197" t="s">
        <v>248</v>
      </c>
      <c r="H3" s="198" t="s">
        <v>239</v>
      </c>
      <c r="I3" s="199" t="s">
        <v>240</v>
      </c>
      <c r="J3" s="200" t="s">
        <v>241</v>
      </c>
      <c r="K3" s="200" t="s">
        <v>242</v>
      </c>
      <c r="L3" s="200" t="s">
        <v>243</v>
      </c>
      <c r="M3" s="201" t="s">
        <v>244</v>
      </c>
      <c r="N3" s="201" t="s">
        <v>245</v>
      </c>
      <c r="O3" s="199" t="s">
        <v>246</v>
      </c>
      <c r="P3" s="202"/>
      <c r="Q3" s="203" t="s">
        <v>250</v>
      </c>
      <c r="R3" s="204"/>
    </row>
    <row r="4" spans="1:18" ht="16.95" customHeight="1">
      <c r="A4" s="238">
        <v>210045</v>
      </c>
      <c r="B4" s="239" t="s">
        <v>81</v>
      </c>
      <c r="C4" s="205">
        <v>3734618.2392469109</v>
      </c>
      <c r="D4" s="206">
        <v>0.11526914254018475</v>
      </c>
      <c r="E4" s="206">
        <v>8.9720230899483097E-2</v>
      </c>
      <c r="F4" s="207">
        <f t="shared" ref="F4:F49" si="0">E4/D4-1</f>
        <v>-0.22164571608394568</v>
      </c>
      <c r="G4" s="208">
        <v>6.7799999999999999E-2</v>
      </c>
      <c r="H4" s="209">
        <f t="shared" ref="H4:H49" si="1">IF(F4&lt;-6.76%,0.5%,0)</f>
        <v>5.0000000000000001E-3</v>
      </c>
      <c r="I4" s="210">
        <f t="shared" ref="I4:I49" si="2">C4*H4</f>
        <v>18673.091196234556</v>
      </c>
      <c r="J4" s="211">
        <f>(1+F4)*(1+'1.Readmission Scaling'!$B$5)-1</f>
        <v>-0.26655316018631747</v>
      </c>
      <c r="K4" s="212">
        <f t="shared" ref="K4:K49" si="3">D4*(1+J4)</f>
        <v>8.4543788324131425E-2</v>
      </c>
      <c r="L4" s="212">
        <v>-9.5000000000000001E-2</v>
      </c>
      <c r="M4" s="213">
        <f>J4-L4</f>
        <v>-0.17155316018631747</v>
      </c>
      <c r="N4" s="214">
        <f>IF($J$4&lt;='1.Readmission Scaling'!$B$5,'1.Readmission Scaling'!$D$12,IF($J$4&gt;='1.Readmission Scaling'!$A$42,'1.Readmission Scaling'!$D$42,'Appendix1.RRIP Modeling Results'!S4*('1.Readmission Scaling'!$D$42/'1.Readmission Scaling'!$C$42)))</f>
        <v>0.01</v>
      </c>
      <c r="O4" s="210">
        <f>$C4*N4</f>
        <v>37346.182392469113</v>
      </c>
      <c r="P4" s="215">
        <f>-9.5%*K4</f>
        <v>-8.0316598907924849E-3</v>
      </c>
      <c r="Q4" s="216">
        <f t="shared" ref="Q4:Q49" si="4">-J4*D4*C4</f>
        <v>114747.46826259473</v>
      </c>
      <c r="R4" s="192"/>
    </row>
    <row r="5" spans="1:18" ht="16.95" customHeight="1">
      <c r="A5" s="238">
        <v>210013</v>
      </c>
      <c r="B5" s="239" t="s">
        <v>58</v>
      </c>
      <c r="C5" s="205">
        <v>78212787.330636472</v>
      </c>
      <c r="D5" s="206">
        <v>0.18449736603472905</v>
      </c>
      <c r="E5" s="206">
        <v>0.15554389078583611</v>
      </c>
      <c r="F5" s="207">
        <f t="shared" si="0"/>
        <v>-0.15693164553602812</v>
      </c>
      <c r="G5" s="208">
        <v>6.7799999999999999E-2</v>
      </c>
      <c r="H5" s="209">
        <f t="shared" si="1"/>
        <v>5.0000000000000001E-3</v>
      </c>
      <c r="I5" s="210">
        <f t="shared" si="2"/>
        <v>391063.93665318238</v>
      </c>
      <c r="J5" s="211">
        <f>(1+F5)*(1+'1.Readmission Scaling'!$B$5)-1</f>
        <v>-0.20557279235684089</v>
      </c>
      <c r="K5" s="212">
        <f t="shared" si="3"/>
        <v>0.14656972731648762</v>
      </c>
      <c r="L5" s="212">
        <v>-9.5000000000000001E-2</v>
      </c>
      <c r="M5" s="213">
        <f t="shared" ref="M5:M48" si="5">J5-L5</f>
        <v>-0.11057279235684089</v>
      </c>
      <c r="N5" s="214">
        <f>N4</f>
        <v>0.01</v>
      </c>
      <c r="O5" s="210">
        <f t="shared" ref="O5:O49" si="6">$C5*N5</f>
        <v>782127.87330636475</v>
      </c>
      <c r="P5" s="215">
        <f t="shared" ref="P5:P51" si="7">-9.5%*K5</f>
        <v>-1.3924124095066324E-2</v>
      </c>
      <c r="Q5" s="216">
        <f t="shared" si="4"/>
        <v>2966426.3410230302</v>
      </c>
      <c r="R5" s="192"/>
    </row>
    <row r="6" spans="1:18" ht="16.95" customHeight="1">
      <c r="A6" s="238">
        <v>210028</v>
      </c>
      <c r="B6" s="239" t="s">
        <v>68</v>
      </c>
      <c r="C6" s="205">
        <v>69520305.288439929</v>
      </c>
      <c r="D6" s="206">
        <v>0.12207930853738182</v>
      </c>
      <c r="E6" s="206">
        <v>0.10366337425190864</v>
      </c>
      <c r="F6" s="207">
        <f t="shared" si="0"/>
        <v>-0.15085221653130554</v>
      </c>
      <c r="G6" s="208">
        <v>6.7799999999999999E-2</v>
      </c>
      <c r="H6" s="209">
        <f t="shared" si="1"/>
        <v>5.0000000000000001E-3</v>
      </c>
      <c r="I6" s="210">
        <f t="shared" si="2"/>
        <v>347601.52644219965</v>
      </c>
      <c r="J6" s="211">
        <f>(1+F6)*(1+'1.Readmission Scaling'!$B$5)-1</f>
        <v>-0.19984411830246085</v>
      </c>
      <c r="K6" s="212">
        <f t="shared" si="3"/>
        <v>9.7682476759754666E-2</v>
      </c>
      <c r="L6" s="212">
        <v>-9.5000000000000001E-2</v>
      </c>
      <c r="M6" s="213">
        <f t="shared" si="5"/>
        <v>-0.10484411830246085</v>
      </c>
      <c r="N6" s="214">
        <f>N4</f>
        <v>0.01</v>
      </c>
      <c r="O6" s="210">
        <f t="shared" si="6"/>
        <v>695203.05288439931</v>
      </c>
      <c r="P6" s="215">
        <f t="shared" si="7"/>
        <v>-9.2798352921766927E-3</v>
      </c>
      <c r="Q6" s="216">
        <f t="shared" si="4"/>
        <v>1696075.1932513521</v>
      </c>
      <c r="R6" s="192"/>
    </row>
    <row r="7" spans="1:18" ht="16.95" customHeight="1">
      <c r="A7" s="238">
        <v>210051</v>
      </c>
      <c r="B7" s="239" t="s">
        <v>84</v>
      </c>
      <c r="C7" s="205">
        <v>136225390.68992713</v>
      </c>
      <c r="D7" s="206">
        <v>0.12374231275498397</v>
      </c>
      <c r="E7" s="206">
        <v>0.10737068620294624</v>
      </c>
      <c r="F7" s="207">
        <f t="shared" si="0"/>
        <v>-0.1323041907617678</v>
      </c>
      <c r="G7" s="208">
        <v>6.7799999999999999E-2</v>
      </c>
      <c r="H7" s="209">
        <f t="shared" si="1"/>
        <v>5.0000000000000001E-3</v>
      </c>
      <c r="I7" s="210">
        <f t="shared" si="2"/>
        <v>681126.95344963565</v>
      </c>
      <c r="J7" s="211">
        <f>(1+F7)*(1+'1.Readmission Scaling'!$B$5)-1</f>
        <v>-0.18236622787831391</v>
      </c>
      <c r="K7" s="212">
        <f t="shared" si="3"/>
        <v>0.10117589394891897</v>
      </c>
      <c r="L7" s="212">
        <v>-9.5000000000000001E-2</v>
      </c>
      <c r="M7" s="213">
        <f t="shared" si="5"/>
        <v>-8.7366227878313912E-2</v>
      </c>
      <c r="N7" s="214">
        <v>0.01</v>
      </c>
      <c r="O7" s="210">
        <f t="shared" si="6"/>
        <v>1362253.9068992713</v>
      </c>
      <c r="P7" s="215">
        <f t="shared" si="7"/>
        <v>-9.611709925147302E-3</v>
      </c>
      <c r="Q7" s="216">
        <f t="shared" si="4"/>
        <v>3074119.2183287232</v>
      </c>
      <c r="R7" s="192"/>
    </row>
    <row r="8" spans="1:18" ht="16.95" customHeight="1">
      <c r="A8" s="238">
        <v>210039</v>
      </c>
      <c r="B8" s="239" t="s">
        <v>77</v>
      </c>
      <c r="C8" s="205">
        <v>67385286.839919657</v>
      </c>
      <c r="D8" s="206">
        <v>9.4115353930741427E-2</v>
      </c>
      <c r="E8" s="206">
        <v>8.233518597582197E-2</v>
      </c>
      <c r="F8" s="207">
        <f t="shared" si="0"/>
        <v>-0.12516733415876402</v>
      </c>
      <c r="G8" s="208">
        <v>6.7799999999999999E-2</v>
      </c>
      <c r="H8" s="209">
        <f t="shared" si="1"/>
        <v>5.0000000000000001E-3</v>
      </c>
      <c r="I8" s="210">
        <f t="shared" si="2"/>
        <v>336926.43419959827</v>
      </c>
      <c r="J8" s="211">
        <f>(1+F8)*(1+'1.Readmission Scaling'!$B$5)-1</f>
        <v>-0.1756411349099285</v>
      </c>
      <c r="K8" s="212">
        <f t="shared" si="3"/>
        <v>7.7584826353896408E-2</v>
      </c>
      <c r="L8" s="212">
        <v>-9.5000000000000001E-2</v>
      </c>
      <c r="M8" s="213">
        <f t="shared" si="5"/>
        <v>-8.0641134909928497E-2</v>
      </c>
      <c r="N8" s="214">
        <f t="shared" ref="N8:N49" si="8">$N$7/$M$7*M8</f>
        <v>9.2302411204301608E-3</v>
      </c>
      <c r="O8" s="210">
        <f t="shared" si="6"/>
        <v>621982.44550180773</v>
      </c>
      <c r="P8" s="215">
        <f t="shared" si="7"/>
        <v>-7.3705585036201587E-3</v>
      </c>
      <c r="Q8" s="216">
        <f t="shared" si="4"/>
        <v>1113914.3423809039</v>
      </c>
      <c r="R8" s="192"/>
    </row>
    <row r="9" spans="1:18" ht="16.95" customHeight="1">
      <c r="A9" s="238">
        <v>210030</v>
      </c>
      <c r="B9" s="239" t="s">
        <v>70</v>
      </c>
      <c r="C9" s="205">
        <v>29416674.305924561</v>
      </c>
      <c r="D9" s="206">
        <v>0.13372771532848032</v>
      </c>
      <c r="E9" s="206">
        <v>0.11787094346181198</v>
      </c>
      <c r="F9" s="207">
        <f t="shared" si="0"/>
        <v>-0.11857505998452722</v>
      </c>
      <c r="G9" s="208">
        <v>6.7799999999999999E-2</v>
      </c>
      <c r="H9" s="209">
        <f t="shared" si="1"/>
        <v>5.0000000000000001E-3</v>
      </c>
      <c r="I9" s="210">
        <f t="shared" si="2"/>
        <v>147083.37152962282</v>
      </c>
      <c r="J9" s="211">
        <f>(1+F9)*(1+'1.Readmission Scaling'!$B$5)-1</f>
        <v>-0.16942920448159826</v>
      </c>
      <c r="K9" s="212">
        <f t="shared" si="3"/>
        <v>0.11107033490323427</v>
      </c>
      <c r="L9" s="212">
        <v>-9.5000000000000001E-2</v>
      </c>
      <c r="M9" s="213">
        <f t="shared" si="5"/>
        <v>-7.442920448159826E-2</v>
      </c>
      <c r="N9" s="214">
        <f t="shared" si="8"/>
        <v>8.519219186762338E-3</v>
      </c>
      <c r="O9" s="210">
        <f t="shared" si="6"/>
        <v>250607.09615777122</v>
      </c>
      <c r="P9" s="215">
        <f t="shared" si="7"/>
        <v>-1.0551681815807255E-2</v>
      </c>
      <c r="Q9" s="216">
        <f t="shared" si="4"/>
        <v>666504.78059489373</v>
      </c>
      <c r="R9" s="192"/>
    </row>
    <row r="10" spans="1:18" ht="16.95" customHeight="1">
      <c r="A10" s="238">
        <v>210024</v>
      </c>
      <c r="B10" s="239" t="s">
        <v>66</v>
      </c>
      <c r="C10" s="205">
        <v>242505500.48554313</v>
      </c>
      <c r="D10" s="206">
        <v>0.13905335986273767</v>
      </c>
      <c r="E10" s="206">
        <v>0.12458044051429136</v>
      </c>
      <c r="F10" s="207">
        <f t="shared" si="0"/>
        <v>-0.10408176661630342</v>
      </c>
      <c r="G10" s="208">
        <v>6.7799999999999999E-2</v>
      </c>
      <c r="H10" s="209">
        <f t="shared" si="1"/>
        <v>5.0000000000000001E-3</v>
      </c>
      <c r="I10" s="210">
        <f t="shared" si="2"/>
        <v>1212527.5024277156</v>
      </c>
      <c r="J10" s="211">
        <f>(1+F10)*(1+'1.Readmission Scaling'!$B$5)-1</f>
        <v>-0.15577210714292311</v>
      </c>
      <c r="K10" s="212">
        <f t="shared" si="3"/>
        <v>0.11739272499161586</v>
      </c>
      <c r="L10" s="212">
        <v>-9.5000000000000001E-2</v>
      </c>
      <c r="M10" s="213">
        <f t="shared" si="5"/>
        <v>-6.077210714292311E-2</v>
      </c>
      <c r="N10" s="214">
        <f t="shared" si="8"/>
        <v>6.9560182027737505E-3</v>
      </c>
      <c r="O10" s="210">
        <f t="shared" si="6"/>
        <v>1686872.6756501966</v>
      </c>
      <c r="P10" s="215">
        <f t="shared" si="7"/>
        <v>-1.1152308874203508E-2</v>
      </c>
      <c r="Q10" s="216">
        <f t="shared" si="4"/>
        <v>5252823.1002560044</v>
      </c>
      <c r="R10" s="192"/>
    </row>
    <row r="11" spans="1:18" s="76" customFormat="1" ht="16.95" customHeight="1">
      <c r="A11" s="238">
        <v>210055</v>
      </c>
      <c r="B11" s="239" t="s">
        <v>85</v>
      </c>
      <c r="C11" s="205">
        <v>77501975.342135206</v>
      </c>
      <c r="D11" s="206">
        <v>0.13179721081148921</v>
      </c>
      <c r="E11" s="206">
        <v>0.11916357254023499</v>
      </c>
      <c r="F11" s="207">
        <f t="shared" si="0"/>
        <v>-9.5856643653288165E-2</v>
      </c>
      <c r="G11" s="208">
        <v>6.7799999999999999E-2</v>
      </c>
      <c r="H11" s="209">
        <f t="shared" si="1"/>
        <v>5.0000000000000001E-3</v>
      </c>
      <c r="I11" s="210">
        <f t="shared" si="2"/>
        <v>387509.87671067606</v>
      </c>
      <c r="J11" s="211">
        <f>(1+F11)*(1+'1.Readmission Scaling'!$B$5)-1</f>
        <v>-0.1480215357527962</v>
      </c>
      <c r="K11" s="212">
        <f t="shared" si="3"/>
        <v>0.11228838525923754</v>
      </c>
      <c r="L11" s="212">
        <v>-9.5000000000000001E-2</v>
      </c>
      <c r="M11" s="213">
        <f t="shared" si="5"/>
        <v>-5.3021535752796195E-2</v>
      </c>
      <c r="N11" s="214">
        <f t="shared" si="8"/>
        <v>6.0688823405133218E-3</v>
      </c>
      <c r="O11" s="210">
        <f t="shared" si="6"/>
        <v>470350.36950878327</v>
      </c>
      <c r="P11" s="215">
        <f t="shared" si="7"/>
        <v>-1.0667396599627565E-2</v>
      </c>
      <c r="Q11" s="216">
        <f t="shared" si="4"/>
        <v>1511972.516904626</v>
      </c>
      <c r="R11" s="217"/>
    </row>
    <row r="12" spans="1:18" ht="16.95" customHeight="1">
      <c r="A12" s="238">
        <v>210063</v>
      </c>
      <c r="B12" s="239" t="s">
        <v>92</v>
      </c>
      <c r="C12" s="205">
        <v>216335127.85977465</v>
      </c>
      <c r="D12" s="206">
        <v>0.11424140407315968</v>
      </c>
      <c r="E12" s="206">
        <v>0.10389146635544005</v>
      </c>
      <c r="F12" s="207">
        <f t="shared" si="0"/>
        <v>-9.0597080819241116E-2</v>
      </c>
      <c r="G12" s="208">
        <v>6.7799999999999999E-2</v>
      </c>
      <c r="H12" s="209">
        <f t="shared" si="1"/>
        <v>5.0000000000000001E-3</v>
      </c>
      <c r="I12" s="210">
        <f t="shared" si="2"/>
        <v>1081675.6392988733</v>
      </c>
      <c r="J12" s="211">
        <f>(1+F12)*(1+'1.Readmission Scaling'!$B$5)-1</f>
        <v>-0.1430654253810193</v>
      </c>
      <c r="K12" s="212">
        <f t="shared" si="3"/>
        <v>9.7897409003308178E-2</v>
      </c>
      <c r="L12" s="212">
        <v>-9.5000000000000001E-2</v>
      </c>
      <c r="M12" s="213">
        <f t="shared" si="5"/>
        <v>-4.8065425381019294E-2</v>
      </c>
      <c r="N12" s="214">
        <f t="shared" si="8"/>
        <v>5.5016024553522147E-3</v>
      </c>
      <c r="O12" s="210">
        <f t="shared" si="6"/>
        <v>1190189.8706122716</v>
      </c>
      <c r="P12" s="215">
        <f t="shared" si="7"/>
        <v>-9.3002538553142774E-3</v>
      </c>
      <c r="Q12" s="216">
        <f t="shared" si="4"/>
        <v>3535780.2631758507</v>
      </c>
      <c r="R12" s="192"/>
    </row>
    <row r="13" spans="1:18" ht="16.95" customHeight="1">
      <c r="A13" s="238">
        <v>210011</v>
      </c>
      <c r="B13" s="239" t="s">
        <v>56</v>
      </c>
      <c r="C13" s="205">
        <v>239121555.83864471</v>
      </c>
      <c r="D13" s="206">
        <v>0.13400307752435447</v>
      </c>
      <c r="E13" s="206">
        <v>0.12219420167468435</v>
      </c>
      <c r="F13" s="207">
        <f t="shared" si="0"/>
        <v>-8.8123915269960218E-2</v>
      </c>
      <c r="G13" s="208">
        <v>6.7799999999999999E-2</v>
      </c>
      <c r="H13" s="209">
        <f t="shared" si="1"/>
        <v>5.0000000000000001E-3</v>
      </c>
      <c r="I13" s="210">
        <f t="shared" si="2"/>
        <v>1195607.7791932237</v>
      </c>
      <c r="J13" s="211">
        <f>(1+F13)*(1+'1.Readmission Scaling'!$B$5)-1</f>
        <v>-0.14073495005128911</v>
      </c>
      <c r="K13" s="212">
        <f t="shared" si="3"/>
        <v>0.11514416110224543</v>
      </c>
      <c r="L13" s="212">
        <v>-9.5000000000000001E-2</v>
      </c>
      <c r="M13" s="213">
        <f t="shared" si="5"/>
        <v>-4.5734950051289108E-2</v>
      </c>
      <c r="N13" s="214">
        <f t="shared" si="8"/>
        <v>5.2348546070902823E-3</v>
      </c>
      <c r="O13" s="210">
        <f t="shared" si="6"/>
        <v>1251766.5782365254</v>
      </c>
      <c r="P13" s="215">
        <f t="shared" si="7"/>
        <v>-1.0938695304713315E-2</v>
      </c>
      <c r="Q13" s="216">
        <f t="shared" si="4"/>
        <v>4509573.436285683</v>
      </c>
      <c r="R13" s="192"/>
    </row>
    <row r="14" spans="1:18" ht="16.95" customHeight="1">
      <c r="A14" s="238">
        <v>210018</v>
      </c>
      <c r="B14" s="239" t="s">
        <v>62</v>
      </c>
      <c r="C14" s="218">
        <v>87652208.15841648</v>
      </c>
      <c r="D14" s="219">
        <v>0.12064870496290217</v>
      </c>
      <c r="E14" s="219">
        <v>0.11033550627708789</v>
      </c>
      <c r="F14" s="220">
        <f t="shared" si="0"/>
        <v>-8.5481221609344571E-2</v>
      </c>
      <c r="G14" s="208">
        <v>6.7799999999999999E-2</v>
      </c>
      <c r="H14" s="209">
        <f t="shared" si="1"/>
        <v>5.0000000000000001E-3</v>
      </c>
      <c r="I14" s="210">
        <f t="shared" si="2"/>
        <v>438261.04079208244</v>
      </c>
      <c r="J14" s="211">
        <f>(1+F14)*(1+'1.Readmission Scaling'!$B$5)-1</f>
        <v>-0.13824472759857476</v>
      </c>
      <c r="K14" s="212">
        <f t="shared" si="3"/>
        <v>0.10396965761018495</v>
      </c>
      <c r="L14" s="212">
        <v>-9.5000000000000001E-2</v>
      </c>
      <c r="M14" s="213">
        <f t="shared" si="5"/>
        <v>-4.3244727598574756E-2</v>
      </c>
      <c r="N14" s="214">
        <f t="shared" si="8"/>
        <v>4.9498219905759469E-3</v>
      </c>
      <c r="O14" s="210">
        <f t="shared" si="6"/>
        <v>433862.8274650703</v>
      </c>
      <c r="P14" s="215">
        <f t="shared" si="7"/>
        <v>-9.8771174729675709E-3</v>
      </c>
      <c r="Q14" s="216">
        <f t="shared" si="4"/>
        <v>1461955.3304444556</v>
      </c>
      <c r="R14" s="192"/>
    </row>
    <row r="15" spans="1:18" ht="16.95" customHeight="1">
      <c r="A15" s="238">
        <v>210008</v>
      </c>
      <c r="B15" s="239" t="s">
        <v>53</v>
      </c>
      <c r="C15" s="205">
        <v>233163593.66479388</v>
      </c>
      <c r="D15" s="206">
        <v>0.14074146050719979</v>
      </c>
      <c r="E15" s="206">
        <v>0.12905757582706001</v>
      </c>
      <c r="F15" s="207">
        <f t="shared" si="0"/>
        <v>-8.301665080093501E-2</v>
      </c>
      <c r="G15" s="208">
        <v>6.7799999999999999E-2</v>
      </c>
      <c r="H15" s="209">
        <f t="shared" si="1"/>
        <v>5.0000000000000001E-3</v>
      </c>
      <c r="I15" s="210">
        <f t="shared" si="2"/>
        <v>1165817.9683239695</v>
      </c>
      <c r="J15" s="211">
        <f>(1+F15)*(1+'1.Readmission Scaling'!$B$5)-1</f>
        <v>-0.1359223511328983</v>
      </c>
      <c r="K15" s="212">
        <f t="shared" si="3"/>
        <v>0.12161155029318324</v>
      </c>
      <c r="L15" s="212">
        <v>-9.5000000000000001E-2</v>
      </c>
      <c r="M15" s="213">
        <f t="shared" si="5"/>
        <v>-4.0922351132898299E-2</v>
      </c>
      <c r="N15" s="214">
        <f t="shared" si="8"/>
        <v>4.6840011439999536E-3</v>
      </c>
      <c r="O15" s="210">
        <f t="shared" si="6"/>
        <v>1092138.5394650348</v>
      </c>
      <c r="P15" s="215">
        <f t="shared" si="7"/>
        <v>-1.1553097277852408E-2</v>
      </c>
      <c r="Q15" s="216">
        <f t="shared" si="4"/>
        <v>4460398.6119849449</v>
      </c>
      <c r="R15" s="192"/>
    </row>
    <row r="16" spans="1:18" ht="16.95" customHeight="1">
      <c r="A16" s="238">
        <v>210040</v>
      </c>
      <c r="B16" s="239" t="s">
        <v>78</v>
      </c>
      <c r="C16" s="205">
        <v>142186717.48751882</v>
      </c>
      <c r="D16" s="206">
        <v>0.14090616369807915</v>
      </c>
      <c r="E16" s="206">
        <v>0.12941618454694814</v>
      </c>
      <c r="F16" s="207">
        <f t="shared" si="0"/>
        <v>-8.1543481488508096E-2</v>
      </c>
      <c r="G16" s="208">
        <v>6.7799999999999999E-2</v>
      </c>
      <c r="H16" s="209">
        <f t="shared" si="1"/>
        <v>5.0000000000000001E-3</v>
      </c>
      <c r="I16" s="210">
        <f t="shared" si="2"/>
        <v>710933.58743759408</v>
      </c>
      <c r="J16" s="211">
        <f>(1+F16)*(1+'1.Readmission Scaling'!$B$5)-1</f>
        <v>-0.13453417687981417</v>
      </c>
      <c r="K16" s="212">
        <f t="shared" si="3"/>
        <v>0.12194946894766572</v>
      </c>
      <c r="L16" s="212">
        <v>-9.5000000000000001E-2</v>
      </c>
      <c r="M16" s="213">
        <f t="shared" si="5"/>
        <v>-3.953417687981417E-2</v>
      </c>
      <c r="N16" s="214">
        <f t="shared" si="8"/>
        <v>4.5251097409033684E-3</v>
      </c>
      <c r="O16" s="210">
        <f t="shared" si="6"/>
        <v>643410.50032984675</v>
      </c>
      <c r="P16" s="215">
        <f t="shared" si="7"/>
        <v>-1.1585199550028243E-2</v>
      </c>
      <c r="Q16" s="216">
        <f t="shared" si="4"/>
        <v>2695390.2009741659</v>
      </c>
      <c r="R16" s="192"/>
    </row>
    <row r="17" spans="1:18" ht="16.95" customHeight="1">
      <c r="A17" s="238">
        <v>210003</v>
      </c>
      <c r="B17" s="239" t="s">
        <v>49</v>
      </c>
      <c r="C17" s="205">
        <v>177243165.22063905</v>
      </c>
      <c r="D17" s="206">
        <v>0.10001197308144019</v>
      </c>
      <c r="E17" s="206">
        <v>9.2649430426562693E-2</v>
      </c>
      <c r="F17" s="207">
        <f t="shared" si="0"/>
        <v>-7.3616612371822154E-2</v>
      </c>
      <c r="G17" s="208">
        <v>6.7799999999999999E-2</v>
      </c>
      <c r="H17" s="209">
        <f t="shared" si="1"/>
        <v>5.0000000000000001E-3</v>
      </c>
      <c r="I17" s="210">
        <f t="shared" si="2"/>
        <v>886215.82610319532</v>
      </c>
      <c r="J17" s="211">
        <f>(1+F17)*(1+'1.Readmission Scaling'!$B$5)-1</f>
        <v>-0.1270646514678142</v>
      </c>
      <c r="K17" s="212">
        <f t="shared" si="3"/>
        <v>8.7303986579238574E-2</v>
      </c>
      <c r="L17" s="212">
        <v>-9.5000000000000001E-2</v>
      </c>
      <c r="M17" s="213">
        <f t="shared" si="5"/>
        <v>-3.2064651467814204E-2</v>
      </c>
      <c r="N17" s="214">
        <f t="shared" si="8"/>
        <v>3.6701425993204985E-3</v>
      </c>
      <c r="O17" s="210">
        <f t="shared" si="6"/>
        <v>650507.69111466873</v>
      </c>
      <c r="P17" s="215">
        <f t="shared" si="7"/>
        <v>-8.293878725027664E-3</v>
      </c>
      <c r="Q17" s="216">
        <f t="shared" si="4"/>
        <v>2252403.7512313719</v>
      </c>
      <c r="R17" s="192"/>
    </row>
    <row r="18" spans="1:18" ht="16.95" customHeight="1">
      <c r="A18" s="238">
        <v>210012</v>
      </c>
      <c r="B18" s="239" t="s">
        <v>57</v>
      </c>
      <c r="C18" s="205">
        <v>429154678.73181057</v>
      </c>
      <c r="D18" s="206">
        <v>0.13599952920968858</v>
      </c>
      <c r="E18" s="206">
        <v>0.12644764270275974</v>
      </c>
      <c r="F18" s="207">
        <f t="shared" si="0"/>
        <v>-7.0234702740782473E-2</v>
      </c>
      <c r="G18" s="208">
        <v>6.7799999999999999E-2</v>
      </c>
      <c r="H18" s="209">
        <f t="shared" si="1"/>
        <v>5.0000000000000001E-3</v>
      </c>
      <c r="I18" s="210">
        <f t="shared" si="2"/>
        <v>2145773.3936590529</v>
      </c>
      <c r="J18" s="211">
        <f>(1+F18)*(1+'1.Readmission Scaling'!$B$5)-1</f>
        <v>-0.12387786238901344</v>
      </c>
      <c r="K18" s="212">
        <f t="shared" si="3"/>
        <v>0.11915219824528016</v>
      </c>
      <c r="L18" s="212">
        <v>-9.5000000000000001E-2</v>
      </c>
      <c r="M18" s="213">
        <f t="shared" si="5"/>
        <v>-2.8877862389013437E-2</v>
      </c>
      <c r="N18" s="214">
        <f t="shared" si="8"/>
        <v>3.3053804759930025E-3</v>
      </c>
      <c r="O18" s="210">
        <f t="shared" si="6"/>
        <v>1418519.4962611762</v>
      </c>
      <c r="P18" s="215">
        <f t="shared" si="7"/>
        <v>-1.1319458833301614E-2</v>
      </c>
      <c r="Q18" s="216">
        <f t="shared" si="4"/>
        <v>7230110.9075191775</v>
      </c>
      <c r="R18" s="192"/>
    </row>
    <row r="19" spans="1:18" ht="16.95" customHeight="1">
      <c r="A19" s="238">
        <v>210038</v>
      </c>
      <c r="B19" s="239" t="s">
        <v>76</v>
      </c>
      <c r="C19" s="205">
        <v>133787810.98689511</v>
      </c>
      <c r="D19" s="206">
        <v>0.1598610669861843</v>
      </c>
      <c r="E19" s="206">
        <v>0.14940844130943537</v>
      </c>
      <c r="F19" s="207">
        <f t="shared" si="0"/>
        <v>-6.5385686920582553E-2</v>
      </c>
      <c r="G19" s="208">
        <v>6.7799999999999999E-2</v>
      </c>
      <c r="H19" s="221">
        <f t="shared" si="1"/>
        <v>0</v>
      </c>
      <c r="I19" s="222">
        <f t="shared" si="2"/>
        <v>0</v>
      </c>
      <c r="J19" s="211">
        <f>(1+F19)*(1+'1.Readmission Scaling'!$B$5)-1</f>
        <v>-0.11930861236621049</v>
      </c>
      <c r="K19" s="212">
        <f t="shared" si="3"/>
        <v>0.14078826491268082</v>
      </c>
      <c r="L19" s="212">
        <v>-9.5000000000000001E-2</v>
      </c>
      <c r="M19" s="213">
        <f t="shared" si="5"/>
        <v>-2.4308612366210486E-2</v>
      </c>
      <c r="N19" s="214">
        <f t="shared" si="8"/>
        <v>2.7823808989519598E-3</v>
      </c>
      <c r="O19" s="210">
        <f t="shared" si="6"/>
        <v>372248.64980253211</v>
      </c>
      <c r="P19" s="215">
        <f t="shared" si="7"/>
        <v>-1.3374885166704677E-2</v>
      </c>
      <c r="Q19" s="216">
        <f t="shared" si="4"/>
        <v>2551708.4388003433</v>
      </c>
      <c r="R19" s="192"/>
    </row>
    <row r="20" spans="1:18" ht="16.95" customHeight="1">
      <c r="A20" s="238">
        <v>210044</v>
      </c>
      <c r="B20" s="239" t="s">
        <v>80</v>
      </c>
      <c r="C20" s="205">
        <v>201533345.32362995</v>
      </c>
      <c r="D20" s="206">
        <v>0.10631710746801867</v>
      </c>
      <c r="E20" s="206">
        <v>9.9371883592551918E-2</v>
      </c>
      <c r="F20" s="207">
        <f t="shared" si="0"/>
        <v>-6.5325553345739307E-2</v>
      </c>
      <c r="G20" s="208">
        <v>6.7799999999999999E-2</v>
      </c>
      <c r="H20" s="221">
        <f t="shared" si="1"/>
        <v>0</v>
      </c>
      <c r="I20" s="222">
        <f t="shared" si="2"/>
        <v>0</v>
      </c>
      <c r="J20" s="211">
        <f>(1+F20)*(1+'1.Readmission Scaling'!$B$5)-1</f>
        <v>-0.11925194822065766</v>
      </c>
      <c r="K20" s="212">
        <f t="shared" si="3"/>
        <v>9.3638585273272415E-2</v>
      </c>
      <c r="L20" s="212">
        <v>-9.5000000000000001E-2</v>
      </c>
      <c r="M20" s="213">
        <f t="shared" si="5"/>
        <v>-2.4251948220657654E-2</v>
      </c>
      <c r="N20" s="214">
        <f t="shared" si="8"/>
        <v>2.7758950809272016E-3</v>
      </c>
      <c r="O20" s="210">
        <f t="shared" si="6"/>
        <v>559435.42192666745</v>
      </c>
      <c r="P20" s="215">
        <f t="shared" si="7"/>
        <v>-8.8956656009608788E-3</v>
      </c>
      <c r="Q20" s="216">
        <f t="shared" si="4"/>
        <v>2555144.9916671044</v>
      </c>
      <c r="R20" s="192"/>
    </row>
    <row r="21" spans="1:18" ht="16.95" customHeight="1">
      <c r="A21" s="238">
        <v>210023</v>
      </c>
      <c r="B21" s="239" t="s">
        <v>65</v>
      </c>
      <c r="C21" s="205">
        <v>310117074.81392145</v>
      </c>
      <c r="D21" s="206">
        <v>0.12056198738675415</v>
      </c>
      <c r="E21" s="206">
        <v>0.11288393152399724</v>
      </c>
      <c r="F21" s="207">
        <f t="shared" si="0"/>
        <v>-6.3685544914967807E-2</v>
      </c>
      <c r="G21" s="208">
        <v>6.7799999999999999E-2</v>
      </c>
      <c r="H21" s="221">
        <f t="shared" si="1"/>
        <v>0</v>
      </c>
      <c r="I21" s="222">
        <f t="shared" si="2"/>
        <v>0</v>
      </c>
      <c r="J21" s="211">
        <f>(1+F21)*(1+'1.Readmission Scaling'!$B$5)-1</f>
        <v>-0.11770656069511432</v>
      </c>
      <c r="K21" s="212">
        <f t="shared" si="3"/>
        <v>0.10637105050089157</v>
      </c>
      <c r="L21" s="212">
        <v>-9.5000000000000001E-2</v>
      </c>
      <c r="M21" s="213">
        <f t="shared" si="5"/>
        <v>-2.2706560695114314E-2</v>
      </c>
      <c r="N21" s="214">
        <f t="shared" si="8"/>
        <v>2.5990089358946156E-3</v>
      </c>
      <c r="O21" s="210">
        <f t="shared" si="6"/>
        <v>805997.04861488088</v>
      </c>
      <c r="P21" s="215">
        <f t="shared" si="7"/>
        <v>-1.01052497975847E-2</v>
      </c>
      <c r="Q21" s="216">
        <f t="shared" si="4"/>
        <v>4400851.8359126849</v>
      </c>
      <c r="R21" s="192"/>
    </row>
    <row r="22" spans="1:18" ht="16.95" customHeight="1">
      <c r="A22" s="238">
        <v>210017</v>
      </c>
      <c r="B22" s="239" t="s">
        <v>61</v>
      </c>
      <c r="C22" s="205">
        <v>18724073.644907132</v>
      </c>
      <c r="D22" s="206">
        <v>7.0276028789724901E-2</v>
      </c>
      <c r="E22" s="206">
        <v>6.6001738298897883E-2</v>
      </c>
      <c r="F22" s="207">
        <f t="shared" si="0"/>
        <v>-6.0821457393619327E-2</v>
      </c>
      <c r="G22" s="208">
        <v>6.7799999999999999E-2</v>
      </c>
      <c r="H22" s="221">
        <f t="shared" si="1"/>
        <v>0</v>
      </c>
      <c r="I22" s="222">
        <f t="shared" si="2"/>
        <v>0</v>
      </c>
      <c r="J22" s="211">
        <f>(1+F22)*(1+'1.Readmission Scaling'!$B$5)-1</f>
        <v>-0.11500771778399932</v>
      </c>
      <c r="K22" s="212">
        <f t="shared" si="3"/>
        <v>6.2193743103696006E-2</v>
      </c>
      <c r="L22" s="212">
        <v>-9.5000000000000001E-2</v>
      </c>
      <c r="M22" s="213">
        <f t="shared" si="5"/>
        <v>-2.0007717783999318E-2</v>
      </c>
      <c r="N22" s="214">
        <f t="shared" si="8"/>
        <v>2.2900974747206231E-3</v>
      </c>
      <c r="O22" s="210">
        <f t="shared" si="6"/>
        <v>42879.953770684799</v>
      </c>
      <c r="P22" s="215">
        <f t="shared" si="7"/>
        <v>-5.9084055948511209E-3</v>
      </c>
      <c r="Q22" s="216">
        <f t="shared" si="4"/>
        <v>151333.31240438376</v>
      </c>
      <c r="R22" s="192"/>
    </row>
    <row r="23" spans="1:18" ht="16.95" customHeight="1">
      <c r="A23" s="238">
        <v>210029</v>
      </c>
      <c r="B23" s="239" t="s">
        <v>69</v>
      </c>
      <c r="C23" s="205">
        <v>356396901.46731883</v>
      </c>
      <c r="D23" s="206">
        <v>0.14570493370319576</v>
      </c>
      <c r="E23" s="206">
        <v>0.13760194176169083</v>
      </c>
      <c r="F23" s="207">
        <f t="shared" si="0"/>
        <v>-5.5612337451873217E-2</v>
      </c>
      <c r="G23" s="208">
        <v>6.7799999999999999E-2</v>
      </c>
      <c r="H23" s="221">
        <f t="shared" si="1"/>
        <v>0</v>
      </c>
      <c r="I23" s="222">
        <f t="shared" si="2"/>
        <v>0</v>
      </c>
      <c r="J23" s="211">
        <f>(1+F23)*(1+'1.Readmission Scaling'!$B$5)-1</f>
        <v>-0.11009913998281873</v>
      </c>
      <c r="K23" s="212">
        <f t="shared" si="3"/>
        <v>0.12966294581122029</v>
      </c>
      <c r="L23" s="212">
        <v>-9.5000000000000001E-2</v>
      </c>
      <c r="M23" s="213">
        <f t="shared" si="5"/>
        <v>-1.5099139982818727E-2</v>
      </c>
      <c r="N23" s="214">
        <f t="shared" si="8"/>
        <v>1.7282582010807682E-3</v>
      </c>
      <c r="O23" s="210">
        <f t="shared" si="6"/>
        <v>615945.86780066823</v>
      </c>
      <c r="P23" s="215">
        <f t="shared" si="7"/>
        <v>-1.2317979852065928E-2</v>
      </c>
      <c r="Q23" s="216">
        <f t="shared" si="4"/>
        <v>5717314.7780763041</v>
      </c>
      <c r="R23" s="192"/>
    </row>
    <row r="24" spans="1:18" ht="16.95" customHeight="1">
      <c r="A24" s="238">
        <v>210056</v>
      </c>
      <c r="B24" s="239" t="s">
        <v>86</v>
      </c>
      <c r="C24" s="205">
        <v>180861011.49427712</v>
      </c>
      <c r="D24" s="206">
        <v>0.13625736510060871</v>
      </c>
      <c r="E24" s="206">
        <v>0.12928946027669042</v>
      </c>
      <c r="F24" s="207">
        <f t="shared" si="0"/>
        <v>-5.1137821568569053E-2</v>
      </c>
      <c r="G24" s="208">
        <v>6.7799999999999999E-2</v>
      </c>
      <c r="H24" s="221">
        <f t="shared" si="1"/>
        <v>0</v>
      </c>
      <c r="I24" s="222">
        <f t="shared" si="2"/>
        <v>0</v>
      </c>
      <c r="J24" s="211">
        <f>(1+F24)*(1+'1.Readmission Scaling'!$B$5)-1</f>
        <v>-0.10588278298174447</v>
      </c>
      <c r="K24" s="212">
        <f t="shared" si="3"/>
        <v>0.12183005608199664</v>
      </c>
      <c r="L24" s="212">
        <v>-9.5000000000000001E-2</v>
      </c>
      <c r="M24" s="213">
        <f t="shared" si="5"/>
        <v>-1.0882782981744471E-2</v>
      </c>
      <c r="N24" s="214">
        <f t="shared" si="8"/>
        <v>1.2456510079503845E-3</v>
      </c>
      <c r="O24" s="210">
        <f t="shared" si="6"/>
        <v>225289.70126677238</v>
      </c>
      <c r="P24" s="215">
        <f t="shared" si="7"/>
        <v>-1.157385532778968E-2</v>
      </c>
      <c r="Q24" s="216">
        <f t="shared" si="4"/>
        <v>2609337.7022466864</v>
      </c>
      <c r="R24" s="192"/>
    </row>
    <row r="25" spans="1:18" ht="16.95" customHeight="1">
      <c r="A25" s="238">
        <v>210034</v>
      </c>
      <c r="B25" s="239" t="s">
        <v>73</v>
      </c>
      <c r="C25" s="205">
        <v>124002219.66514386</v>
      </c>
      <c r="D25" s="206">
        <v>0.12882420386827353</v>
      </c>
      <c r="E25" s="206">
        <v>0.12255091158631787</v>
      </c>
      <c r="F25" s="207">
        <f t="shared" si="0"/>
        <v>-4.8696534452254747E-2</v>
      </c>
      <c r="G25" s="208">
        <v>6.7799999999999999E-2</v>
      </c>
      <c r="H25" s="221">
        <f t="shared" si="1"/>
        <v>0</v>
      </c>
      <c r="I25" s="222">
        <f t="shared" si="2"/>
        <v>0</v>
      </c>
      <c r="J25" s="211">
        <f>(1+F25)*(1+'1.Readmission Scaling'!$B$5)-1</f>
        <v>-0.10358234684676249</v>
      </c>
      <c r="K25" s="212">
        <f t="shared" si="3"/>
        <v>0.11548029050093199</v>
      </c>
      <c r="L25" s="212">
        <v>-9.5000000000000001E-2</v>
      </c>
      <c r="M25" s="213">
        <f t="shared" si="5"/>
        <v>-8.5823468467624842E-3</v>
      </c>
      <c r="N25" s="214">
        <f t="shared" si="8"/>
        <v>9.823414670845367E-4</v>
      </c>
      <c r="O25" s="210">
        <f t="shared" si="6"/>
        <v>121812.52238759641</v>
      </c>
      <c r="P25" s="215">
        <f t="shared" si="7"/>
        <v>-1.097062759758854E-2</v>
      </c>
      <c r="Q25" s="216">
        <f t="shared" si="4"/>
        <v>1654674.8765697365</v>
      </c>
      <c r="R25" s="192"/>
    </row>
    <row r="26" spans="1:18" ht="16.95" customHeight="1">
      <c r="A26" s="238">
        <v>210048</v>
      </c>
      <c r="B26" s="239" t="s">
        <v>82</v>
      </c>
      <c r="C26" s="205">
        <v>167386496.75761572</v>
      </c>
      <c r="D26" s="206">
        <v>0.11768552124666201</v>
      </c>
      <c r="E26" s="206">
        <v>0.11197129440891936</v>
      </c>
      <c r="F26" s="207">
        <f t="shared" si="0"/>
        <v>-4.8555053988043051E-2</v>
      </c>
      <c r="G26" s="208">
        <v>6.7799999999999999E-2</v>
      </c>
      <c r="H26" s="221">
        <f t="shared" si="1"/>
        <v>0</v>
      </c>
      <c r="I26" s="222">
        <f t="shared" si="2"/>
        <v>0</v>
      </c>
      <c r="J26" s="211">
        <f>(1+F26)*(1+'1.Readmission Scaling'!$B$5)-1</f>
        <v>-0.10344902915131737</v>
      </c>
      <c r="K26" s="212">
        <f t="shared" si="3"/>
        <v>0.10551106832852809</v>
      </c>
      <c r="L26" s="212">
        <v>-9.5000000000000001E-2</v>
      </c>
      <c r="M26" s="213">
        <f t="shared" si="5"/>
        <v>-8.4490291513173721E-3</v>
      </c>
      <c r="N26" s="214">
        <f t="shared" si="8"/>
        <v>9.6708182973006596E-4</v>
      </c>
      <c r="O26" s="210">
        <f t="shared" si="6"/>
        <v>161876.43955646077</v>
      </c>
      <c r="P26" s="215">
        <f t="shared" si="7"/>
        <v>-1.0023551491210168E-2</v>
      </c>
      <c r="Q26" s="216">
        <f t="shared" si="4"/>
        <v>2037839.0239069683</v>
      </c>
      <c r="R26" s="192"/>
    </row>
    <row r="27" spans="1:18" ht="16.95" customHeight="1">
      <c r="A27" s="238">
        <v>210062</v>
      </c>
      <c r="B27" s="239" t="s">
        <v>91</v>
      </c>
      <c r="C27" s="205">
        <v>163208213.46317798</v>
      </c>
      <c r="D27" s="206">
        <v>0.11346896285715335</v>
      </c>
      <c r="E27" s="206">
        <v>0.10946875463531057</v>
      </c>
      <c r="F27" s="207">
        <f t="shared" si="0"/>
        <v>-3.5253765621165223E-2</v>
      </c>
      <c r="G27" s="208">
        <v>6.7799999999999999E-2</v>
      </c>
      <c r="H27" s="221">
        <f t="shared" si="1"/>
        <v>0</v>
      </c>
      <c r="I27" s="222">
        <f t="shared" si="2"/>
        <v>0</v>
      </c>
      <c r="J27" s="211">
        <f>(1+F27)*(1+'1.Readmission Scaling'!$B$5)-1</f>
        <v>-9.0915163635663321E-2</v>
      </c>
      <c r="K27" s="212">
        <f t="shared" si="3"/>
        <v>0.10315291353142625</v>
      </c>
      <c r="L27" s="212">
        <v>-9.5000000000000001E-2</v>
      </c>
      <c r="M27" s="213">
        <f t="shared" si="5"/>
        <v>4.0848363643366803E-3</v>
      </c>
      <c r="N27" s="223">
        <f t="shared" si="8"/>
        <v>-4.6755324838176058E-4</v>
      </c>
      <c r="O27" s="222">
        <f t="shared" si="6"/>
        <v>-76308.530367292653</v>
      </c>
      <c r="P27" s="215">
        <f t="shared" si="7"/>
        <v>-9.7995267854854937E-3</v>
      </c>
      <c r="Q27" s="216">
        <f t="shared" si="4"/>
        <v>1683663.9804499419</v>
      </c>
      <c r="R27" s="192"/>
    </row>
    <row r="28" spans="1:18" ht="16.95" customHeight="1">
      <c r="A28" s="238">
        <v>210027</v>
      </c>
      <c r="B28" s="239" t="s">
        <v>67</v>
      </c>
      <c r="C28" s="205">
        <v>184484265.97300443</v>
      </c>
      <c r="D28" s="206">
        <v>0.11912016709476771</v>
      </c>
      <c r="E28" s="206">
        <v>0.1155094117622202</v>
      </c>
      <c r="F28" s="207">
        <f t="shared" si="0"/>
        <v>-3.0311872629215864E-2</v>
      </c>
      <c r="G28" s="208">
        <v>6.7799999999999999E-2</v>
      </c>
      <c r="H28" s="221">
        <f t="shared" si="1"/>
        <v>0</v>
      </c>
      <c r="I28" s="222">
        <f t="shared" si="2"/>
        <v>0</v>
      </c>
      <c r="J28" s="211">
        <f>(1+F28)*(1+'1.Readmission Scaling'!$B$5)-1</f>
        <v>-8.6258395024579881E-2</v>
      </c>
      <c r="K28" s="212">
        <f t="shared" si="3"/>
        <v>0.10884505266611327</v>
      </c>
      <c r="L28" s="212">
        <v>-9.5000000000000001E-2</v>
      </c>
      <c r="M28" s="213">
        <f t="shared" si="5"/>
        <v>8.7416049754201197E-3</v>
      </c>
      <c r="N28" s="223">
        <f t="shared" si="8"/>
        <v>-1.0005702647017871E-3</v>
      </c>
      <c r="O28" s="222">
        <f t="shared" si="6"/>
        <v>-184589.47083792393</v>
      </c>
      <c r="P28" s="215">
        <f t="shared" si="7"/>
        <v>-1.0340280003280761E-2</v>
      </c>
      <c r="Q28" s="216">
        <f t="shared" si="4"/>
        <v>1895596.9431589402</v>
      </c>
      <c r="R28" s="192"/>
    </row>
    <row r="29" spans="1:18" ht="16.95" customHeight="1">
      <c r="A29" s="238">
        <v>210043</v>
      </c>
      <c r="B29" s="239" t="s">
        <v>79</v>
      </c>
      <c r="C29" s="205">
        <v>223155125.99975017</v>
      </c>
      <c r="D29" s="206">
        <v>0.13660722701340045</v>
      </c>
      <c r="E29" s="206">
        <v>0.13250181047465182</v>
      </c>
      <c r="F29" s="207">
        <f t="shared" si="0"/>
        <v>-3.0052703861311203E-2</v>
      </c>
      <c r="G29" s="208">
        <v>6.7799999999999999E-2</v>
      </c>
      <c r="H29" s="221">
        <f t="shared" si="1"/>
        <v>0</v>
      </c>
      <c r="I29" s="222">
        <f t="shared" si="2"/>
        <v>0</v>
      </c>
      <c r="J29" s="211">
        <f>(1+F29)*(1+'1.Readmission Scaling'!$B$5)-1</f>
        <v>-8.6014179096530086E-2</v>
      </c>
      <c r="K29" s="212">
        <f t="shared" si="3"/>
        <v>0.12485706852318948</v>
      </c>
      <c r="L29" s="212">
        <v>-9.5000000000000001E-2</v>
      </c>
      <c r="M29" s="213">
        <f t="shared" si="5"/>
        <v>8.9858209034699155E-3</v>
      </c>
      <c r="N29" s="223">
        <f t="shared" si="8"/>
        <v>-1.0285233918975664E-3</v>
      </c>
      <c r="O29" s="222">
        <f t="shared" si="6"/>
        <v>-229520.26711259186</v>
      </c>
      <c r="P29" s="215">
        <f t="shared" si="7"/>
        <v>-1.1861421509703001E-2</v>
      </c>
      <c r="Q29" s="216">
        <f t="shared" si="4"/>
        <v>2622108.0984000629</v>
      </c>
      <c r="R29" s="192"/>
    </row>
    <row r="30" spans="1:18" ht="16.95" customHeight="1">
      <c r="A30" s="238">
        <v>210057</v>
      </c>
      <c r="B30" s="239" t="s">
        <v>87</v>
      </c>
      <c r="C30" s="205">
        <v>228731774.96088892</v>
      </c>
      <c r="D30" s="206">
        <v>0.10788397075493086</v>
      </c>
      <c r="E30" s="206">
        <v>0.10475426389777051</v>
      </c>
      <c r="F30" s="207">
        <f t="shared" si="0"/>
        <v>-2.9009933869321491E-2</v>
      </c>
      <c r="G30" s="208">
        <v>6.7799999999999999E-2</v>
      </c>
      <c r="H30" s="221">
        <f t="shared" si="1"/>
        <v>0</v>
      </c>
      <c r="I30" s="222">
        <f t="shared" si="2"/>
        <v>0</v>
      </c>
      <c r="J30" s="211">
        <f>(1+F30)*(1+'1.Readmission Scaling'!$B$5)-1</f>
        <v>-8.5031572112690523E-2</v>
      </c>
      <c r="K30" s="212">
        <f t="shared" si="3"/>
        <v>9.8710427115879559E-2</v>
      </c>
      <c r="L30" s="212">
        <v>-9.5000000000000001E-2</v>
      </c>
      <c r="M30" s="213">
        <f t="shared" si="5"/>
        <v>9.9684278873094778E-3</v>
      </c>
      <c r="N30" s="223">
        <f t="shared" si="8"/>
        <v>-1.1409932795992724E-3</v>
      </c>
      <c r="O30" s="222">
        <f t="shared" si="6"/>
        <v>-260981.4180611874</v>
      </c>
      <c r="P30" s="215">
        <f t="shared" si="7"/>
        <v>-9.377490576008559E-3</v>
      </c>
      <c r="Q30" s="216">
        <f t="shared" si="4"/>
        <v>2098280.9192413758</v>
      </c>
      <c r="R30" s="192"/>
    </row>
    <row r="31" spans="1:18" ht="16.95" customHeight="1">
      <c r="A31" s="238">
        <v>210058</v>
      </c>
      <c r="B31" s="239" t="s">
        <v>88</v>
      </c>
      <c r="C31" s="205">
        <v>69104845.787293941</v>
      </c>
      <c r="D31" s="206">
        <v>0.11639482565019409</v>
      </c>
      <c r="E31" s="206">
        <v>0.11350576258782066</v>
      </c>
      <c r="F31" s="207">
        <f t="shared" si="0"/>
        <v>-2.4821232784488556E-2</v>
      </c>
      <c r="G31" s="208">
        <v>6.7799999999999999E-2</v>
      </c>
      <c r="H31" s="221">
        <f t="shared" si="1"/>
        <v>0</v>
      </c>
      <c r="I31" s="222">
        <f t="shared" si="2"/>
        <v>0</v>
      </c>
      <c r="J31" s="211">
        <f>(1+F31)*(1+'1.Readmission Scaling'!$B$5)-1</f>
        <v>-8.1084539717444892E-2</v>
      </c>
      <c r="K31" s="212">
        <f t="shared" si="3"/>
        <v>0.10695700478685585</v>
      </c>
      <c r="L31" s="212">
        <v>-9.5000000000000001E-2</v>
      </c>
      <c r="M31" s="213">
        <f t="shared" si="5"/>
        <v>1.3915460282555109E-2</v>
      </c>
      <c r="N31" s="223">
        <f t="shared" si="8"/>
        <v>-1.5927733885840814E-3</v>
      </c>
      <c r="O31" s="222">
        <f t="shared" si="6"/>
        <v>-110068.35939220856</v>
      </c>
      <c r="P31" s="215">
        <f t="shared" si="7"/>
        <v>-1.0160915454751306E-2</v>
      </c>
      <c r="Q31" s="216">
        <f t="shared" si="4"/>
        <v>652199.15532909415</v>
      </c>
      <c r="R31" s="192"/>
    </row>
    <row r="32" spans="1:18" ht="16.95" customHeight="1">
      <c r="A32" s="238">
        <v>210022</v>
      </c>
      <c r="B32" s="239" t="s">
        <v>64</v>
      </c>
      <c r="C32" s="205">
        <v>181410188.33315492</v>
      </c>
      <c r="D32" s="206">
        <v>0.10886387820413457</v>
      </c>
      <c r="E32" s="206">
        <v>0.10630209612583978</v>
      </c>
      <c r="F32" s="207">
        <f t="shared" si="0"/>
        <v>-2.3531975165271057E-2</v>
      </c>
      <c r="G32" s="208">
        <v>6.7799999999999999E-2</v>
      </c>
      <c r="H32" s="221">
        <f t="shared" si="1"/>
        <v>0</v>
      </c>
      <c r="I32" s="222">
        <f t="shared" si="2"/>
        <v>0</v>
      </c>
      <c r="J32" s="211">
        <f>(1+F32)*(1+'1.Readmission Scaling'!$B$5)-1</f>
        <v>-7.9869666303036158E-2</v>
      </c>
      <c r="K32" s="212">
        <f t="shared" si="3"/>
        <v>0.10016895657951597</v>
      </c>
      <c r="L32" s="212">
        <v>-9.5000000000000001E-2</v>
      </c>
      <c r="M32" s="213">
        <f t="shared" si="5"/>
        <v>1.5130333696963844E-2</v>
      </c>
      <c r="N32" s="223">
        <f t="shared" si="8"/>
        <v>-1.7318286555804822E-3</v>
      </c>
      <c r="O32" s="222">
        <f t="shared" si="6"/>
        <v>-314171.36256960977</v>
      </c>
      <c r="P32" s="215">
        <f t="shared" si="7"/>
        <v>-9.5160508750540169E-3</v>
      </c>
      <c r="Q32" s="216">
        <f t="shared" si="4"/>
        <v>1577347.3694640815</v>
      </c>
      <c r="R32" s="192"/>
    </row>
    <row r="33" spans="1:18" ht="16.95" customHeight="1">
      <c r="A33" s="238">
        <v>210061</v>
      </c>
      <c r="B33" s="239" t="s">
        <v>90</v>
      </c>
      <c r="C33" s="205">
        <v>38640762.060988352</v>
      </c>
      <c r="D33" s="206">
        <v>0.11418617123390506</v>
      </c>
      <c r="E33" s="206">
        <v>0.1115268099000344</v>
      </c>
      <c r="F33" s="207">
        <f t="shared" si="0"/>
        <v>-2.3289697037157775E-2</v>
      </c>
      <c r="G33" s="208">
        <v>6.7799999999999999E-2</v>
      </c>
      <c r="H33" s="221">
        <f t="shared" si="1"/>
        <v>0</v>
      </c>
      <c r="I33" s="222">
        <f t="shared" si="2"/>
        <v>0</v>
      </c>
      <c r="J33" s="211">
        <f>(1+F33)*(1+'1.Readmission Scaling'!$B$5)-1</f>
        <v>-7.9641366502941735E-2</v>
      </c>
      <c r="K33" s="212">
        <f t="shared" si="3"/>
        <v>0.10509222852109797</v>
      </c>
      <c r="L33" s="212">
        <v>-9.5000000000000001E-2</v>
      </c>
      <c r="M33" s="213">
        <f t="shared" si="5"/>
        <v>1.5358633497058266E-2</v>
      </c>
      <c r="N33" s="223">
        <f t="shared" si="8"/>
        <v>-1.7579600115562037E-3</v>
      </c>
      <c r="O33" s="222">
        <f t="shared" si="6"/>
        <v>-67928.914519275597</v>
      </c>
      <c r="P33" s="215">
        <f t="shared" si="7"/>
        <v>-9.9837617095043067E-3</v>
      </c>
      <c r="Q33" s="216">
        <f t="shared" si="4"/>
        <v>351396.87656183791</v>
      </c>
      <c r="R33" s="192"/>
    </row>
    <row r="34" spans="1:18" ht="16.95" customHeight="1">
      <c r="A34" s="238">
        <v>210002</v>
      </c>
      <c r="B34" s="239" t="s">
        <v>48</v>
      </c>
      <c r="C34" s="205">
        <v>863843448.60398436</v>
      </c>
      <c r="D34" s="206">
        <v>0.13797023850021209</v>
      </c>
      <c r="E34" s="206">
        <v>0.13529378652493926</v>
      </c>
      <c r="F34" s="207">
        <f t="shared" si="0"/>
        <v>-1.9398763127228436E-2</v>
      </c>
      <c r="G34" s="208">
        <v>6.7799999999999999E-2</v>
      </c>
      <c r="H34" s="221">
        <f t="shared" si="1"/>
        <v>0</v>
      </c>
      <c r="I34" s="222">
        <f t="shared" si="2"/>
        <v>0</v>
      </c>
      <c r="J34" s="211">
        <f>(1+F34)*(1+'1.Readmission Scaling'!$B$5)-1</f>
        <v>-7.5974921493088932E-2</v>
      </c>
      <c r="K34" s="212">
        <f t="shared" si="3"/>
        <v>0.12748796046177571</v>
      </c>
      <c r="L34" s="212">
        <v>-9.5000000000000001E-2</v>
      </c>
      <c r="M34" s="213">
        <f t="shared" si="5"/>
        <v>1.9025078506911069E-2</v>
      </c>
      <c r="N34" s="223">
        <f t="shared" si="8"/>
        <v>-2.1776238907109187E-3</v>
      </c>
      <c r="O34" s="222">
        <f t="shared" si="6"/>
        <v>-1881126.131514146</v>
      </c>
      <c r="P34" s="215">
        <f t="shared" si="7"/>
        <v>-1.2111356243868693E-2</v>
      </c>
      <c r="Q34" s="216">
        <f t="shared" si="4"/>
        <v>9055047.2099486813</v>
      </c>
      <c r="R34" s="192"/>
    </row>
    <row r="35" spans="1:18" ht="16.95" customHeight="1">
      <c r="A35" s="238">
        <v>210015</v>
      </c>
      <c r="B35" s="239" t="s">
        <v>59</v>
      </c>
      <c r="C35" s="205">
        <v>285691170.35922825</v>
      </c>
      <c r="D35" s="206">
        <v>0.12655916035497103</v>
      </c>
      <c r="E35" s="206">
        <v>0.12417660565848669</v>
      </c>
      <c r="F35" s="207">
        <f t="shared" si="0"/>
        <v>-1.8825620285420563E-2</v>
      </c>
      <c r="G35" s="208">
        <v>6.7799999999999999E-2</v>
      </c>
      <c r="H35" s="221">
        <f t="shared" si="1"/>
        <v>0</v>
      </c>
      <c r="I35" s="222">
        <f t="shared" si="2"/>
        <v>0</v>
      </c>
      <c r="J35" s="211">
        <f>(1+F35)*(1+'1.Readmission Scaling'!$B$5)-1</f>
        <v>-7.5434846343799711E-2</v>
      </c>
      <c r="K35" s="212">
        <f t="shared" si="3"/>
        <v>0.11701218954019348</v>
      </c>
      <c r="L35" s="212">
        <v>-9.5000000000000001E-2</v>
      </c>
      <c r="M35" s="213">
        <f t="shared" si="5"/>
        <v>1.956515365620029E-2</v>
      </c>
      <c r="N35" s="223">
        <f t="shared" si="8"/>
        <v>-2.2394412728281203E-3</v>
      </c>
      <c r="O35" s="222">
        <f t="shared" si="6"/>
        <v>-639788.5981850255</v>
      </c>
      <c r="P35" s="215">
        <f t="shared" si="7"/>
        <v>-1.1116158006318381E-2</v>
      </c>
      <c r="Q35" s="216">
        <f t="shared" si="4"/>
        <v>2727485.2654591925</v>
      </c>
      <c r="R35" s="192"/>
    </row>
    <row r="36" spans="1:18" ht="16.95" customHeight="1">
      <c r="A36" s="238">
        <v>210033</v>
      </c>
      <c r="B36" s="239" t="s">
        <v>72</v>
      </c>
      <c r="C36" s="205">
        <v>138209278.26224214</v>
      </c>
      <c r="D36" s="206">
        <v>0.11767869327876293</v>
      </c>
      <c r="E36" s="206">
        <v>0.1159571037468126</v>
      </c>
      <c r="F36" s="207">
        <f t="shared" si="0"/>
        <v>-1.4629577232576407E-2</v>
      </c>
      <c r="G36" s="208">
        <v>6.7799999999999999E-2</v>
      </c>
      <c r="H36" s="221">
        <f t="shared" si="1"/>
        <v>0</v>
      </c>
      <c r="I36" s="222">
        <f t="shared" si="2"/>
        <v>0</v>
      </c>
      <c r="J36" s="211">
        <f>(1+F36)*(1+'1.Readmission Scaling'!$B$5)-1</f>
        <v>-7.1480895578157622E-2</v>
      </c>
      <c r="K36" s="212">
        <f t="shared" si="3"/>
        <v>0.10926691489272963</v>
      </c>
      <c r="L36" s="212">
        <v>-9.5000000000000001E-2</v>
      </c>
      <c r="M36" s="213">
        <f t="shared" si="5"/>
        <v>2.3519104421842379E-2</v>
      </c>
      <c r="N36" s="223">
        <f t="shared" si="8"/>
        <v>-2.6920132633630966E-3</v>
      </c>
      <c r="O36" s="222">
        <f t="shared" si="6"/>
        <v>-372061.21020179673</v>
      </c>
      <c r="P36" s="215">
        <f t="shared" si="7"/>
        <v>-1.0380356914809315E-2</v>
      </c>
      <c r="Q36" s="216">
        <f t="shared" si="4"/>
        <v>1162585.8196355894</v>
      </c>
      <c r="R36" s="192"/>
    </row>
    <row r="37" spans="1:18" ht="16.95" customHeight="1">
      <c r="A37" s="238">
        <v>210060</v>
      </c>
      <c r="B37" s="239" t="s">
        <v>89</v>
      </c>
      <c r="C37" s="205">
        <v>17776133.449990414</v>
      </c>
      <c r="D37" s="206">
        <v>0.12409763169784226</v>
      </c>
      <c r="E37" s="206">
        <v>0.12268920887542388</v>
      </c>
      <c r="F37" s="207">
        <f t="shared" si="0"/>
        <v>-1.1349312659307276E-2</v>
      </c>
      <c r="G37" s="208">
        <v>6.7799999999999999E-2</v>
      </c>
      <c r="H37" s="221">
        <f t="shared" si="1"/>
        <v>0</v>
      </c>
      <c r="I37" s="222">
        <f t="shared" si="2"/>
        <v>0</v>
      </c>
      <c r="J37" s="211">
        <f>(1+F37)*(1+'1.Readmission Scaling'!$B$5)-1</f>
        <v>-6.8389887107166203E-2</v>
      </c>
      <c r="K37" s="212">
        <f t="shared" si="3"/>
        <v>0.11561060867576013</v>
      </c>
      <c r="L37" s="212">
        <v>-9.5000000000000001E-2</v>
      </c>
      <c r="M37" s="213">
        <f t="shared" si="5"/>
        <v>2.6610112892833798E-2</v>
      </c>
      <c r="N37" s="223">
        <f t="shared" si="8"/>
        <v>-3.0458122708350299E-3</v>
      </c>
      <c r="O37" s="222">
        <f t="shared" si="6"/>
        <v>-54142.76538998184</v>
      </c>
      <c r="P37" s="215">
        <f t="shared" si="7"/>
        <v>-1.0983007824197213E-2</v>
      </c>
      <c r="Q37" s="216">
        <f t="shared" si="4"/>
        <v>150866.45383367274</v>
      </c>
      <c r="R37" s="192"/>
    </row>
    <row r="38" spans="1:18" ht="16.95" customHeight="1">
      <c r="A38" s="238">
        <v>210009</v>
      </c>
      <c r="B38" s="239" t="s">
        <v>54</v>
      </c>
      <c r="C38" s="205">
        <v>1292515919.3162181</v>
      </c>
      <c r="D38" s="206">
        <v>0.13953507161884771</v>
      </c>
      <c r="E38" s="206">
        <v>0.13889373137650815</v>
      </c>
      <c r="F38" s="224">
        <f t="shared" si="0"/>
        <v>-4.596265547427647E-3</v>
      </c>
      <c r="G38" s="208">
        <v>6.7799999999999999E-2</v>
      </c>
      <c r="H38" s="221">
        <f t="shared" si="1"/>
        <v>0</v>
      </c>
      <c r="I38" s="225">
        <f t="shared" si="2"/>
        <v>0</v>
      </c>
      <c r="J38" s="211">
        <f>(1+F38)*(1+'1.Readmission Scaling'!$B$5)-1</f>
        <v>-6.2026459596493888E-2</v>
      </c>
      <c r="K38" s="212">
        <f t="shared" si="3"/>
        <v>0.13088020513678736</v>
      </c>
      <c r="L38" s="212">
        <v>-9.5000000000000001E-2</v>
      </c>
      <c r="M38" s="213">
        <f t="shared" si="5"/>
        <v>3.2973540403506113E-2</v>
      </c>
      <c r="N38" s="223">
        <f t="shared" si="8"/>
        <v>-3.7741746672904967E-3</v>
      </c>
      <c r="O38" s="222">
        <f t="shared" si="6"/>
        <v>-4878180.8397529582</v>
      </c>
      <c r="P38" s="215">
        <f t="shared" si="7"/>
        <v>-1.2433619487994799E-2</v>
      </c>
      <c r="Q38" s="216">
        <f t="shared" si="4"/>
        <v>11186552.707619341</v>
      </c>
      <c r="R38" s="192"/>
    </row>
    <row r="39" spans="1:18" ht="16.95" customHeight="1">
      <c r="A39" s="238">
        <v>210032</v>
      </c>
      <c r="B39" s="239" t="s">
        <v>71</v>
      </c>
      <c r="C39" s="205">
        <v>67852188.547545061</v>
      </c>
      <c r="D39" s="206">
        <v>9.9660736653067183E-2</v>
      </c>
      <c r="E39" s="206">
        <v>9.9517576987621301E-2</v>
      </c>
      <c r="F39" s="207">
        <f t="shared" si="0"/>
        <v>-1.4364700708990874E-3</v>
      </c>
      <c r="G39" s="208">
        <v>6.7799999999999999E-2</v>
      </c>
      <c r="H39" s="221">
        <f t="shared" si="1"/>
        <v>0</v>
      </c>
      <c r="I39" s="222">
        <f t="shared" si="2"/>
        <v>0</v>
      </c>
      <c r="J39" s="211">
        <f>(1+F39)*(1+'1.Readmission Scaling'!$B$5)-1</f>
        <v>-5.904896971225071E-2</v>
      </c>
      <c r="K39" s="212">
        <f t="shared" si="3"/>
        <v>9.377587283293963E-2</v>
      </c>
      <c r="L39" s="212">
        <v>-9.5000000000000001E-2</v>
      </c>
      <c r="M39" s="213">
        <f t="shared" si="5"/>
        <v>3.5951030287749292E-2</v>
      </c>
      <c r="N39" s="223">
        <f t="shared" si="8"/>
        <v>-4.1149802573395835E-3</v>
      </c>
      <c r="O39" s="222">
        <f t="shared" si="6"/>
        <v>-279210.41629043093</v>
      </c>
      <c r="P39" s="215">
        <f t="shared" si="7"/>
        <v>-8.9087079191292641E-3</v>
      </c>
      <c r="Q39" s="216">
        <f t="shared" si="4"/>
        <v>399300.88949992141</v>
      </c>
      <c r="R39" s="192"/>
    </row>
    <row r="40" spans="1:18" ht="16.95" customHeight="1">
      <c r="A40" s="238">
        <v>210006</v>
      </c>
      <c r="B40" s="239" t="s">
        <v>52</v>
      </c>
      <c r="C40" s="205">
        <v>47089618.293410309</v>
      </c>
      <c r="D40" s="206">
        <v>0.10986496198823499</v>
      </c>
      <c r="E40" s="206">
        <v>0.1097601783805512</v>
      </c>
      <c r="F40" s="207">
        <f t="shared" si="0"/>
        <v>-9.537490914984792E-4</v>
      </c>
      <c r="G40" s="208">
        <v>6.7799999999999999E-2</v>
      </c>
      <c r="H40" s="221">
        <f t="shared" si="1"/>
        <v>0</v>
      </c>
      <c r="I40" s="222">
        <f t="shared" si="2"/>
        <v>0</v>
      </c>
      <c r="J40" s="211">
        <f>(1+F40)*(1+'1.Readmission Scaling'!$B$5)-1</f>
        <v>-5.8594099501898866E-2</v>
      </c>
      <c r="K40" s="212">
        <f t="shared" si="3"/>
        <v>0.10342752347372401</v>
      </c>
      <c r="L40" s="212">
        <v>-9.5000000000000001E-2</v>
      </c>
      <c r="M40" s="213">
        <f t="shared" si="5"/>
        <v>3.6405900498101135E-2</v>
      </c>
      <c r="N40" s="223">
        <f t="shared" si="8"/>
        <v>-4.1670450221117789E-3</v>
      </c>
      <c r="O40" s="222">
        <f t="shared" si="6"/>
        <v>-196224.55950269918</v>
      </c>
      <c r="P40" s="215">
        <f t="shared" si="7"/>
        <v>-9.8256147300037813E-3</v>
      </c>
      <c r="Q40" s="216">
        <f t="shared" si="4"/>
        <v>303136.52243562019</v>
      </c>
      <c r="R40" s="192"/>
    </row>
    <row r="41" spans="1:18" ht="16.95" customHeight="1">
      <c r="A41" s="238">
        <v>210049</v>
      </c>
      <c r="B41" s="239" t="s">
        <v>83</v>
      </c>
      <c r="C41" s="205">
        <v>148917095.66517001</v>
      </c>
      <c r="D41" s="206">
        <v>0.11266571958248445</v>
      </c>
      <c r="E41" s="206">
        <v>0.11341074467542997</v>
      </c>
      <c r="F41" s="207">
        <f t="shared" si="0"/>
        <v>6.6127043408272801E-3</v>
      </c>
      <c r="G41" s="208">
        <v>6.7799999999999999E-2</v>
      </c>
      <c r="H41" s="221">
        <f t="shared" si="1"/>
        <v>0</v>
      </c>
      <c r="I41" s="222">
        <f t="shared" si="2"/>
        <v>0</v>
      </c>
      <c r="J41" s="211">
        <f>(1+F41)*(1+'1.Readmission Scaling'!$B$5)-1</f>
        <v>-5.146419545535641E-2</v>
      </c>
      <c r="K41" s="212">
        <f t="shared" si="3"/>
        <v>0.1068674689687731</v>
      </c>
      <c r="L41" s="212">
        <v>-9.5000000000000001E-2</v>
      </c>
      <c r="M41" s="213">
        <f t="shared" si="5"/>
        <v>4.3535804544643592E-2</v>
      </c>
      <c r="N41" s="223">
        <f t="shared" si="8"/>
        <v>-4.9831388629118173E-3</v>
      </c>
      <c r="O41" s="222">
        <f t="shared" si="6"/>
        <v>-742074.56676106562</v>
      </c>
      <c r="P41" s="215">
        <f t="shared" si="7"/>
        <v>-1.0152409552033444E-2</v>
      </c>
      <c r="Q41" s="216">
        <f t="shared" si="4"/>
        <v>863458.64133268467</v>
      </c>
      <c r="R41" s="192"/>
    </row>
    <row r="42" spans="1:18" ht="16.95" customHeight="1">
      <c r="A42" s="238">
        <v>210010</v>
      </c>
      <c r="B42" s="239" t="s">
        <v>55</v>
      </c>
      <c r="C42" s="205">
        <v>25127934.983499374</v>
      </c>
      <c r="D42" s="206">
        <v>0.1086239897941236</v>
      </c>
      <c r="E42" s="206">
        <v>0.10960701401548696</v>
      </c>
      <c r="F42" s="207">
        <f t="shared" si="0"/>
        <v>9.0497893073757663E-3</v>
      </c>
      <c r="G42" s="208">
        <v>6.7799999999999999E-2</v>
      </c>
      <c r="H42" s="221">
        <f t="shared" si="1"/>
        <v>0</v>
      </c>
      <c r="I42" s="222">
        <f t="shared" si="2"/>
        <v>0</v>
      </c>
      <c r="J42" s="211">
        <f>(1+F42)*(1+'1.Readmission Scaling'!$B$5)-1</f>
        <v>-4.9167719025523859E-2</v>
      </c>
      <c r="K42" s="212">
        <f t="shared" si="3"/>
        <v>0.10328319598449476</v>
      </c>
      <c r="L42" s="212">
        <v>-9.5000000000000001E-2</v>
      </c>
      <c r="M42" s="213">
        <f t="shared" si="5"/>
        <v>4.5832280974476142E-2</v>
      </c>
      <c r="N42" s="223">
        <f t="shared" si="8"/>
        <v>-5.2459951731363063E-3</v>
      </c>
      <c r="O42" s="222">
        <f t="shared" si="6"/>
        <v>-131821.02563432066</v>
      </c>
      <c r="P42" s="215">
        <f t="shared" si="7"/>
        <v>-9.8119036185270025E-3</v>
      </c>
      <c r="Q42" s="216">
        <f t="shared" si="4"/>
        <v>134203.11960862944</v>
      </c>
      <c r="R42" s="192"/>
    </row>
    <row r="43" spans="1:18" ht="16.95" customHeight="1">
      <c r="A43" s="238">
        <v>210005</v>
      </c>
      <c r="B43" s="239" t="s">
        <v>51</v>
      </c>
      <c r="C43" s="205">
        <v>189480762.70820984</v>
      </c>
      <c r="D43" s="206">
        <v>0.10367682411045653</v>
      </c>
      <c r="E43" s="206">
        <v>0.1055151470901181</v>
      </c>
      <c r="F43" s="207">
        <f t="shared" si="0"/>
        <v>1.7731281753991857E-2</v>
      </c>
      <c r="G43" s="208">
        <v>6.7799999999999999E-2</v>
      </c>
      <c r="H43" s="221">
        <f t="shared" si="1"/>
        <v>0</v>
      </c>
      <c r="I43" s="222">
        <f t="shared" si="2"/>
        <v>0</v>
      </c>
      <c r="J43" s="211">
        <f>(1+F43)*(1+'1.Readmission Scaling'!$B$5)-1</f>
        <v>-4.0987108561351682E-2</v>
      </c>
      <c r="K43" s="212">
        <f t="shared" si="3"/>
        <v>9.9427410865345095E-2</v>
      </c>
      <c r="L43" s="212">
        <v>-9.5000000000000001E-2</v>
      </c>
      <c r="M43" s="213">
        <f t="shared" si="5"/>
        <v>5.4012891438648319E-2</v>
      </c>
      <c r="N43" s="223">
        <f t="shared" si="8"/>
        <v>-6.1823536108116008E-3</v>
      </c>
      <c r="O43" s="222">
        <f t="shared" si="6"/>
        <v>-1171437.0775084372</v>
      </c>
      <c r="P43" s="215">
        <f t="shared" si="7"/>
        <v>-9.4456040322077849E-3</v>
      </c>
      <c r="Q43" s="216">
        <f t="shared" si="4"/>
        <v>805182.06274608581</v>
      </c>
      <c r="R43" s="192"/>
    </row>
    <row r="44" spans="1:18" ht="16.95" customHeight="1">
      <c r="A44" s="238">
        <v>210001</v>
      </c>
      <c r="B44" s="239" t="s">
        <v>47</v>
      </c>
      <c r="C44" s="205">
        <v>187434496.6631088</v>
      </c>
      <c r="D44" s="206">
        <v>0.11180907033496956</v>
      </c>
      <c r="E44" s="206">
        <v>0.114729922597929</v>
      </c>
      <c r="F44" s="207">
        <f t="shared" si="0"/>
        <v>2.6123571676330393E-2</v>
      </c>
      <c r="G44" s="208">
        <v>6.7799999999999999E-2</v>
      </c>
      <c r="H44" s="221">
        <f t="shared" si="1"/>
        <v>0</v>
      </c>
      <c r="I44" s="222">
        <f t="shared" si="2"/>
        <v>0</v>
      </c>
      <c r="J44" s="211">
        <f>(1+F44)*(1+'1.Readmission Scaling'!$B$5)-1</f>
        <v>-3.3079014972695719E-2</v>
      </c>
      <c r="K44" s="212">
        <f t="shared" si="3"/>
        <v>0.10811053642327592</v>
      </c>
      <c r="L44" s="212">
        <v>-9.5000000000000001E-2</v>
      </c>
      <c r="M44" s="213">
        <f t="shared" si="5"/>
        <v>6.1920985027304282E-2</v>
      </c>
      <c r="N44" s="223">
        <f t="shared" si="8"/>
        <v>-7.0875195749036494E-3</v>
      </c>
      <c r="O44" s="222">
        <f t="shared" si="6"/>
        <v>-1328445.6641119963</v>
      </c>
      <c r="P44" s="215">
        <f t="shared" si="7"/>
        <v>-1.0270500960211213E-2</v>
      </c>
      <c r="Q44" s="216">
        <f t="shared" si="4"/>
        <v>693232.8421297376</v>
      </c>
      <c r="R44" s="192"/>
    </row>
    <row r="45" spans="1:18" ht="16.95" customHeight="1">
      <c r="A45" s="238">
        <v>210019</v>
      </c>
      <c r="B45" s="239" t="s">
        <v>63</v>
      </c>
      <c r="C45" s="205">
        <v>233728496.38738936</v>
      </c>
      <c r="D45" s="206">
        <v>0.10663046122690342</v>
      </c>
      <c r="E45" s="206">
        <v>0.1100729872970841</v>
      </c>
      <c r="F45" s="207">
        <f t="shared" si="0"/>
        <v>3.2284640154141231E-2</v>
      </c>
      <c r="G45" s="208">
        <v>6.7799999999999999E-2</v>
      </c>
      <c r="H45" s="221">
        <f t="shared" si="1"/>
        <v>0</v>
      </c>
      <c r="I45" s="222">
        <f t="shared" si="2"/>
        <v>0</v>
      </c>
      <c r="J45" s="211">
        <f>(1+F45)*(1+'1.Readmission Scaling'!$B$5)-1</f>
        <v>-2.7273411665431846E-2</v>
      </c>
      <c r="K45" s="212">
        <f t="shared" si="3"/>
        <v>0.10372228476178721</v>
      </c>
      <c r="L45" s="212">
        <v>-9.5000000000000001E-2</v>
      </c>
      <c r="M45" s="213">
        <f t="shared" si="5"/>
        <v>6.7726588334568155E-2</v>
      </c>
      <c r="N45" s="223">
        <f t="shared" si="8"/>
        <v>-7.7520330200016889E-3</v>
      </c>
      <c r="O45" s="222">
        <f t="shared" si="6"/>
        <v>-1811871.0217103877</v>
      </c>
      <c r="P45" s="215">
        <f t="shared" si="7"/>
        <v>-9.8536170523697859E-3</v>
      </c>
      <c r="Q45" s="216">
        <f t="shared" si="4"/>
        <v>679723.71242080396</v>
      </c>
      <c r="R45" s="192"/>
    </row>
    <row r="46" spans="1:18" ht="16.95" customHeight="1">
      <c r="A46" s="238">
        <v>210035</v>
      </c>
      <c r="B46" s="239" t="s">
        <v>74</v>
      </c>
      <c r="C46" s="205">
        <v>76338049.290417254</v>
      </c>
      <c r="D46" s="206">
        <v>0.11456135631320448</v>
      </c>
      <c r="E46" s="206">
        <v>0.12007960281310336</v>
      </c>
      <c r="F46" s="207">
        <f t="shared" si="0"/>
        <v>4.8168480868996388E-2</v>
      </c>
      <c r="G46" s="208">
        <v>6.7799999999999999E-2</v>
      </c>
      <c r="H46" s="221">
        <f t="shared" si="1"/>
        <v>0</v>
      </c>
      <c r="I46" s="222">
        <f t="shared" si="2"/>
        <v>0</v>
      </c>
      <c r="J46" s="211">
        <f>(1+F46)*(1+'1.Readmission Scaling'!$B$5)-1</f>
        <v>-1.2305995133976233E-2</v>
      </c>
      <c r="K46" s="212">
        <f t="shared" si="3"/>
        <v>0.11315156481987247</v>
      </c>
      <c r="L46" s="212">
        <v>-9.5000000000000001E-2</v>
      </c>
      <c r="M46" s="213">
        <f t="shared" si="5"/>
        <v>8.2694004866023768E-2</v>
      </c>
      <c r="N46" s="223">
        <f t="shared" si="8"/>
        <v>-9.4652140620288937E-3</v>
      </c>
      <c r="O46" s="222">
        <f t="shared" si="6"/>
        <v>-722555.97761151218</v>
      </c>
      <c r="P46" s="215">
        <f t="shared" si="7"/>
        <v>-1.0749398657887885E-2</v>
      </c>
      <c r="Q46" s="216">
        <f t="shared" si="4"/>
        <v>107620.73250719007</v>
      </c>
      <c r="R46" s="192"/>
    </row>
    <row r="47" spans="1:18" ht="16.95" customHeight="1">
      <c r="A47" s="238">
        <v>210016</v>
      </c>
      <c r="B47" s="239" t="s">
        <v>60</v>
      </c>
      <c r="C47" s="205">
        <v>161698669.47905135</v>
      </c>
      <c r="D47" s="206">
        <v>0.10792541345869984</v>
      </c>
      <c r="E47" s="206">
        <v>0.11326421263904191</v>
      </c>
      <c r="F47" s="207">
        <f t="shared" si="0"/>
        <v>4.9467488789237679E-2</v>
      </c>
      <c r="G47" s="208">
        <v>6.7799999999999999E-2</v>
      </c>
      <c r="H47" s="221">
        <f t="shared" si="1"/>
        <v>0</v>
      </c>
      <c r="I47" s="222">
        <f t="shared" si="2"/>
        <v>0</v>
      </c>
      <c r="J47" s="211">
        <f>(1+F47)*(1+'1.Readmission Scaling'!$B$5)-1</f>
        <v>-1.108193396584034E-2</v>
      </c>
      <c r="K47" s="212">
        <f t="shared" si="3"/>
        <v>0.10672939115351451</v>
      </c>
      <c r="L47" s="212">
        <v>-9.5000000000000001E-2</v>
      </c>
      <c r="M47" s="213">
        <f t="shared" si="5"/>
        <v>8.3918066034159661E-2</v>
      </c>
      <c r="N47" s="223">
        <f t="shared" si="8"/>
        <v>-9.6053209657904707E-3</v>
      </c>
      <c r="O47" s="222">
        <f t="shared" si="6"/>
        <v>-1553167.6200875556</v>
      </c>
      <c r="P47" s="215">
        <f t="shared" si="7"/>
        <v>-1.0139292159583878E-2</v>
      </c>
      <c r="Q47" s="216">
        <f t="shared" si="4"/>
        <v>193395.21541573541</v>
      </c>
      <c r="R47" s="192"/>
    </row>
    <row r="48" spans="1:18" ht="16.95" customHeight="1">
      <c r="A48" s="238">
        <v>210004</v>
      </c>
      <c r="B48" s="239" t="s">
        <v>50</v>
      </c>
      <c r="C48" s="205">
        <v>319596342.21781081</v>
      </c>
      <c r="D48" s="206">
        <v>0.11034414133818264</v>
      </c>
      <c r="E48" s="206">
        <v>0.11683607589858583</v>
      </c>
      <c r="F48" s="207">
        <f t="shared" si="0"/>
        <v>5.8833522846552411E-2</v>
      </c>
      <c r="G48" s="208">
        <v>6.7799999999999999E-2</v>
      </c>
      <c r="H48" s="221">
        <f t="shared" si="1"/>
        <v>0</v>
      </c>
      <c r="I48" s="222">
        <f t="shared" si="2"/>
        <v>0</v>
      </c>
      <c r="J48" s="211">
        <f>(1+F48)*(1+'1.Readmission Scaling'!$B$5)-1</f>
        <v>-2.2562767774928494E-3</v>
      </c>
      <c r="K48" s="212">
        <f t="shared" si="3"/>
        <v>0.11009517441454891</v>
      </c>
      <c r="L48" s="212">
        <v>-9.5000000000000001E-2</v>
      </c>
      <c r="M48" s="213">
        <f t="shared" si="5"/>
        <v>9.2743723222507152E-2</v>
      </c>
      <c r="N48" s="223">
        <f t="shared" si="8"/>
        <v>-1.0615511906005964E-2</v>
      </c>
      <c r="O48" s="222">
        <f t="shared" si="6"/>
        <v>-3392678.7759291274</v>
      </c>
      <c r="P48" s="215">
        <f t="shared" si="7"/>
        <v>-1.0459041569382146E-2</v>
      </c>
      <c r="Q48" s="216">
        <f t="shared" si="4"/>
        <v>79568.918126561228</v>
      </c>
      <c r="R48" s="192"/>
    </row>
    <row r="49" spans="1:18" ht="16.95" customHeight="1">
      <c r="A49" s="238">
        <v>210037</v>
      </c>
      <c r="B49" s="239" t="s">
        <v>75</v>
      </c>
      <c r="C49" s="205">
        <v>94828131.850859523</v>
      </c>
      <c r="D49" s="206">
        <v>0.10436245019997591</v>
      </c>
      <c r="E49" s="206">
        <v>0.11710618822432189</v>
      </c>
      <c r="F49" s="207">
        <f t="shared" si="0"/>
        <v>0.12211037590557572</v>
      </c>
      <c r="G49" s="208">
        <v>6.7799999999999999E-2</v>
      </c>
      <c r="H49" s="221">
        <f t="shared" si="1"/>
        <v>0</v>
      </c>
      <c r="I49" s="222">
        <f t="shared" si="2"/>
        <v>0</v>
      </c>
      <c r="J49" s="211">
        <f>(1+F49)*(1+'1.Readmission Scaling'!$B$5)-1</f>
        <v>5.7369794368408167E-2</v>
      </c>
      <c r="K49" s="212">
        <f t="shared" si="3"/>
        <v>0.11034970250773177</v>
      </c>
      <c r="L49" s="212">
        <v>-9.5000000000000001E-2</v>
      </c>
      <c r="M49" s="213">
        <f>J49-L49</f>
        <v>0.15236979436840817</v>
      </c>
      <c r="N49" s="223">
        <f t="shared" si="8"/>
        <v>-1.7440354021079289E-2</v>
      </c>
      <c r="O49" s="222">
        <f t="shared" si="6"/>
        <v>-1653836.190636575</v>
      </c>
      <c r="P49" s="215">
        <f>-9.5%*K49</f>
        <v>-1.0483221738234518E-2</v>
      </c>
      <c r="Q49" s="216">
        <f t="shared" si="4"/>
        <v>-567759.95126423519</v>
      </c>
      <c r="R49" s="192"/>
    </row>
    <row r="50" spans="1:18" ht="16.95" customHeight="1">
      <c r="A50" s="238"/>
      <c r="B50" s="239"/>
      <c r="C50" s="205"/>
      <c r="D50" s="206" t="s">
        <v>190</v>
      </c>
      <c r="E50" s="206"/>
      <c r="F50" s="207"/>
      <c r="G50" s="216"/>
      <c r="H50" s="221"/>
      <c r="I50" s="222"/>
      <c r="J50" s="211"/>
      <c r="K50" s="212"/>
      <c r="L50" s="212"/>
      <c r="M50" s="213"/>
      <c r="N50" s="192"/>
      <c r="O50" s="222"/>
      <c r="P50" s="226"/>
      <c r="Q50" s="189"/>
      <c r="R50" s="192"/>
    </row>
    <row r="51" spans="1:18" s="118" customFormat="1" ht="16.95" customHeight="1">
      <c r="A51" s="464" t="s">
        <v>93</v>
      </c>
      <c r="B51" s="464"/>
      <c r="C51" s="227">
        <v>8961031432.2934761</v>
      </c>
      <c r="D51" s="228">
        <v>0.12450703390266567</v>
      </c>
      <c r="E51" s="228">
        <v>0.11972337293689293</v>
      </c>
      <c r="F51" s="229">
        <f>E51/D51-1</f>
        <v>-3.842080897624145E-2</v>
      </c>
      <c r="G51" s="230"/>
      <c r="H51" s="229"/>
      <c r="I51" s="231">
        <f>SUM(I4:I49)</f>
        <v>11146797.927416857</v>
      </c>
      <c r="J51" s="211">
        <f t="shared" ref="J51" si="9">F51*2</f>
        <v>-7.6841617952482899E-2</v>
      </c>
      <c r="K51" s="211">
        <f>D51*(1+J51)</f>
        <v>0.1149397119711202</v>
      </c>
      <c r="L51" s="212">
        <v>-9.5000000000000001E-2</v>
      </c>
      <c r="M51" s="232"/>
      <c r="N51" s="231"/>
      <c r="O51" s="231">
        <f>SUM(O4:O49)</f>
        <v>-6559566.0527761905</v>
      </c>
      <c r="P51" s="226">
        <f t="shared" si="7"/>
        <v>-1.0919272637256418E-2</v>
      </c>
      <c r="Q51" s="231">
        <f>SUM(Q4:Q49)</f>
        <v>103074593.92626253</v>
      </c>
      <c r="R51" s="233"/>
    </row>
    <row r="52" spans="1:18">
      <c r="A52" s="192"/>
      <c r="B52" s="192" t="s">
        <v>141</v>
      </c>
      <c r="C52" s="192"/>
      <c r="D52" s="192"/>
      <c r="E52" s="192"/>
      <c r="F52" s="192"/>
      <c r="G52" s="192"/>
      <c r="H52" s="192"/>
      <c r="I52" s="192"/>
      <c r="J52" s="233"/>
      <c r="K52" s="192"/>
      <c r="L52" s="192"/>
      <c r="M52" s="192"/>
      <c r="N52" s="192"/>
      <c r="O52" s="234">
        <f>SUMIF(O4:O49,"&lt;0",O4:O49)</f>
        <v>-22052190.763688102</v>
      </c>
      <c r="P52" s="192"/>
      <c r="Q52" s="192"/>
      <c r="R52" s="192"/>
    </row>
    <row r="53" spans="1:18">
      <c r="A53" s="192"/>
      <c r="B53" s="192" t="s">
        <v>140</v>
      </c>
      <c r="C53" s="192"/>
      <c r="D53" s="192"/>
      <c r="E53" s="192"/>
      <c r="F53" s="192"/>
      <c r="G53" s="192"/>
      <c r="H53" s="192"/>
      <c r="I53" s="192"/>
      <c r="J53" s="233"/>
      <c r="K53" s="192"/>
      <c r="L53" s="192"/>
      <c r="M53" s="192"/>
      <c r="N53" s="192"/>
      <c r="O53" s="234">
        <f>SUMIF(O4:O49,"&gt;0",O4:O49)</f>
        <v>15492624.710911918</v>
      </c>
      <c r="P53" s="192"/>
      <c r="Q53" s="192"/>
      <c r="R53" s="192"/>
    </row>
    <row r="54" spans="1:18">
      <c r="A54" s="192" t="s">
        <v>160</v>
      </c>
      <c r="B54" s="192"/>
      <c r="C54" s="192"/>
      <c r="D54" s="192"/>
      <c r="E54" s="235"/>
      <c r="F54" s="192"/>
      <c r="G54" s="192"/>
      <c r="H54" s="192"/>
      <c r="I54" s="192"/>
      <c r="J54" s="233"/>
      <c r="K54" s="192"/>
      <c r="L54" s="192"/>
      <c r="M54" s="192"/>
      <c r="N54" s="192"/>
      <c r="O54" s="192"/>
      <c r="P54" s="192"/>
      <c r="Q54" s="192"/>
      <c r="R54" s="192"/>
    </row>
    <row r="55" spans="1:18">
      <c r="A55" s="192" t="s">
        <v>161</v>
      </c>
      <c r="B55" s="192"/>
      <c r="C55" s="192"/>
      <c r="D55" s="192"/>
      <c r="E55" s="192"/>
      <c r="F55" s="192"/>
      <c r="G55" s="192"/>
      <c r="H55" s="192"/>
      <c r="I55" s="192"/>
      <c r="J55" s="233"/>
      <c r="K55" s="192"/>
      <c r="L55" s="192"/>
      <c r="M55" s="192"/>
      <c r="N55" s="192"/>
      <c r="O55" s="192"/>
      <c r="P55" s="192"/>
      <c r="Q55" s="192"/>
      <c r="R55" s="192"/>
    </row>
    <row r="56" spans="1:18">
      <c r="A56" s="192" t="s">
        <v>162</v>
      </c>
      <c r="B56" s="192"/>
      <c r="C56" s="192"/>
      <c r="D56" s="192"/>
      <c r="E56" s="192"/>
      <c r="F56" s="192"/>
      <c r="G56" s="192"/>
      <c r="H56" s="192"/>
      <c r="I56" s="192"/>
      <c r="J56" s="233"/>
      <c r="K56" s="192"/>
      <c r="L56" s="192"/>
      <c r="M56" s="192"/>
      <c r="N56" s="192"/>
      <c r="O56" s="192"/>
      <c r="P56" s="192"/>
      <c r="Q56" s="192"/>
      <c r="R56" s="192"/>
    </row>
    <row r="57" spans="1:18">
      <c r="A57" s="192"/>
      <c r="B57" s="192"/>
      <c r="C57" s="192"/>
      <c r="D57" s="192"/>
      <c r="E57" s="192"/>
      <c r="F57" s="192"/>
      <c r="G57" s="192"/>
      <c r="H57" s="192"/>
      <c r="I57" s="192"/>
      <c r="J57" s="233"/>
      <c r="K57" s="192"/>
      <c r="L57" s="192"/>
      <c r="M57" s="192"/>
      <c r="N57" s="192"/>
      <c r="O57" s="192"/>
      <c r="P57" s="192"/>
      <c r="Q57" s="192"/>
      <c r="R57" s="192"/>
    </row>
    <row r="58" spans="1:18">
      <c r="A58" s="192"/>
      <c r="B58" s="192"/>
      <c r="C58" s="192"/>
      <c r="D58" s="192"/>
      <c r="E58" s="192"/>
      <c r="F58" s="192"/>
      <c r="G58" s="192"/>
      <c r="H58" s="192"/>
      <c r="I58" s="192"/>
      <c r="J58" s="233"/>
      <c r="K58" s="192"/>
      <c r="L58" s="192"/>
      <c r="M58" s="192"/>
      <c r="N58" s="192"/>
      <c r="O58" s="192"/>
      <c r="P58" s="192"/>
      <c r="Q58" s="192"/>
      <c r="R58" s="192"/>
    </row>
    <row r="59" spans="1:18">
      <c r="A59" s="192"/>
      <c r="B59" s="192"/>
      <c r="C59" s="192"/>
      <c r="D59" s="192"/>
      <c r="E59" s="192"/>
      <c r="F59" s="192"/>
      <c r="G59" s="192"/>
      <c r="H59" s="192"/>
      <c r="I59" s="192"/>
      <c r="J59" s="233"/>
      <c r="K59" s="192"/>
      <c r="L59" s="192"/>
      <c r="M59" s="192"/>
      <c r="N59" s="192"/>
      <c r="O59" s="192"/>
      <c r="P59" s="192"/>
      <c r="Q59" s="192"/>
      <c r="R59" s="192"/>
    </row>
    <row r="60" spans="1:18">
      <c r="A60" s="192"/>
      <c r="B60" s="192"/>
      <c r="C60" s="192"/>
      <c r="D60" s="192"/>
      <c r="E60" s="192"/>
      <c r="F60" s="192"/>
      <c r="G60" s="192"/>
      <c r="H60" s="192"/>
      <c r="I60" s="192"/>
      <c r="J60" s="233"/>
      <c r="K60" s="192"/>
      <c r="L60" s="192"/>
      <c r="M60" s="192"/>
      <c r="N60" s="192"/>
      <c r="O60" s="192"/>
      <c r="P60" s="192"/>
      <c r="Q60" s="192"/>
      <c r="R60" s="192"/>
    </row>
    <row r="61" spans="1:18">
      <c r="A61" s="192"/>
      <c r="B61" s="192"/>
      <c r="C61" s="192"/>
      <c r="D61" s="192"/>
      <c r="E61" s="192"/>
      <c r="F61" s="192"/>
      <c r="G61" s="192"/>
      <c r="H61" s="192"/>
      <c r="I61" s="192"/>
      <c r="J61" s="233"/>
      <c r="K61" s="192"/>
      <c r="L61" s="192"/>
      <c r="M61" s="192"/>
      <c r="N61" s="192"/>
      <c r="O61" s="192"/>
      <c r="P61" s="192"/>
      <c r="Q61" s="192"/>
      <c r="R61" s="192"/>
    </row>
    <row r="62" spans="1:18">
      <c r="A62" s="192"/>
      <c r="B62" s="192"/>
      <c r="C62" s="192"/>
      <c r="D62" s="192"/>
      <c r="E62" s="192"/>
      <c r="F62" s="192"/>
      <c r="G62" s="192"/>
      <c r="H62" s="192"/>
      <c r="I62" s="192"/>
      <c r="J62" s="233"/>
      <c r="K62" s="192"/>
      <c r="L62" s="192"/>
      <c r="M62" s="192"/>
      <c r="N62" s="192"/>
      <c r="O62" s="192"/>
      <c r="P62" s="192"/>
      <c r="Q62" s="192"/>
      <c r="R62" s="192"/>
    </row>
  </sheetData>
  <sortState ref="A3:AD48">
    <sortCondition ref="F3:F48"/>
  </sortState>
  <mergeCells count="1">
    <mergeCell ref="A51:B51"/>
  </mergeCells>
  <printOptions horizontalCentered="1" verticalCentered="1"/>
  <pageMargins left="0.45" right="0.45" top="0.25" bottom="0.25" header="0.3" footer="0.3"/>
  <pageSetup paperSize="5" scale="48" orientation="landscape" r:id="rId1"/>
  <headerFooter>
    <oddFooter>&amp;CHSCRC Work Group Meeting
Feb 2, 2015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8"/>
  <sheetViews>
    <sheetView workbookViewId="0"/>
  </sheetViews>
  <sheetFormatPr defaultColWidth="9.109375" defaultRowHeight="14.4"/>
  <cols>
    <col min="1" max="1" width="14.6640625" style="24" customWidth="1"/>
    <col min="2" max="2" width="12" style="25" customWidth="1"/>
    <col min="3" max="3" width="11.33203125" style="24" customWidth="1"/>
    <col min="4" max="248" width="9.109375" style="24"/>
    <col min="249" max="16384" width="9.109375" style="11"/>
  </cols>
  <sheetData>
    <row r="1" spans="1:3">
      <c r="A1" s="35" t="s">
        <v>184</v>
      </c>
    </row>
    <row r="2" spans="1:3">
      <c r="A2" s="465"/>
      <c r="B2" s="465"/>
    </row>
    <row r="3" spans="1:3" ht="57.6">
      <c r="A3" s="466" t="s">
        <v>189</v>
      </c>
      <c r="B3" s="467"/>
      <c r="C3" s="34" t="s">
        <v>120</v>
      </c>
    </row>
    <row r="4" spans="1:3" ht="28.8">
      <c r="A4" s="29" t="s">
        <v>119</v>
      </c>
      <c r="B4" s="54">
        <f>'Appendix2QBR Modeling Results'!E4</f>
        <v>4.9999999999999996E-2</v>
      </c>
      <c r="C4" s="55">
        <f>'1.Aggregate Summary'!B7</f>
        <v>-0.02</v>
      </c>
    </row>
    <row r="5" spans="1:3">
      <c r="A5" s="32"/>
      <c r="B5" s="56">
        <f t="shared" ref="B5:B63" si="0">B4+0.01</f>
        <v>0.06</v>
      </c>
      <c r="C5" s="57" t="e">
        <f>$C$4- ((B5-$B$4)*($C$4/($C$66-$B$4)))</f>
        <v>#REF!</v>
      </c>
    </row>
    <row r="6" spans="1:3">
      <c r="A6" s="32"/>
      <c r="B6" s="56">
        <f t="shared" si="0"/>
        <v>6.9999999999999993E-2</v>
      </c>
      <c r="C6" s="57" t="e">
        <f>$C$4- ((B6-$B$4)*($C$4/($C$66-$B$4)))</f>
        <v>#REF!</v>
      </c>
    </row>
    <row r="7" spans="1:3">
      <c r="A7" s="32"/>
      <c r="B7" s="56">
        <f t="shared" si="0"/>
        <v>7.9999999999999988E-2</v>
      </c>
      <c r="C7" s="57" t="e">
        <f t="shared" ref="C7:C33" si="1">$C$4- ((B7-$B$4)*($C$4/($C$66-$B$4)))</f>
        <v>#REF!</v>
      </c>
    </row>
    <row r="8" spans="1:3">
      <c r="A8" s="32"/>
      <c r="B8" s="56">
        <f t="shared" si="0"/>
        <v>8.9999999999999983E-2</v>
      </c>
      <c r="C8" s="57" t="e">
        <f t="shared" si="1"/>
        <v>#REF!</v>
      </c>
    </row>
    <row r="9" spans="1:3">
      <c r="A9" s="32"/>
      <c r="B9" s="56">
        <f t="shared" si="0"/>
        <v>9.9999999999999978E-2</v>
      </c>
      <c r="C9" s="57" t="e">
        <f t="shared" si="1"/>
        <v>#REF!</v>
      </c>
    </row>
    <row r="10" spans="1:3">
      <c r="A10" s="32"/>
      <c r="B10" s="56">
        <f t="shared" si="0"/>
        <v>0.10999999999999997</v>
      </c>
      <c r="C10" s="57" t="e">
        <f t="shared" si="1"/>
        <v>#REF!</v>
      </c>
    </row>
    <row r="11" spans="1:3">
      <c r="A11" s="32"/>
      <c r="B11" s="56">
        <f t="shared" si="0"/>
        <v>0.11999999999999997</v>
      </c>
      <c r="C11" s="57" t="e">
        <f t="shared" si="1"/>
        <v>#REF!</v>
      </c>
    </row>
    <row r="12" spans="1:3">
      <c r="A12" s="32"/>
      <c r="B12" s="56">
        <f t="shared" si="0"/>
        <v>0.12999999999999998</v>
      </c>
      <c r="C12" s="57" t="e">
        <f t="shared" si="1"/>
        <v>#REF!</v>
      </c>
    </row>
    <row r="13" spans="1:3">
      <c r="A13" s="32"/>
      <c r="B13" s="56">
        <f t="shared" si="0"/>
        <v>0.13999999999999999</v>
      </c>
      <c r="C13" s="57" t="e">
        <f t="shared" si="1"/>
        <v>#REF!</v>
      </c>
    </row>
    <row r="14" spans="1:3">
      <c r="A14" s="32"/>
      <c r="B14" s="56">
        <f t="shared" si="0"/>
        <v>0.15</v>
      </c>
      <c r="C14" s="57" t="e">
        <f t="shared" si="1"/>
        <v>#REF!</v>
      </c>
    </row>
    <row r="15" spans="1:3">
      <c r="A15" s="32"/>
      <c r="B15" s="56">
        <f t="shared" si="0"/>
        <v>0.16</v>
      </c>
      <c r="C15" s="57" t="e">
        <f t="shared" si="1"/>
        <v>#REF!</v>
      </c>
    </row>
    <row r="16" spans="1:3">
      <c r="A16" s="32"/>
      <c r="B16" s="56">
        <f t="shared" si="0"/>
        <v>0.17</v>
      </c>
      <c r="C16" s="57" t="e">
        <f t="shared" si="1"/>
        <v>#REF!</v>
      </c>
    </row>
    <row r="17" spans="1:3">
      <c r="A17" s="32"/>
      <c r="B17" s="56">
        <f t="shared" si="0"/>
        <v>0.18000000000000002</v>
      </c>
      <c r="C17" s="57" t="e">
        <f t="shared" si="1"/>
        <v>#REF!</v>
      </c>
    </row>
    <row r="18" spans="1:3">
      <c r="A18" s="32"/>
      <c r="B18" s="56">
        <f t="shared" si="0"/>
        <v>0.19000000000000003</v>
      </c>
      <c r="C18" s="57" t="e">
        <f t="shared" si="1"/>
        <v>#REF!</v>
      </c>
    </row>
    <row r="19" spans="1:3">
      <c r="A19" s="32"/>
      <c r="B19" s="56">
        <f t="shared" si="0"/>
        <v>0.20000000000000004</v>
      </c>
      <c r="C19" s="57" t="e">
        <f t="shared" si="1"/>
        <v>#REF!</v>
      </c>
    </row>
    <row r="20" spans="1:3">
      <c r="A20" s="32"/>
      <c r="B20" s="56">
        <f t="shared" si="0"/>
        <v>0.21000000000000005</v>
      </c>
      <c r="C20" s="57" t="e">
        <f t="shared" si="1"/>
        <v>#REF!</v>
      </c>
    </row>
    <row r="21" spans="1:3">
      <c r="A21" s="32"/>
      <c r="B21" s="56">
        <f t="shared" si="0"/>
        <v>0.22000000000000006</v>
      </c>
      <c r="C21" s="57" t="e">
        <f t="shared" si="1"/>
        <v>#REF!</v>
      </c>
    </row>
    <row r="22" spans="1:3">
      <c r="A22" s="32"/>
      <c r="B22" s="56">
        <f t="shared" si="0"/>
        <v>0.23000000000000007</v>
      </c>
      <c r="C22" s="57" t="e">
        <f t="shared" si="1"/>
        <v>#REF!</v>
      </c>
    </row>
    <row r="23" spans="1:3">
      <c r="A23" s="32"/>
      <c r="B23" s="56">
        <f t="shared" si="0"/>
        <v>0.24000000000000007</v>
      </c>
      <c r="C23" s="57" t="e">
        <f t="shared" si="1"/>
        <v>#REF!</v>
      </c>
    </row>
    <row r="24" spans="1:3">
      <c r="A24" s="32"/>
      <c r="B24" s="56">
        <f t="shared" si="0"/>
        <v>0.25000000000000006</v>
      </c>
      <c r="C24" s="57" t="e">
        <f t="shared" si="1"/>
        <v>#REF!</v>
      </c>
    </row>
    <row r="25" spans="1:3">
      <c r="A25" s="32"/>
      <c r="B25" s="56">
        <f t="shared" si="0"/>
        <v>0.26000000000000006</v>
      </c>
      <c r="C25" s="57" t="e">
        <f t="shared" si="1"/>
        <v>#REF!</v>
      </c>
    </row>
    <row r="26" spans="1:3">
      <c r="A26" s="32"/>
      <c r="B26" s="56">
        <f t="shared" si="0"/>
        <v>0.27000000000000007</v>
      </c>
      <c r="C26" s="57" t="e">
        <f t="shared" si="1"/>
        <v>#REF!</v>
      </c>
    </row>
    <row r="27" spans="1:3">
      <c r="A27" s="32"/>
      <c r="B27" s="56">
        <f t="shared" si="0"/>
        <v>0.28000000000000008</v>
      </c>
      <c r="C27" s="57" t="e">
        <f t="shared" si="1"/>
        <v>#REF!</v>
      </c>
    </row>
    <row r="28" spans="1:3">
      <c r="A28" s="32"/>
      <c r="B28" s="56">
        <f t="shared" si="0"/>
        <v>0.29000000000000009</v>
      </c>
      <c r="C28" s="57" t="e">
        <f t="shared" si="1"/>
        <v>#REF!</v>
      </c>
    </row>
    <row r="29" spans="1:3">
      <c r="A29" s="32"/>
      <c r="B29" s="56">
        <f t="shared" si="0"/>
        <v>0.3000000000000001</v>
      </c>
      <c r="C29" s="57" t="e">
        <f t="shared" si="1"/>
        <v>#REF!</v>
      </c>
    </row>
    <row r="30" spans="1:3">
      <c r="A30" s="32"/>
      <c r="B30" s="56">
        <f t="shared" si="0"/>
        <v>0.31000000000000011</v>
      </c>
      <c r="C30" s="57" t="e">
        <f t="shared" si="1"/>
        <v>#REF!</v>
      </c>
    </row>
    <row r="31" spans="1:3">
      <c r="A31" s="32"/>
      <c r="B31" s="56">
        <f t="shared" si="0"/>
        <v>0.32000000000000012</v>
      </c>
      <c r="C31" s="57" t="e">
        <f t="shared" si="1"/>
        <v>#REF!</v>
      </c>
    </row>
    <row r="32" spans="1:3">
      <c r="A32" s="32"/>
      <c r="B32" s="56">
        <f t="shared" si="0"/>
        <v>0.33000000000000013</v>
      </c>
      <c r="C32" s="57" t="e">
        <f t="shared" si="1"/>
        <v>#REF!</v>
      </c>
    </row>
    <row r="33" spans="1:3">
      <c r="A33" s="32"/>
      <c r="B33" s="56">
        <f t="shared" si="0"/>
        <v>0.34000000000000014</v>
      </c>
      <c r="C33" s="57" t="e">
        <f t="shared" si="1"/>
        <v>#REF!</v>
      </c>
    </row>
    <row r="34" spans="1:3">
      <c r="A34" s="32"/>
      <c r="B34" s="56">
        <f t="shared" si="0"/>
        <v>0.35000000000000014</v>
      </c>
      <c r="C34" s="57" t="e">
        <f t="shared" ref="C34:C62" si="2">$C$64- ((B34-$B$64)*($C$64/($C$67-$B$64)))</f>
        <v>#REF!</v>
      </c>
    </row>
    <row r="35" spans="1:3">
      <c r="A35" s="32"/>
      <c r="B35" s="56">
        <f t="shared" si="0"/>
        <v>0.36000000000000015</v>
      </c>
      <c r="C35" s="57" t="e">
        <f t="shared" si="2"/>
        <v>#REF!</v>
      </c>
    </row>
    <row r="36" spans="1:3">
      <c r="A36" s="32"/>
      <c r="B36" s="56">
        <f t="shared" si="0"/>
        <v>0.37000000000000016</v>
      </c>
      <c r="C36" s="57" t="e">
        <f t="shared" si="2"/>
        <v>#REF!</v>
      </c>
    </row>
    <row r="37" spans="1:3">
      <c r="A37" s="32"/>
      <c r="B37" s="56">
        <f t="shared" si="0"/>
        <v>0.38000000000000017</v>
      </c>
      <c r="C37" s="57" t="e">
        <f t="shared" si="2"/>
        <v>#REF!</v>
      </c>
    </row>
    <row r="38" spans="1:3">
      <c r="A38" s="32"/>
      <c r="B38" s="56">
        <f t="shared" si="0"/>
        <v>0.39000000000000018</v>
      </c>
      <c r="C38" s="57" t="e">
        <f t="shared" si="2"/>
        <v>#REF!</v>
      </c>
    </row>
    <row r="39" spans="1:3">
      <c r="A39" s="32"/>
      <c r="B39" s="56">
        <f t="shared" si="0"/>
        <v>0.40000000000000019</v>
      </c>
      <c r="C39" s="57" t="e">
        <f t="shared" si="2"/>
        <v>#REF!</v>
      </c>
    </row>
    <row r="40" spans="1:3">
      <c r="A40" s="32"/>
      <c r="B40" s="56">
        <f t="shared" si="0"/>
        <v>0.4100000000000002</v>
      </c>
      <c r="C40" s="57" t="e">
        <f t="shared" si="2"/>
        <v>#REF!</v>
      </c>
    </row>
    <row r="41" spans="1:3">
      <c r="A41" s="32"/>
      <c r="B41" s="31">
        <f t="shared" si="0"/>
        <v>0.42000000000000021</v>
      </c>
      <c r="C41" s="30" t="e">
        <f t="shared" si="2"/>
        <v>#REF!</v>
      </c>
    </row>
    <row r="42" spans="1:3">
      <c r="A42" s="32"/>
      <c r="B42" s="31">
        <f t="shared" si="0"/>
        <v>0.43000000000000022</v>
      </c>
      <c r="C42" s="30" t="e">
        <f t="shared" si="2"/>
        <v>#REF!</v>
      </c>
    </row>
    <row r="43" spans="1:3">
      <c r="A43" s="32"/>
      <c r="B43" s="31">
        <f t="shared" si="0"/>
        <v>0.44000000000000022</v>
      </c>
      <c r="C43" s="30" t="e">
        <f t="shared" si="2"/>
        <v>#REF!</v>
      </c>
    </row>
    <row r="44" spans="1:3">
      <c r="A44" s="32"/>
      <c r="B44" s="31">
        <f t="shared" si="0"/>
        <v>0.45000000000000023</v>
      </c>
      <c r="C44" s="30" t="e">
        <f t="shared" si="2"/>
        <v>#REF!</v>
      </c>
    </row>
    <row r="45" spans="1:3">
      <c r="A45" s="32"/>
      <c r="B45" s="31">
        <f t="shared" si="0"/>
        <v>0.46000000000000024</v>
      </c>
      <c r="C45" s="30" t="e">
        <f t="shared" si="2"/>
        <v>#REF!</v>
      </c>
    </row>
    <row r="46" spans="1:3">
      <c r="A46" s="32"/>
      <c r="B46" s="31">
        <f t="shared" si="0"/>
        <v>0.47000000000000025</v>
      </c>
      <c r="C46" s="30" t="e">
        <f t="shared" si="2"/>
        <v>#REF!</v>
      </c>
    </row>
    <row r="47" spans="1:3">
      <c r="A47" s="32"/>
      <c r="B47" s="31">
        <f t="shared" si="0"/>
        <v>0.48000000000000026</v>
      </c>
      <c r="C47" s="30" t="e">
        <f t="shared" si="2"/>
        <v>#REF!</v>
      </c>
    </row>
    <row r="48" spans="1:3">
      <c r="A48" s="32"/>
      <c r="B48" s="31">
        <f t="shared" si="0"/>
        <v>0.49000000000000027</v>
      </c>
      <c r="C48" s="30" t="e">
        <f t="shared" si="2"/>
        <v>#REF!</v>
      </c>
    </row>
    <row r="49" spans="1:250">
      <c r="A49" s="32"/>
      <c r="B49" s="31">
        <f t="shared" si="0"/>
        <v>0.50000000000000022</v>
      </c>
      <c r="C49" s="30" t="e">
        <f t="shared" si="2"/>
        <v>#REF!</v>
      </c>
    </row>
    <row r="50" spans="1:250">
      <c r="A50" s="32"/>
      <c r="B50" s="31">
        <f t="shared" si="0"/>
        <v>0.51000000000000023</v>
      </c>
      <c r="C50" s="30" t="e">
        <f t="shared" si="2"/>
        <v>#REF!</v>
      </c>
    </row>
    <row r="51" spans="1:250">
      <c r="A51" s="32"/>
      <c r="B51" s="31">
        <f t="shared" si="0"/>
        <v>0.52000000000000024</v>
      </c>
      <c r="C51" s="30" t="e">
        <f t="shared" si="2"/>
        <v>#REF!</v>
      </c>
    </row>
    <row r="52" spans="1:250">
      <c r="A52" s="32"/>
      <c r="B52" s="31">
        <f t="shared" si="0"/>
        <v>0.53000000000000025</v>
      </c>
      <c r="C52" s="30" t="e">
        <f t="shared" si="2"/>
        <v>#REF!</v>
      </c>
    </row>
    <row r="53" spans="1:250">
      <c r="A53" s="32"/>
      <c r="B53" s="31">
        <f t="shared" si="0"/>
        <v>0.54000000000000026</v>
      </c>
      <c r="C53" s="30" t="e">
        <f t="shared" si="2"/>
        <v>#REF!</v>
      </c>
    </row>
    <row r="54" spans="1:250">
      <c r="A54" s="32"/>
      <c r="B54" s="31">
        <f t="shared" si="0"/>
        <v>0.55000000000000027</v>
      </c>
      <c r="C54" s="30" t="e">
        <f t="shared" si="2"/>
        <v>#REF!</v>
      </c>
    </row>
    <row r="55" spans="1:250">
      <c r="A55" s="32"/>
      <c r="B55" s="31">
        <f t="shared" si="0"/>
        <v>0.56000000000000028</v>
      </c>
      <c r="C55" s="30" t="e">
        <f t="shared" si="2"/>
        <v>#REF!</v>
      </c>
    </row>
    <row r="56" spans="1:250">
      <c r="A56" s="32"/>
      <c r="B56" s="31">
        <f t="shared" si="0"/>
        <v>0.57000000000000028</v>
      </c>
      <c r="C56" s="30" t="e">
        <f t="shared" si="2"/>
        <v>#REF!</v>
      </c>
    </row>
    <row r="57" spans="1:250">
      <c r="A57" s="32"/>
      <c r="B57" s="31">
        <f t="shared" si="0"/>
        <v>0.58000000000000029</v>
      </c>
      <c r="C57" s="30" t="e">
        <f t="shared" si="2"/>
        <v>#REF!</v>
      </c>
    </row>
    <row r="58" spans="1:250">
      <c r="A58" s="32"/>
      <c r="B58" s="31">
        <f t="shared" si="0"/>
        <v>0.5900000000000003</v>
      </c>
      <c r="C58" s="30" t="e">
        <f t="shared" si="2"/>
        <v>#REF!</v>
      </c>
    </row>
    <row r="59" spans="1:250">
      <c r="A59" s="32"/>
      <c r="B59" s="31">
        <f t="shared" si="0"/>
        <v>0.60000000000000031</v>
      </c>
      <c r="C59" s="30" t="e">
        <f t="shared" si="2"/>
        <v>#REF!</v>
      </c>
    </row>
    <row r="60" spans="1:250">
      <c r="A60" s="32"/>
      <c r="B60" s="31">
        <f t="shared" si="0"/>
        <v>0.61000000000000032</v>
      </c>
      <c r="C60" s="30" t="e">
        <f t="shared" si="2"/>
        <v>#REF!</v>
      </c>
    </row>
    <row r="61" spans="1:250">
      <c r="A61" s="32"/>
      <c r="B61" s="31">
        <f t="shared" si="0"/>
        <v>0.62000000000000033</v>
      </c>
      <c r="C61" s="30" t="e">
        <f t="shared" si="2"/>
        <v>#REF!</v>
      </c>
    </row>
    <row r="62" spans="1:250">
      <c r="A62" s="32"/>
      <c r="B62" s="31">
        <f t="shared" si="0"/>
        <v>0.63000000000000034</v>
      </c>
      <c r="C62" s="30" t="e">
        <f t="shared" si="2"/>
        <v>#REF!</v>
      </c>
    </row>
    <row r="63" spans="1:250">
      <c r="A63" s="32"/>
      <c r="B63" s="31">
        <f t="shared" si="0"/>
        <v>0.64000000000000035</v>
      </c>
      <c r="C63" s="30" t="e">
        <f>C64- ((B63-B64)*(C64/(C67-B64)))</f>
        <v>#REF!</v>
      </c>
    </row>
    <row r="64" spans="1:250" s="24" customFormat="1" ht="28.8">
      <c r="A64" s="29" t="s">
        <v>118</v>
      </c>
      <c r="B64" s="28">
        <f>'Appendix2QBR Modeling Results'!E46</f>
        <v>0.69785600000000003</v>
      </c>
      <c r="C64" s="27">
        <v>0.01</v>
      </c>
      <c r="IO64" s="11"/>
      <c r="IP64" s="11"/>
    </row>
    <row r="65" spans="1:250">
      <c r="C65" s="25"/>
    </row>
    <row r="66" spans="1:250" s="24" customFormat="1">
      <c r="A66" s="468" t="s">
        <v>117</v>
      </c>
      <c r="B66" s="469"/>
      <c r="C66" s="26" t="e">
        <f>'Appendix2QBR Modeling Results'!#REF!</f>
        <v>#REF!</v>
      </c>
      <c r="IO66" s="11"/>
      <c r="IP66" s="11"/>
    </row>
    <row r="67" spans="1:250" s="24" customFormat="1">
      <c r="A67" s="470" t="s">
        <v>114</v>
      </c>
      <c r="B67" s="470"/>
      <c r="C67" s="26" t="e">
        <f>C66</f>
        <v>#REF!</v>
      </c>
      <c r="IO67" s="11"/>
    </row>
    <row r="68" spans="1:250" s="24" customFormat="1">
      <c r="A68" s="471"/>
      <c r="B68" s="471"/>
      <c r="IO68" s="11"/>
    </row>
  </sheetData>
  <mergeCells count="4">
    <mergeCell ref="A2:B2"/>
    <mergeCell ref="A3:B3"/>
    <mergeCell ref="A66:B66"/>
    <mergeCell ref="A67:B68"/>
  </mergeCells>
  <printOptions horizontalCentered="1" verticalCentered="1"/>
  <pageMargins left="0.2" right="0.2" top="0.25" bottom="0.25" header="0.3" footer="0.3"/>
  <pageSetup scale="69" orientation="portrait" r:id="rId1"/>
  <headerFooter>
    <oddFooter>&amp;CHSCRC Work Group Meeting
Feb 2, 2015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03"/>
  <sheetViews>
    <sheetView workbookViewId="0">
      <selection activeCell="H46" sqref="H46"/>
    </sheetView>
  </sheetViews>
  <sheetFormatPr defaultRowHeight="15.6"/>
  <cols>
    <col min="1" max="1" width="9.109375" style="58"/>
    <col min="2" max="2" width="9" style="51" customWidth="1"/>
    <col min="3" max="3" width="33.6640625" style="51" customWidth="1"/>
    <col min="4" max="4" width="21" style="51" customWidth="1"/>
    <col min="5" max="5" width="20" style="51" customWidth="1"/>
    <col min="6" max="6" width="21.109375" style="58" customWidth="1"/>
    <col min="7" max="7" width="17.44140625" style="58" customWidth="1"/>
    <col min="8" max="251" width="8.88671875" style="58"/>
    <col min="252" max="252" width="20.6640625" style="58" customWidth="1"/>
    <col min="253" max="253" width="48.44140625" style="58" customWidth="1"/>
    <col min="254" max="254" width="25.33203125" style="58" customWidth="1"/>
    <col min="255" max="255" width="20" style="58" customWidth="1"/>
    <col min="256" max="256" width="15" style="58" customWidth="1"/>
    <col min="257" max="257" width="17.5546875" style="58" customWidth="1"/>
    <col min="258" max="258" width="24" style="58" customWidth="1"/>
    <col min="259" max="259" width="25.33203125" style="58" customWidth="1"/>
    <col min="260" max="260" width="18.88671875" style="58" customWidth="1"/>
    <col min="261" max="507" width="8.88671875" style="58"/>
    <col min="508" max="508" width="20.6640625" style="58" customWidth="1"/>
    <col min="509" max="509" width="48.44140625" style="58" customWidth="1"/>
    <col min="510" max="510" width="25.33203125" style="58" customWidth="1"/>
    <col min="511" max="511" width="20" style="58" customWidth="1"/>
    <col min="512" max="512" width="15" style="58" customWidth="1"/>
    <col min="513" max="513" width="17.5546875" style="58" customWidth="1"/>
    <col min="514" max="514" width="24" style="58" customWidth="1"/>
    <col min="515" max="515" width="25.33203125" style="58" customWidth="1"/>
    <col min="516" max="516" width="18.88671875" style="58" customWidth="1"/>
    <col min="517" max="763" width="8.88671875" style="58"/>
    <col min="764" max="764" width="20.6640625" style="58" customWidth="1"/>
    <col min="765" max="765" width="48.44140625" style="58" customWidth="1"/>
    <col min="766" max="766" width="25.33203125" style="58" customWidth="1"/>
    <col min="767" max="767" width="20" style="58" customWidth="1"/>
    <col min="768" max="768" width="15" style="58" customWidth="1"/>
    <col min="769" max="769" width="17.5546875" style="58" customWidth="1"/>
    <col min="770" max="770" width="24" style="58" customWidth="1"/>
    <col min="771" max="771" width="25.33203125" style="58" customWidth="1"/>
    <col min="772" max="772" width="18.88671875" style="58" customWidth="1"/>
    <col min="773" max="1019" width="8.88671875" style="58"/>
    <col min="1020" max="1020" width="20.6640625" style="58" customWidth="1"/>
    <col min="1021" max="1021" width="48.44140625" style="58" customWidth="1"/>
    <col min="1022" max="1022" width="25.33203125" style="58" customWidth="1"/>
    <col min="1023" max="1023" width="20" style="58" customWidth="1"/>
    <col min="1024" max="1024" width="15" style="58" customWidth="1"/>
    <col min="1025" max="1025" width="17.5546875" style="58" customWidth="1"/>
    <col min="1026" max="1026" width="24" style="58" customWidth="1"/>
    <col min="1027" max="1027" width="25.33203125" style="58" customWidth="1"/>
    <col min="1028" max="1028" width="18.88671875" style="58" customWidth="1"/>
    <col min="1029" max="1275" width="8.88671875" style="58"/>
    <col min="1276" max="1276" width="20.6640625" style="58" customWidth="1"/>
    <col min="1277" max="1277" width="48.44140625" style="58" customWidth="1"/>
    <col min="1278" max="1278" width="25.33203125" style="58" customWidth="1"/>
    <col min="1279" max="1279" width="20" style="58" customWidth="1"/>
    <col min="1280" max="1280" width="15" style="58" customWidth="1"/>
    <col min="1281" max="1281" width="17.5546875" style="58" customWidth="1"/>
    <col min="1282" max="1282" width="24" style="58" customWidth="1"/>
    <col min="1283" max="1283" width="25.33203125" style="58" customWidth="1"/>
    <col min="1284" max="1284" width="18.88671875" style="58" customWidth="1"/>
    <col min="1285" max="1531" width="8.88671875" style="58"/>
    <col min="1532" max="1532" width="20.6640625" style="58" customWidth="1"/>
    <col min="1533" max="1533" width="48.44140625" style="58" customWidth="1"/>
    <col min="1534" max="1534" width="25.33203125" style="58" customWidth="1"/>
    <col min="1535" max="1535" width="20" style="58" customWidth="1"/>
    <col min="1536" max="1536" width="15" style="58" customWidth="1"/>
    <col min="1537" max="1537" width="17.5546875" style="58" customWidth="1"/>
    <col min="1538" max="1538" width="24" style="58" customWidth="1"/>
    <col min="1539" max="1539" width="25.33203125" style="58" customWidth="1"/>
    <col min="1540" max="1540" width="18.88671875" style="58" customWidth="1"/>
    <col min="1541" max="1787" width="8.88671875" style="58"/>
    <col min="1788" max="1788" width="20.6640625" style="58" customWidth="1"/>
    <col min="1789" max="1789" width="48.44140625" style="58" customWidth="1"/>
    <col min="1790" max="1790" width="25.33203125" style="58" customWidth="1"/>
    <col min="1791" max="1791" width="20" style="58" customWidth="1"/>
    <col min="1792" max="1792" width="15" style="58" customWidth="1"/>
    <col min="1793" max="1793" width="17.5546875" style="58" customWidth="1"/>
    <col min="1794" max="1794" width="24" style="58" customWidth="1"/>
    <col min="1795" max="1795" width="25.33203125" style="58" customWidth="1"/>
    <col min="1796" max="1796" width="18.88671875" style="58" customWidth="1"/>
    <col min="1797" max="2043" width="8.88671875" style="58"/>
    <col min="2044" max="2044" width="20.6640625" style="58" customWidth="1"/>
    <col min="2045" max="2045" width="48.44140625" style="58" customWidth="1"/>
    <col min="2046" max="2046" width="25.33203125" style="58" customWidth="1"/>
    <col min="2047" max="2047" width="20" style="58" customWidth="1"/>
    <col min="2048" max="2048" width="15" style="58" customWidth="1"/>
    <col min="2049" max="2049" width="17.5546875" style="58" customWidth="1"/>
    <col min="2050" max="2050" width="24" style="58" customWidth="1"/>
    <col min="2051" max="2051" width="25.33203125" style="58" customWidth="1"/>
    <col min="2052" max="2052" width="18.88671875" style="58" customWidth="1"/>
    <col min="2053" max="2299" width="8.88671875" style="58"/>
    <col min="2300" max="2300" width="20.6640625" style="58" customWidth="1"/>
    <col min="2301" max="2301" width="48.44140625" style="58" customWidth="1"/>
    <col min="2302" max="2302" width="25.33203125" style="58" customWidth="1"/>
    <col min="2303" max="2303" width="20" style="58" customWidth="1"/>
    <col min="2304" max="2304" width="15" style="58" customWidth="1"/>
    <col min="2305" max="2305" width="17.5546875" style="58" customWidth="1"/>
    <col min="2306" max="2306" width="24" style="58" customWidth="1"/>
    <col min="2307" max="2307" width="25.33203125" style="58" customWidth="1"/>
    <col min="2308" max="2308" width="18.88671875" style="58" customWidth="1"/>
    <col min="2309" max="2555" width="8.88671875" style="58"/>
    <col min="2556" max="2556" width="20.6640625" style="58" customWidth="1"/>
    <col min="2557" max="2557" width="48.44140625" style="58" customWidth="1"/>
    <col min="2558" max="2558" width="25.33203125" style="58" customWidth="1"/>
    <col min="2559" max="2559" width="20" style="58" customWidth="1"/>
    <col min="2560" max="2560" width="15" style="58" customWidth="1"/>
    <col min="2561" max="2561" width="17.5546875" style="58" customWidth="1"/>
    <col min="2562" max="2562" width="24" style="58" customWidth="1"/>
    <col min="2563" max="2563" width="25.33203125" style="58" customWidth="1"/>
    <col min="2564" max="2564" width="18.88671875" style="58" customWidth="1"/>
    <col min="2565" max="2811" width="8.88671875" style="58"/>
    <col min="2812" max="2812" width="20.6640625" style="58" customWidth="1"/>
    <col min="2813" max="2813" width="48.44140625" style="58" customWidth="1"/>
    <col min="2814" max="2814" width="25.33203125" style="58" customWidth="1"/>
    <col min="2815" max="2815" width="20" style="58" customWidth="1"/>
    <col min="2816" max="2816" width="15" style="58" customWidth="1"/>
    <col min="2817" max="2817" width="17.5546875" style="58" customWidth="1"/>
    <col min="2818" max="2818" width="24" style="58" customWidth="1"/>
    <col min="2819" max="2819" width="25.33203125" style="58" customWidth="1"/>
    <col min="2820" max="2820" width="18.88671875" style="58" customWidth="1"/>
    <col min="2821" max="3067" width="8.88671875" style="58"/>
    <col min="3068" max="3068" width="20.6640625" style="58" customWidth="1"/>
    <col min="3069" max="3069" width="48.44140625" style="58" customWidth="1"/>
    <col min="3070" max="3070" width="25.33203125" style="58" customWidth="1"/>
    <col min="3071" max="3071" width="20" style="58" customWidth="1"/>
    <col min="3072" max="3072" width="15" style="58" customWidth="1"/>
    <col min="3073" max="3073" width="17.5546875" style="58" customWidth="1"/>
    <col min="3074" max="3074" width="24" style="58" customWidth="1"/>
    <col min="3075" max="3075" width="25.33203125" style="58" customWidth="1"/>
    <col min="3076" max="3076" width="18.88671875" style="58" customWidth="1"/>
    <col min="3077" max="3323" width="8.88671875" style="58"/>
    <col min="3324" max="3324" width="20.6640625" style="58" customWidth="1"/>
    <col min="3325" max="3325" width="48.44140625" style="58" customWidth="1"/>
    <col min="3326" max="3326" width="25.33203125" style="58" customWidth="1"/>
    <col min="3327" max="3327" width="20" style="58" customWidth="1"/>
    <col min="3328" max="3328" width="15" style="58" customWidth="1"/>
    <col min="3329" max="3329" width="17.5546875" style="58" customWidth="1"/>
    <col min="3330" max="3330" width="24" style="58" customWidth="1"/>
    <col min="3331" max="3331" width="25.33203125" style="58" customWidth="1"/>
    <col min="3332" max="3332" width="18.88671875" style="58" customWidth="1"/>
    <col min="3333" max="3579" width="8.88671875" style="58"/>
    <col min="3580" max="3580" width="20.6640625" style="58" customWidth="1"/>
    <col min="3581" max="3581" width="48.44140625" style="58" customWidth="1"/>
    <col min="3582" max="3582" width="25.33203125" style="58" customWidth="1"/>
    <col min="3583" max="3583" width="20" style="58" customWidth="1"/>
    <col min="3584" max="3584" width="15" style="58" customWidth="1"/>
    <col min="3585" max="3585" width="17.5546875" style="58" customWidth="1"/>
    <col min="3586" max="3586" width="24" style="58" customWidth="1"/>
    <col min="3587" max="3587" width="25.33203125" style="58" customWidth="1"/>
    <col min="3588" max="3588" width="18.88671875" style="58" customWidth="1"/>
    <col min="3589" max="3835" width="8.88671875" style="58"/>
    <col min="3836" max="3836" width="20.6640625" style="58" customWidth="1"/>
    <col min="3837" max="3837" width="48.44140625" style="58" customWidth="1"/>
    <col min="3838" max="3838" width="25.33203125" style="58" customWidth="1"/>
    <col min="3839" max="3839" width="20" style="58" customWidth="1"/>
    <col min="3840" max="3840" width="15" style="58" customWidth="1"/>
    <col min="3841" max="3841" width="17.5546875" style="58" customWidth="1"/>
    <col min="3842" max="3842" width="24" style="58" customWidth="1"/>
    <col min="3843" max="3843" width="25.33203125" style="58" customWidth="1"/>
    <col min="3844" max="3844" width="18.88671875" style="58" customWidth="1"/>
    <col min="3845" max="4091" width="8.88671875" style="58"/>
    <col min="4092" max="4092" width="20.6640625" style="58" customWidth="1"/>
    <col min="4093" max="4093" width="48.44140625" style="58" customWidth="1"/>
    <col min="4094" max="4094" width="25.33203125" style="58" customWidth="1"/>
    <col min="4095" max="4095" width="20" style="58" customWidth="1"/>
    <col min="4096" max="4096" width="15" style="58" customWidth="1"/>
    <col min="4097" max="4097" width="17.5546875" style="58" customWidth="1"/>
    <col min="4098" max="4098" width="24" style="58" customWidth="1"/>
    <col min="4099" max="4099" width="25.33203125" style="58" customWidth="1"/>
    <col min="4100" max="4100" width="18.88671875" style="58" customWidth="1"/>
    <col min="4101" max="4347" width="8.88671875" style="58"/>
    <col min="4348" max="4348" width="20.6640625" style="58" customWidth="1"/>
    <col min="4349" max="4349" width="48.44140625" style="58" customWidth="1"/>
    <col min="4350" max="4350" width="25.33203125" style="58" customWidth="1"/>
    <col min="4351" max="4351" width="20" style="58" customWidth="1"/>
    <col min="4352" max="4352" width="15" style="58" customWidth="1"/>
    <col min="4353" max="4353" width="17.5546875" style="58" customWidth="1"/>
    <col min="4354" max="4354" width="24" style="58" customWidth="1"/>
    <col min="4355" max="4355" width="25.33203125" style="58" customWidth="1"/>
    <col min="4356" max="4356" width="18.88671875" style="58" customWidth="1"/>
    <col min="4357" max="4603" width="8.88671875" style="58"/>
    <col min="4604" max="4604" width="20.6640625" style="58" customWidth="1"/>
    <col min="4605" max="4605" width="48.44140625" style="58" customWidth="1"/>
    <col min="4606" max="4606" width="25.33203125" style="58" customWidth="1"/>
    <col min="4607" max="4607" width="20" style="58" customWidth="1"/>
    <col min="4608" max="4608" width="15" style="58" customWidth="1"/>
    <col min="4609" max="4609" width="17.5546875" style="58" customWidth="1"/>
    <col min="4610" max="4610" width="24" style="58" customWidth="1"/>
    <col min="4611" max="4611" width="25.33203125" style="58" customWidth="1"/>
    <col min="4612" max="4612" width="18.88671875" style="58" customWidth="1"/>
    <col min="4613" max="4859" width="8.88671875" style="58"/>
    <col min="4860" max="4860" width="20.6640625" style="58" customWidth="1"/>
    <col min="4861" max="4861" width="48.44140625" style="58" customWidth="1"/>
    <col min="4862" max="4862" width="25.33203125" style="58" customWidth="1"/>
    <col min="4863" max="4863" width="20" style="58" customWidth="1"/>
    <col min="4864" max="4864" width="15" style="58" customWidth="1"/>
    <col min="4865" max="4865" width="17.5546875" style="58" customWidth="1"/>
    <col min="4866" max="4866" width="24" style="58" customWidth="1"/>
    <col min="4867" max="4867" width="25.33203125" style="58" customWidth="1"/>
    <col min="4868" max="4868" width="18.88671875" style="58" customWidth="1"/>
    <col min="4869" max="5115" width="8.88671875" style="58"/>
    <col min="5116" max="5116" width="20.6640625" style="58" customWidth="1"/>
    <col min="5117" max="5117" width="48.44140625" style="58" customWidth="1"/>
    <col min="5118" max="5118" width="25.33203125" style="58" customWidth="1"/>
    <col min="5119" max="5119" width="20" style="58" customWidth="1"/>
    <col min="5120" max="5120" width="15" style="58" customWidth="1"/>
    <col min="5121" max="5121" width="17.5546875" style="58" customWidth="1"/>
    <col min="5122" max="5122" width="24" style="58" customWidth="1"/>
    <col min="5123" max="5123" width="25.33203125" style="58" customWidth="1"/>
    <col min="5124" max="5124" width="18.88671875" style="58" customWidth="1"/>
    <col min="5125" max="5371" width="8.88671875" style="58"/>
    <col min="5372" max="5372" width="20.6640625" style="58" customWidth="1"/>
    <col min="5373" max="5373" width="48.44140625" style="58" customWidth="1"/>
    <col min="5374" max="5374" width="25.33203125" style="58" customWidth="1"/>
    <col min="5375" max="5375" width="20" style="58" customWidth="1"/>
    <col min="5376" max="5376" width="15" style="58" customWidth="1"/>
    <col min="5377" max="5377" width="17.5546875" style="58" customWidth="1"/>
    <col min="5378" max="5378" width="24" style="58" customWidth="1"/>
    <col min="5379" max="5379" width="25.33203125" style="58" customWidth="1"/>
    <col min="5380" max="5380" width="18.88671875" style="58" customWidth="1"/>
    <col min="5381" max="5627" width="8.88671875" style="58"/>
    <col min="5628" max="5628" width="20.6640625" style="58" customWidth="1"/>
    <col min="5629" max="5629" width="48.44140625" style="58" customWidth="1"/>
    <col min="5630" max="5630" width="25.33203125" style="58" customWidth="1"/>
    <col min="5631" max="5631" width="20" style="58" customWidth="1"/>
    <col min="5632" max="5632" width="15" style="58" customWidth="1"/>
    <col min="5633" max="5633" width="17.5546875" style="58" customWidth="1"/>
    <col min="5634" max="5634" width="24" style="58" customWidth="1"/>
    <col min="5635" max="5635" width="25.33203125" style="58" customWidth="1"/>
    <col min="5636" max="5636" width="18.88671875" style="58" customWidth="1"/>
    <col min="5637" max="5883" width="8.88671875" style="58"/>
    <col min="5884" max="5884" width="20.6640625" style="58" customWidth="1"/>
    <col min="5885" max="5885" width="48.44140625" style="58" customWidth="1"/>
    <col min="5886" max="5886" width="25.33203125" style="58" customWidth="1"/>
    <col min="5887" max="5887" width="20" style="58" customWidth="1"/>
    <col min="5888" max="5888" width="15" style="58" customWidth="1"/>
    <col min="5889" max="5889" width="17.5546875" style="58" customWidth="1"/>
    <col min="5890" max="5890" width="24" style="58" customWidth="1"/>
    <col min="5891" max="5891" width="25.33203125" style="58" customWidth="1"/>
    <col min="5892" max="5892" width="18.88671875" style="58" customWidth="1"/>
    <col min="5893" max="6139" width="8.88671875" style="58"/>
    <col min="6140" max="6140" width="20.6640625" style="58" customWidth="1"/>
    <col min="6141" max="6141" width="48.44140625" style="58" customWidth="1"/>
    <col min="6142" max="6142" width="25.33203125" style="58" customWidth="1"/>
    <col min="6143" max="6143" width="20" style="58" customWidth="1"/>
    <col min="6144" max="6144" width="15" style="58" customWidth="1"/>
    <col min="6145" max="6145" width="17.5546875" style="58" customWidth="1"/>
    <col min="6146" max="6146" width="24" style="58" customWidth="1"/>
    <col min="6147" max="6147" width="25.33203125" style="58" customWidth="1"/>
    <col min="6148" max="6148" width="18.88671875" style="58" customWidth="1"/>
    <col min="6149" max="6395" width="8.88671875" style="58"/>
    <col min="6396" max="6396" width="20.6640625" style="58" customWidth="1"/>
    <col min="6397" max="6397" width="48.44140625" style="58" customWidth="1"/>
    <col min="6398" max="6398" width="25.33203125" style="58" customWidth="1"/>
    <col min="6399" max="6399" width="20" style="58" customWidth="1"/>
    <col min="6400" max="6400" width="15" style="58" customWidth="1"/>
    <col min="6401" max="6401" width="17.5546875" style="58" customWidth="1"/>
    <col min="6402" max="6402" width="24" style="58" customWidth="1"/>
    <col min="6403" max="6403" width="25.33203125" style="58" customWidth="1"/>
    <col min="6404" max="6404" width="18.88671875" style="58" customWidth="1"/>
    <col min="6405" max="6651" width="8.88671875" style="58"/>
    <col min="6652" max="6652" width="20.6640625" style="58" customWidth="1"/>
    <col min="6653" max="6653" width="48.44140625" style="58" customWidth="1"/>
    <col min="6654" max="6654" width="25.33203125" style="58" customWidth="1"/>
    <col min="6655" max="6655" width="20" style="58" customWidth="1"/>
    <col min="6656" max="6656" width="15" style="58" customWidth="1"/>
    <col min="6657" max="6657" width="17.5546875" style="58" customWidth="1"/>
    <col min="6658" max="6658" width="24" style="58" customWidth="1"/>
    <col min="6659" max="6659" width="25.33203125" style="58" customWidth="1"/>
    <col min="6660" max="6660" width="18.88671875" style="58" customWidth="1"/>
    <col min="6661" max="6907" width="8.88671875" style="58"/>
    <col min="6908" max="6908" width="20.6640625" style="58" customWidth="1"/>
    <col min="6909" max="6909" width="48.44140625" style="58" customWidth="1"/>
    <col min="6910" max="6910" width="25.33203125" style="58" customWidth="1"/>
    <col min="6911" max="6911" width="20" style="58" customWidth="1"/>
    <col min="6912" max="6912" width="15" style="58" customWidth="1"/>
    <col min="6913" max="6913" width="17.5546875" style="58" customWidth="1"/>
    <col min="6914" max="6914" width="24" style="58" customWidth="1"/>
    <col min="6915" max="6915" width="25.33203125" style="58" customWidth="1"/>
    <col min="6916" max="6916" width="18.88671875" style="58" customWidth="1"/>
    <col min="6917" max="7163" width="8.88671875" style="58"/>
    <col min="7164" max="7164" width="20.6640625" style="58" customWidth="1"/>
    <col min="7165" max="7165" width="48.44140625" style="58" customWidth="1"/>
    <col min="7166" max="7166" width="25.33203125" style="58" customWidth="1"/>
    <col min="7167" max="7167" width="20" style="58" customWidth="1"/>
    <col min="7168" max="7168" width="15" style="58" customWidth="1"/>
    <col min="7169" max="7169" width="17.5546875" style="58" customWidth="1"/>
    <col min="7170" max="7170" width="24" style="58" customWidth="1"/>
    <col min="7171" max="7171" width="25.33203125" style="58" customWidth="1"/>
    <col min="7172" max="7172" width="18.88671875" style="58" customWidth="1"/>
    <col min="7173" max="7419" width="8.88671875" style="58"/>
    <col min="7420" max="7420" width="20.6640625" style="58" customWidth="1"/>
    <col min="7421" max="7421" width="48.44140625" style="58" customWidth="1"/>
    <col min="7422" max="7422" width="25.33203125" style="58" customWidth="1"/>
    <col min="7423" max="7423" width="20" style="58" customWidth="1"/>
    <col min="7424" max="7424" width="15" style="58" customWidth="1"/>
    <col min="7425" max="7425" width="17.5546875" style="58" customWidth="1"/>
    <col min="7426" max="7426" width="24" style="58" customWidth="1"/>
    <col min="7427" max="7427" width="25.33203125" style="58" customWidth="1"/>
    <col min="7428" max="7428" width="18.88671875" style="58" customWidth="1"/>
    <col min="7429" max="7675" width="8.88671875" style="58"/>
    <col min="7676" max="7676" width="20.6640625" style="58" customWidth="1"/>
    <col min="7677" max="7677" width="48.44140625" style="58" customWidth="1"/>
    <col min="7678" max="7678" width="25.33203125" style="58" customWidth="1"/>
    <col min="7679" max="7679" width="20" style="58" customWidth="1"/>
    <col min="7680" max="7680" width="15" style="58" customWidth="1"/>
    <col min="7681" max="7681" width="17.5546875" style="58" customWidth="1"/>
    <col min="7682" max="7682" width="24" style="58" customWidth="1"/>
    <col min="7683" max="7683" width="25.33203125" style="58" customWidth="1"/>
    <col min="7684" max="7684" width="18.88671875" style="58" customWidth="1"/>
    <col min="7685" max="7931" width="8.88671875" style="58"/>
    <col min="7932" max="7932" width="20.6640625" style="58" customWidth="1"/>
    <col min="7933" max="7933" width="48.44140625" style="58" customWidth="1"/>
    <col min="7934" max="7934" width="25.33203125" style="58" customWidth="1"/>
    <col min="7935" max="7935" width="20" style="58" customWidth="1"/>
    <col min="7936" max="7936" width="15" style="58" customWidth="1"/>
    <col min="7937" max="7937" width="17.5546875" style="58" customWidth="1"/>
    <col min="7938" max="7938" width="24" style="58" customWidth="1"/>
    <col min="7939" max="7939" width="25.33203125" style="58" customWidth="1"/>
    <col min="7940" max="7940" width="18.88671875" style="58" customWidth="1"/>
    <col min="7941" max="8187" width="8.88671875" style="58"/>
    <col min="8188" max="8188" width="20.6640625" style="58" customWidth="1"/>
    <col min="8189" max="8189" width="48.44140625" style="58" customWidth="1"/>
    <col min="8190" max="8190" width="25.33203125" style="58" customWidth="1"/>
    <col min="8191" max="8191" width="20" style="58" customWidth="1"/>
    <col min="8192" max="8192" width="15" style="58" customWidth="1"/>
    <col min="8193" max="8193" width="17.5546875" style="58" customWidth="1"/>
    <col min="8194" max="8194" width="24" style="58" customWidth="1"/>
    <col min="8195" max="8195" width="25.33203125" style="58" customWidth="1"/>
    <col min="8196" max="8196" width="18.88671875" style="58" customWidth="1"/>
    <col min="8197" max="8443" width="8.88671875" style="58"/>
    <col min="8444" max="8444" width="20.6640625" style="58" customWidth="1"/>
    <col min="8445" max="8445" width="48.44140625" style="58" customWidth="1"/>
    <col min="8446" max="8446" width="25.33203125" style="58" customWidth="1"/>
    <col min="8447" max="8447" width="20" style="58" customWidth="1"/>
    <col min="8448" max="8448" width="15" style="58" customWidth="1"/>
    <col min="8449" max="8449" width="17.5546875" style="58" customWidth="1"/>
    <col min="8450" max="8450" width="24" style="58" customWidth="1"/>
    <col min="8451" max="8451" width="25.33203125" style="58" customWidth="1"/>
    <col min="8452" max="8452" width="18.88671875" style="58" customWidth="1"/>
    <col min="8453" max="8699" width="8.88671875" style="58"/>
    <col min="8700" max="8700" width="20.6640625" style="58" customWidth="1"/>
    <col min="8701" max="8701" width="48.44140625" style="58" customWidth="1"/>
    <col min="8702" max="8702" width="25.33203125" style="58" customWidth="1"/>
    <col min="8703" max="8703" width="20" style="58" customWidth="1"/>
    <col min="8704" max="8704" width="15" style="58" customWidth="1"/>
    <col min="8705" max="8705" width="17.5546875" style="58" customWidth="1"/>
    <col min="8706" max="8706" width="24" style="58" customWidth="1"/>
    <col min="8707" max="8707" width="25.33203125" style="58" customWidth="1"/>
    <col min="8708" max="8708" width="18.88671875" style="58" customWidth="1"/>
    <col min="8709" max="8955" width="8.88671875" style="58"/>
    <col min="8956" max="8956" width="20.6640625" style="58" customWidth="1"/>
    <col min="8957" max="8957" width="48.44140625" style="58" customWidth="1"/>
    <col min="8958" max="8958" width="25.33203125" style="58" customWidth="1"/>
    <col min="8959" max="8959" width="20" style="58" customWidth="1"/>
    <col min="8960" max="8960" width="15" style="58" customWidth="1"/>
    <col min="8961" max="8961" width="17.5546875" style="58" customWidth="1"/>
    <col min="8962" max="8962" width="24" style="58" customWidth="1"/>
    <col min="8963" max="8963" width="25.33203125" style="58" customWidth="1"/>
    <col min="8964" max="8964" width="18.88671875" style="58" customWidth="1"/>
    <col min="8965" max="9211" width="8.88671875" style="58"/>
    <col min="9212" max="9212" width="20.6640625" style="58" customWidth="1"/>
    <col min="9213" max="9213" width="48.44140625" style="58" customWidth="1"/>
    <col min="9214" max="9214" width="25.33203125" style="58" customWidth="1"/>
    <col min="9215" max="9215" width="20" style="58" customWidth="1"/>
    <col min="9216" max="9216" width="15" style="58" customWidth="1"/>
    <col min="9217" max="9217" width="17.5546875" style="58" customWidth="1"/>
    <col min="9218" max="9218" width="24" style="58" customWidth="1"/>
    <col min="9219" max="9219" width="25.33203125" style="58" customWidth="1"/>
    <col min="9220" max="9220" width="18.88671875" style="58" customWidth="1"/>
    <col min="9221" max="9467" width="8.88671875" style="58"/>
    <col min="9468" max="9468" width="20.6640625" style="58" customWidth="1"/>
    <col min="9469" max="9469" width="48.44140625" style="58" customWidth="1"/>
    <col min="9470" max="9470" width="25.33203125" style="58" customWidth="1"/>
    <col min="9471" max="9471" width="20" style="58" customWidth="1"/>
    <col min="9472" max="9472" width="15" style="58" customWidth="1"/>
    <col min="9473" max="9473" width="17.5546875" style="58" customWidth="1"/>
    <col min="9474" max="9474" width="24" style="58" customWidth="1"/>
    <col min="9475" max="9475" width="25.33203125" style="58" customWidth="1"/>
    <col min="9476" max="9476" width="18.88671875" style="58" customWidth="1"/>
    <col min="9477" max="9723" width="8.88671875" style="58"/>
    <col min="9724" max="9724" width="20.6640625" style="58" customWidth="1"/>
    <col min="9725" max="9725" width="48.44140625" style="58" customWidth="1"/>
    <col min="9726" max="9726" width="25.33203125" style="58" customWidth="1"/>
    <col min="9727" max="9727" width="20" style="58" customWidth="1"/>
    <col min="9728" max="9728" width="15" style="58" customWidth="1"/>
    <col min="9729" max="9729" width="17.5546875" style="58" customWidth="1"/>
    <col min="9730" max="9730" width="24" style="58" customWidth="1"/>
    <col min="9731" max="9731" width="25.33203125" style="58" customWidth="1"/>
    <col min="9732" max="9732" width="18.88671875" style="58" customWidth="1"/>
    <col min="9733" max="9979" width="8.88671875" style="58"/>
    <col min="9980" max="9980" width="20.6640625" style="58" customWidth="1"/>
    <col min="9981" max="9981" width="48.44140625" style="58" customWidth="1"/>
    <col min="9982" max="9982" width="25.33203125" style="58" customWidth="1"/>
    <col min="9983" max="9983" width="20" style="58" customWidth="1"/>
    <col min="9984" max="9984" width="15" style="58" customWidth="1"/>
    <col min="9985" max="9985" width="17.5546875" style="58" customWidth="1"/>
    <col min="9986" max="9986" width="24" style="58" customWidth="1"/>
    <col min="9987" max="9987" width="25.33203125" style="58" customWidth="1"/>
    <col min="9988" max="9988" width="18.88671875" style="58" customWidth="1"/>
    <col min="9989" max="10235" width="8.88671875" style="58"/>
    <col min="10236" max="10236" width="20.6640625" style="58" customWidth="1"/>
    <col min="10237" max="10237" width="48.44140625" style="58" customWidth="1"/>
    <col min="10238" max="10238" width="25.33203125" style="58" customWidth="1"/>
    <col min="10239" max="10239" width="20" style="58" customWidth="1"/>
    <col min="10240" max="10240" width="15" style="58" customWidth="1"/>
    <col min="10241" max="10241" width="17.5546875" style="58" customWidth="1"/>
    <col min="10242" max="10242" width="24" style="58" customWidth="1"/>
    <col min="10243" max="10243" width="25.33203125" style="58" customWidth="1"/>
    <col min="10244" max="10244" width="18.88671875" style="58" customWidth="1"/>
    <col min="10245" max="10491" width="8.88671875" style="58"/>
    <col min="10492" max="10492" width="20.6640625" style="58" customWidth="1"/>
    <col min="10493" max="10493" width="48.44140625" style="58" customWidth="1"/>
    <col min="10494" max="10494" width="25.33203125" style="58" customWidth="1"/>
    <col min="10495" max="10495" width="20" style="58" customWidth="1"/>
    <col min="10496" max="10496" width="15" style="58" customWidth="1"/>
    <col min="10497" max="10497" width="17.5546875" style="58" customWidth="1"/>
    <col min="10498" max="10498" width="24" style="58" customWidth="1"/>
    <col min="10499" max="10499" width="25.33203125" style="58" customWidth="1"/>
    <col min="10500" max="10500" width="18.88671875" style="58" customWidth="1"/>
    <col min="10501" max="10747" width="8.88671875" style="58"/>
    <col min="10748" max="10748" width="20.6640625" style="58" customWidth="1"/>
    <col min="10749" max="10749" width="48.44140625" style="58" customWidth="1"/>
    <col min="10750" max="10750" width="25.33203125" style="58" customWidth="1"/>
    <col min="10751" max="10751" width="20" style="58" customWidth="1"/>
    <col min="10752" max="10752" width="15" style="58" customWidth="1"/>
    <col min="10753" max="10753" width="17.5546875" style="58" customWidth="1"/>
    <col min="10754" max="10754" width="24" style="58" customWidth="1"/>
    <col min="10755" max="10755" width="25.33203125" style="58" customWidth="1"/>
    <col min="10756" max="10756" width="18.88671875" style="58" customWidth="1"/>
    <col min="10757" max="11003" width="8.88671875" style="58"/>
    <col min="11004" max="11004" width="20.6640625" style="58" customWidth="1"/>
    <col min="11005" max="11005" width="48.44140625" style="58" customWidth="1"/>
    <col min="11006" max="11006" width="25.33203125" style="58" customWidth="1"/>
    <col min="11007" max="11007" width="20" style="58" customWidth="1"/>
    <col min="11008" max="11008" width="15" style="58" customWidth="1"/>
    <col min="11009" max="11009" width="17.5546875" style="58" customWidth="1"/>
    <col min="11010" max="11010" width="24" style="58" customWidth="1"/>
    <col min="11011" max="11011" width="25.33203125" style="58" customWidth="1"/>
    <col min="11012" max="11012" width="18.88671875" style="58" customWidth="1"/>
    <col min="11013" max="11259" width="8.88671875" style="58"/>
    <col min="11260" max="11260" width="20.6640625" style="58" customWidth="1"/>
    <col min="11261" max="11261" width="48.44140625" style="58" customWidth="1"/>
    <col min="11262" max="11262" width="25.33203125" style="58" customWidth="1"/>
    <col min="11263" max="11263" width="20" style="58" customWidth="1"/>
    <col min="11264" max="11264" width="15" style="58" customWidth="1"/>
    <col min="11265" max="11265" width="17.5546875" style="58" customWidth="1"/>
    <col min="11266" max="11266" width="24" style="58" customWidth="1"/>
    <col min="11267" max="11267" width="25.33203125" style="58" customWidth="1"/>
    <col min="11268" max="11268" width="18.88671875" style="58" customWidth="1"/>
    <col min="11269" max="11515" width="8.88671875" style="58"/>
    <col min="11516" max="11516" width="20.6640625" style="58" customWidth="1"/>
    <col min="11517" max="11517" width="48.44140625" style="58" customWidth="1"/>
    <col min="11518" max="11518" width="25.33203125" style="58" customWidth="1"/>
    <col min="11519" max="11519" width="20" style="58" customWidth="1"/>
    <col min="11520" max="11520" width="15" style="58" customWidth="1"/>
    <col min="11521" max="11521" width="17.5546875" style="58" customWidth="1"/>
    <col min="11522" max="11522" width="24" style="58" customWidth="1"/>
    <col min="11523" max="11523" width="25.33203125" style="58" customWidth="1"/>
    <col min="11524" max="11524" width="18.88671875" style="58" customWidth="1"/>
    <col min="11525" max="11771" width="8.88671875" style="58"/>
    <col min="11772" max="11772" width="20.6640625" style="58" customWidth="1"/>
    <col min="11773" max="11773" width="48.44140625" style="58" customWidth="1"/>
    <col min="11774" max="11774" width="25.33203125" style="58" customWidth="1"/>
    <col min="11775" max="11775" width="20" style="58" customWidth="1"/>
    <col min="11776" max="11776" width="15" style="58" customWidth="1"/>
    <col min="11777" max="11777" width="17.5546875" style="58" customWidth="1"/>
    <col min="11778" max="11778" width="24" style="58" customWidth="1"/>
    <col min="11779" max="11779" width="25.33203125" style="58" customWidth="1"/>
    <col min="11780" max="11780" width="18.88671875" style="58" customWidth="1"/>
    <col min="11781" max="12027" width="8.88671875" style="58"/>
    <col min="12028" max="12028" width="20.6640625" style="58" customWidth="1"/>
    <col min="12029" max="12029" width="48.44140625" style="58" customWidth="1"/>
    <col min="12030" max="12030" width="25.33203125" style="58" customWidth="1"/>
    <col min="12031" max="12031" width="20" style="58" customWidth="1"/>
    <col min="12032" max="12032" width="15" style="58" customWidth="1"/>
    <col min="12033" max="12033" width="17.5546875" style="58" customWidth="1"/>
    <col min="12034" max="12034" width="24" style="58" customWidth="1"/>
    <col min="12035" max="12035" width="25.33203125" style="58" customWidth="1"/>
    <col min="12036" max="12036" width="18.88671875" style="58" customWidth="1"/>
    <col min="12037" max="12283" width="8.88671875" style="58"/>
    <col min="12284" max="12284" width="20.6640625" style="58" customWidth="1"/>
    <col min="12285" max="12285" width="48.44140625" style="58" customWidth="1"/>
    <col min="12286" max="12286" width="25.33203125" style="58" customWidth="1"/>
    <col min="12287" max="12287" width="20" style="58" customWidth="1"/>
    <col min="12288" max="12288" width="15" style="58" customWidth="1"/>
    <col min="12289" max="12289" width="17.5546875" style="58" customWidth="1"/>
    <col min="12290" max="12290" width="24" style="58" customWidth="1"/>
    <col min="12291" max="12291" width="25.33203125" style="58" customWidth="1"/>
    <col min="12292" max="12292" width="18.88671875" style="58" customWidth="1"/>
    <col min="12293" max="12539" width="8.88671875" style="58"/>
    <col min="12540" max="12540" width="20.6640625" style="58" customWidth="1"/>
    <col min="12541" max="12541" width="48.44140625" style="58" customWidth="1"/>
    <col min="12542" max="12542" width="25.33203125" style="58" customWidth="1"/>
    <col min="12543" max="12543" width="20" style="58" customWidth="1"/>
    <col min="12544" max="12544" width="15" style="58" customWidth="1"/>
    <col min="12545" max="12545" width="17.5546875" style="58" customWidth="1"/>
    <col min="12546" max="12546" width="24" style="58" customWidth="1"/>
    <col min="12547" max="12547" width="25.33203125" style="58" customWidth="1"/>
    <col min="12548" max="12548" width="18.88671875" style="58" customWidth="1"/>
    <col min="12549" max="12795" width="8.88671875" style="58"/>
    <col min="12796" max="12796" width="20.6640625" style="58" customWidth="1"/>
    <col min="12797" max="12797" width="48.44140625" style="58" customWidth="1"/>
    <col min="12798" max="12798" width="25.33203125" style="58" customWidth="1"/>
    <col min="12799" max="12799" width="20" style="58" customWidth="1"/>
    <col min="12800" max="12800" width="15" style="58" customWidth="1"/>
    <col min="12801" max="12801" width="17.5546875" style="58" customWidth="1"/>
    <col min="12802" max="12802" width="24" style="58" customWidth="1"/>
    <col min="12803" max="12803" width="25.33203125" style="58" customWidth="1"/>
    <col min="12804" max="12804" width="18.88671875" style="58" customWidth="1"/>
    <col min="12805" max="13051" width="8.88671875" style="58"/>
    <col min="13052" max="13052" width="20.6640625" style="58" customWidth="1"/>
    <col min="13053" max="13053" width="48.44140625" style="58" customWidth="1"/>
    <col min="13054" max="13054" width="25.33203125" style="58" customWidth="1"/>
    <col min="13055" max="13055" width="20" style="58" customWidth="1"/>
    <col min="13056" max="13056" width="15" style="58" customWidth="1"/>
    <col min="13057" max="13057" width="17.5546875" style="58" customWidth="1"/>
    <col min="13058" max="13058" width="24" style="58" customWidth="1"/>
    <col min="13059" max="13059" width="25.33203125" style="58" customWidth="1"/>
    <col min="13060" max="13060" width="18.88671875" style="58" customWidth="1"/>
    <col min="13061" max="13307" width="8.88671875" style="58"/>
    <col min="13308" max="13308" width="20.6640625" style="58" customWidth="1"/>
    <col min="13309" max="13309" width="48.44140625" style="58" customWidth="1"/>
    <col min="13310" max="13310" width="25.33203125" style="58" customWidth="1"/>
    <col min="13311" max="13311" width="20" style="58" customWidth="1"/>
    <col min="13312" max="13312" width="15" style="58" customWidth="1"/>
    <col min="13313" max="13313" width="17.5546875" style="58" customWidth="1"/>
    <col min="13314" max="13314" width="24" style="58" customWidth="1"/>
    <col min="13315" max="13315" width="25.33203125" style="58" customWidth="1"/>
    <col min="13316" max="13316" width="18.88671875" style="58" customWidth="1"/>
    <col min="13317" max="13563" width="8.88671875" style="58"/>
    <col min="13564" max="13564" width="20.6640625" style="58" customWidth="1"/>
    <col min="13565" max="13565" width="48.44140625" style="58" customWidth="1"/>
    <col min="13566" max="13566" width="25.33203125" style="58" customWidth="1"/>
    <col min="13567" max="13567" width="20" style="58" customWidth="1"/>
    <col min="13568" max="13568" width="15" style="58" customWidth="1"/>
    <col min="13569" max="13569" width="17.5546875" style="58" customWidth="1"/>
    <col min="13570" max="13570" width="24" style="58" customWidth="1"/>
    <col min="13571" max="13571" width="25.33203125" style="58" customWidth="1"/>
    <col min="13572" max="13572" width="18.88671875" style="58" customWidth="1"/>
    <col min="13573" max="13819" width="8.88671875" style="58"/>
    <col min="13820" max="13820" width="20.6640625" style="58" customWidth="1"/>
    <col min="13821" max="13821" width="48.44140625" style="58" customWidth="1"/>
    <col min="13822" max="13822" width="25.33203125" style="58" customWidth="1"/>
    <col min="13823" max="13823" width="20" style="58" customWidth="1"/>
    <col min="13824" max="13824" width="15" style="58" customWidth="1"/>
    <col min="13825" max="13825" width="17.5546875" style="58" customWidth="1"/>
    <col min="13826" max="13826" width="24" style="58" customWidth="1"/>
    <col min="13827" max="13827" width="25.33203125" style="58" customWidth="1"/>
    <col min="13828" max="13828" width="18.88671875" style="58" customWidth="1"/>
    <col min="13829" max="14075" width="8.88671875" style="58"/>
    <col min="14076" max="14076" width="20.6640625" style="58" customWidth="1"/>
    <col min="14077" max="14077" width="48.44140625" style="58" customWidth="1"/>
    <col min="14078" max="14078" width="25.33203125" style="58" customWidth="1"/>
    <col min="14079" max="14079" width="20" style="58" customWidth="1"/>
    <col min="14080" max="14080" width="15" style="58" customWidth="1"/>
    <col min="14081" max="14081" width="17.5546875" style="58" customWidth="1"/>
    <col min="14082" max="14082" width="24" style="58" customWidth="1"/>
    <col min="14083" max="14083" width="25.33203125" style="58" customWidth="1"/>
    <col min="14084" max="14084" width="18.88671875" style="58" customWidth="1"/>
    <col min="14085" max="14331" width="8.88671875" style="58"/>
    <col min="14332" max="14332" width="20.6640625" style="58" customWidth="1"/>
    <col min="14333" max="14333" width="48.44140625" style="58" customWidth="1"/>
    <col min="14334" max="14334" width="25.33203125" style="58" customWidth="1"/>
    <col min="14335" max="14335" width="20" style="58" customWidth="1"/>
    <col min="14336" max="14336" width="15" style="58" customWidth="1"/>
    <col min="14337" max="14337" width="17.5546875" style="58" customWidth="1"/>
    <col min="14338" max="14338" width="24" style="58" customWidth="1"/>
    <col min="14339" max="14339" width="25.33203125" style="58" customWidth="1"/>
    <col min="14340" max="14340" width="18.88671875" style="58" customWidth="1"/>
    <col min="14341" max="14587" width="8.88671875" style="58"/>
    <col min="14588" max="14588" width="20.6640625" style="58" customWidth="1"/>
    <col min="14589" max="14589" width="48.44140625" style="58" customWidth="1"/>
    <col min="14590" max="14590" width="25.33203125" style="58" customWidth="1"/>
    <col min="14591" max="14591" width="20" style="58" customWidth="1"/>
    <col min="14592" max="14592" width="15" style="58" customWidth="1"/>
    <col min="14593" max="14593" width="17.5546875" style="58" customWidth="1"/>
    <col min="14594" max="14594" width="24" style="58" customWidth="1"/>
    <col min="14595" max="14595" width="25.33203125" style="58" customWidth="1"/>
    <col min="14596" max="14596" width="18.88671875" style="58" customWidth="1"/>
    <col min="14597" max="14843" width="8.88671875" style="58"/>
    <col min="14844" max="14844" width="20.6640625" style="58" customWidth="1"/>
    <col min="14845" max="14845" width="48.44140625" style="58" customWidth="1"/>
    <col min="14846" max="14846" width="25.33203125" style="58" customWidth="1"/>
    <col min="14847" max="14847" width="20" style="58" customWidth="1"/>
    <col min="14848" max="14848" width="15" style="58" customWidth="1"/>
    <col min="14849" max="14849" width="17.5546875" style="58" customWidth="1"/>
    <col min="14850" max="14850" width="24" style="58" customWidth="1"/>
    <col min="14851" max="14851" width="25.33203125" style="58" customWidth="1"/>
    <col min="14852" max="14852" width="18.88671875" style="58" customWidth="1"/>
    <col min="14853" max="15099" width="8.88671875" style="58"/>
    <col min="15100" max="15100" width="20.6640625" style="58" customWidth="1"/>
    <col min="15101" max="15101" width="48.44140625" style="58" customWidth="1"/>
    <col min="15102" max="15102" width="25.33203125" style="58" customWidth="1"/>
    <col min="15103" max="15103" width="20" style="58" customWidth="1"/>
    <col min="15104" max="15104" width="15" style="58" customWidth="1"/>
    <col min="15105" max="15105" width="17.5546875" style="58" customWidth="1"/>
    <col min="15106" max="15106" width="24" style="58" customWidth="1"/>
    <col min="15107" max="15107" width="25.33203125" style="58" customWidth="1"/>
    <col min="15108" max="15108" width="18.88671875" style="58" customWidth="1"/>
    <col min="15109" max="15355" width="8.88671875" style="58"/>
    <col min="15356" max="15356" width="20.6640625" style="58" customWidth="1"/>
    <col min="15357" max="15357" width="48.44140625" style="58" customWidth="1"/>
    <col min="15358" max="15358" width="25.33203125" style="58" customWidth="1"/>
    <col min="15359" max="15359" width="20" style="58" customWidth="1"/>
    <col min="15360" max="15360" width="15" style="58" customWidth="1"/>
    <col min="15361" max="15361" width="17.5546875" style="58" customWidth="1"/>
    <col min="15362" max="15362" width="24" style="58" customWidth="1"/>
    <col min="15363" max="15363" width="25.33203125" style="58" customWidth="1"/>
    <col min="15364" max="15364" width="18.88671875" style="58" customWidth="1"/>
    <col min="15365" max="15611" width="8.88671875" style="58"/>
    <col min="15612" max="15612" width="20.6640625" style="58" customWidth="1"/>
    <col min="15613" max="15613" width="48.44140625" style="58" customWidth="1"/>
    <col min="15614" max="15614" width="25.33203125" style="58" customWidth="1"/>
    <col min="15615" max="15615" width="20" style="58" customWidth="1"/>
    <col min="15616" max="15616" width="15" style="58" customWidth="1"/>
    <col min="15617" max="15617" width="17.5546875" style="58" customWidth="1"/>
    <col min="15618" max="15618" width="24" style="58" customWidth="1"/>
    <col min="15619" max="15619" width="25.33203125" style="58" customWidth="1"/>
    <col min="15620" max="15620" width="18.88671875" style="58" customWidth="1"/>
    <col min="15621" max="15867" width="8.88671875" style="58"/>
    <col min="15868" max="15868" width="20.6640625" style="58" customWidth="1"/>
    <col min="15869" max="15869" width="48.44140625" style="58" customWidth="1"/>
    <col min="15870" max="15870" width="25.33203125" style="58" customWidth="1"/>
    <col min="15871" max="15871" width="20" style="58" customWidth="1"/>
    <col min="15872" max="15872" width="15" style="58" customWidth="1"/>
    <col min="15873" max="15873" width="17.5546875" style="58" customWidth="1"/>
    <col min="15874" max="15874" width="24" style="58" customWidth="1"/>
    <col min="15875" max="15875" width="25.33203125" style="58" customWidth="1"/>
    <col min="15876" max="15876" width="18.88671875" style="58" customWidth="1"/>
    <col min="15877" max="16123" width="8.88671875" style="58"/>
    <col min="16124" max="16124" width="20.6640625" style="58" customWidth="1"/>
    <col min="16125" max="16125" width="48.44140625" style="58" customWidth="1"/>
    <col min="16126" max="16126" width="25.33203125" style="58" customWidth="1"/>
    <col min="16127" max="16127" width="20" style="58" customWidth="1"/>
    <col min="16128" max="16128" width="15" style="58" customWidth="1"/>
    <col min="16129" max="16129" width="17.5546875" style="58" customWidth="1"/>
    <col min="16130" max="16130" width="24" style="58" customWidth="1"/>
    <col min="16131" max="16131" width="25.33203125" style="58" customWidth="1"/>
    <col min="16132" max="16132" width="18.88671875" style="58" customWidth="1"/>
    <col min="16133" max="16384" width="8.88671875" style="58"/>
  </cols>
  <sheetData>
    <row r="1" spans="2:8" ht="16.2" thickBot="1">
      <c r="B1" s="242" t="s">
        <v>183</v>
      </c>
      <c r="C1" s="243"/>
      <c r="D1" s="243"/>
      <c r="E1" s="244"/>
      <c r="F1" s="245"/>
      <c r="G1" s="245"/>
      <c r="H1" s="245"/>
    </row>
    <row r="2" spans="2:8" ht="29.4" thickBot="1">
      <c r="B2" s="282" t="s">
        <v>0</v>
      </c>
      <c r="C2" s="283" t="s">
        <v>1</v>
      </c>
      <c r="D2" s="284" t="str">
        <f>Revenue!$C$1</f>
        <v>Estimated Inpatient Revenue (FY15*2.6%)</v>
      </c>
      <c r="E2" s="284" t="s">
        <v>253</v>
      </c>
      <c r="F2" s="284" t="s">
        <v>252</v>
      </c>
      <c r="G2" s="285" t="s">
        <v>251</v>
      </c>
      <c r="H2" s="245"/>
    </row>
    <row r="3" spans="2:8">
      <c r="B3" s="287" t="s">
        <v>233</v>
      </c>
      <c r="C3" s="286" t="s">
        <v>234</v>
      </c>
      <c r="D3" s="286" t="s">
        <v>235</v>
      </c>
      <c r="E3" s="292" t="s">
        <v>236</v>
      </c>
      <c r="F3" s="297" t="s">
        <v>237</v>
      </c>
      <c r="G3" s="298" t="s">
        <v>268</v>
      </c>
      <c r="H3" s="245"/>
    </row>
    <row r="4" spans="2:8">
      <c r="B4" s="246">
        <v>210062</v>
      </c>
      <c r="C4" s="247" t="s">
        <v>2</v>
      </c>
      <c r="D4" s="248">
        <f>VLOOKUP(B4,Revenue!$A$2:$C$47,3,0)</f>
        <v>163208213.46317798</v>
      </c>
      <c r="E4" s="293">
        <v>4.9999999999999996E-2</v>
      </c>
      <c r="F4" s="299">
        <f>'1.Aggregate Summary'!B7</f>
        <v>-0.02</v>
      </c>
      <c r="G4" s="290">
        <f t="shared" ref="G4:G46" si="0">D4*F4</f>
        <v>-3264164.2692635595</v>
      </c>
      <c r="H4" s="245"/>
    </row>
    <row r="5" spans="2:8">
      <c r="B5" s="249">
        <v>210003</v>
      </c>
      <c r="C5" s="250" t="s">
        <v>3</v>
      </c>
      <c r="D5" s="251">
        <f>VLOOKUP(B5,Revenue!$A$2:$C$47,3,0)</f>
        <v>177243165.22063905</v>
      </c>
      <c r="E5" s="294">
        <v>0.11</v>
      </c>
      <c r="F5" s="300">
        <f t="shared" ref="F5:F24" si="1">$F$4- ((E5-$E$48)*($F$4/($E$49-$E$48)))</f>
        <v>-1.6812139373266602E-2</v>
      </c>
      <c r="G5" s="291">
        <f t="shared" si="0"/>
        <v>-2979836.7966483035</v>
      </c>
      <c r="H5" s="245"/>
    </row>
    <row r="6" spans="2:8">
      <c r="B6" s="249">
        <v>210048</v>
      </c>
      <c r="C6" s="250" t="s">
        <v>4</v>
      </c>
      <c r="D6" s="251">
        <f>VLOOKUP(B6,Revenue!$A$2:$C$47,3,0)</f>
        <v>167386496.75761572</v>
      </c>
      <c r="E6" s="294">
        <v>0.23</v>
      </c>
      <c r="F6" s="300">
        <f t="shared" si="1"/>
        <v>-1.0436418119799803E-2</v>
      </c>
      <c r="G6" s="291">
        <f t="shared" si="0"/>
        <v>-1746915.4677709916</v>
      </c>
      <c r="H6" s="245"/>
    </row>
    <row r="7" spans="2:8">
      <c r="B7" s="249">
        <v>210013</v>
      </c>
      <c r="C7" s="250" t="s">
        <v>5</v>
      </c>
      <c r="D7" s="251">
        <f>VLOOKUP(B7,Revenue!$A$2:$C$47,3,0)</f>
        <v>78212787.330636472</v>
      </c>
      <c r="E7" s="294">
        <v>0.25071599999999999</v>
      </c>
      <c r="F7" s="300">
        <f t="shared" si="1"/>
        <v>-9.335756107409653E-3</v>
      </c>
      <c r="G7" s="291">
        <f t="shared" si="0"/>
        <v>-730175.50699952175</v>
      </c>
      <c r="H7" s="245"/>
    </row>
    <row r="8" spans="2:8">
      <c r="B8" s="249">
        <v>210019</v>
      </c>
      <c r="C8" s="250" t="s">
        <v>6</v>
      </c>
      <c r="D8" s="251">
        <f>VLOOKUP(B8,Revenue!$A$2:$C$47,3,0)</f>
        <v>233728496.38738936</v>
      </c>
      <c r="E8" s="294">
        <v>0.26888800000000002</v>
      </c>
      <c r="F8" s="300">
        <f t="shared" si="1"/>
        <v>-8.3702593855929965E-3</v>
      </c>
      <c r="G8" s="291">
        <f t="shared" si="0"/>
        <v>-1956368.1405670845</v>
      </c>
      <c r="H8" s="245"/>
    </row>
    <row r="9" spans="2:8">
      <c r="B9" s="249">
        <v>210044</v>
      </c>
      <c r="C9" s="250" t="s">
        <v>7</v>
      </c>
      <c r="D9" s="251">
        <f>VLOOKUP(B9,Revenue!$A$2:$C$47,3,0)</f>
        <v>201533345.32362995</v>
      </c>
      <c r="E9" s="294">
        <v>0.27857200000000004</v>
      </c>
      <c r="F9" s="300">
        <f t="shared" si="1"/>
        <v>-7.8557386804382241E-3</v>
      </c>
      <c r="G9" s="291">
        <f t="shared" si="0"/>
        <v>-1583193.2962569536</v>
      </c>
      <c r="H9" s="245"/>
    </row>
    <row r="10" spans="2:8">
      <c r="B10" s="249">
        <v>210029</v>
      </c>
      <c r="C10" s="250" t="s">
        <v>8</v>
      </c>
      <c r="D10" s="251">
        <f>VLOOKUP(B10,Revenue!$A$2:$C$47,3,0)</f>
        <v>356396901.46731883</v>
      </c>
      <c r="E10" s="294">
        <v>0.28499999999999998</v>
      </c>
      <c r="F10" s="300">
        <f t="shared" si="1"/>
        <v>-7.5142125452941893E-3</v>
      </c>
      <c r="G10" s="291">
        <f t="shared" si="0"/>
        <v>-2678042.0681097042</v>
      </c>
      <c r="H10" s="245"/>
    </row>
    <row r="11" spans="2:8">
      <c r="B11" s="249">
        <v>210055</v>
      </c>
      <c r="C11" s="250" t="s">
        <v>9</v>
      </c>
      <c r="D11" s="251">
        <f>VLOOKUP(B11,Revenue!$A$2:$C$47,3,0)</f>
        <v>77501975.342135206</v>
      </c>
      <c r="E11" s="294">
        <v>0.29428399999999999</v>
      </c>
      <c r="F11" s="300">
        <f t="shared" si="1"/>
        <v>-7.0209442443176402E-3</v>
      </c>
      <c r="G11" s="291">
        <f t="shared" si="0"/>
        <v>-544137.04770161188</v>
      </c>
      <c r="H11" s="245"/>
    </row>
    <row r="12" spans="2:8">
      <c r="B12" s="249">
        <v>210060</v>
      </c>
      <c r="C12" s="250" t="s">
        <v>10</v>
      </c>
      <c r="D12" s="251">
        <f>VLOOKUP(B12,Revenue!$A$2:$C$47,3,0)</f>
        <v>17776133.449990414</v>
      </c>
      <c r="E12" s="294">
        <v>0.29499999999999998</v>
      </c>
      <c r="F12" s="300">
        <f t="shared" si="1"/>
        <v>-6.9829024408386217E-3</v>
      </c>
      <c r="G12" s="291">
        <f t="shared" si="0"/>
        <v>-124129.00565661113</v>
      </c>
      <c r="H12" s="245"/>
    </row>
    <row r="13" spans="2:8">
      <c r="B13" s="249">
        <v>210022</v>
      </c>
      <c r="C13" s="250" t="s">
        <v>11</v>
      </c>
      <c r="D13" s="251">
        <f>VLOOKUP(B13,Revenue!$A$2:$C$47,3,0)</f>
        <v>181410188.33315492</v>
      </c>
      <c r="E13" s="294">
        <v>0.31</v>
      </c>
      <c r="F13" s="300">
        <f t="shared" si="1"/>
        <v>-6.1859372841552712E-3</v>
      </c>
      <c r="G13" s="291">
        <f t="shared" si="0"/>
        <v>-1122192.0477356927</v>
      </c>
      <c r="H13" s="245"/>
    </row>
    <row r="14" spans="2:8">
      <c r="B14" s="249">
        <v>210001</v>
      </c>
      <c r="C14" s="250" t="s">
        <v>12</v>
      </c>
      <c r="D14" s="251">
        <f>VLOOKUP(B14,Revenue!$A$2:$C$47,3,0)</f>
        <v>187434496.6631088</v>
      </c>
      <c r="E14" s="294">
        <v>0.31000000000000005</v>
      </c>
      <c r="F14" s="300">
        <f t="shared" si="1"/>
        <v>-6.1859372841552695E-3</v>
      </c>
      <c r="G14" s="291">
        <f t="shared" si="0"/>
        <v>-1159458.0412452011</v>
      </c>
      <c r="H14" s="245"/>
    </row>
    <row r="15" spans="2:8">
      <c r="B15" s="249">
        <v>210040</v>
      </c>
      <c r="C15" s="250" t="s">
        <v>13</v>
      </c>
      <c r="D15" s="251">
        <f>VLOOKUP(B15,Revenue!$A$2:$C$47,3,0)</f>
        <v>142186717.48751882</v>
      </c>
      <c r="E15" s="294">
        <v>0.315716</v>
      </c>
      <c r="F15" s="300">
        <f t="shared" si="1"/>
        <v>-5.8822404284484698E-3</v>
      </c>
      <c r="G15" s="291">
        <f t="shared" si="0"/>
        <v>-836376.4579934642</v>
      </c>
      <c r="H15" s="245"/>
    </row>
    <row r="16" spans="2:8">
      <c r="B16" s="249">
        <v>210057</v>
      </c>
      <c r="C16" s="250" t="s">
        <v>14</v>
      </c>
      <c r="D16" s="251">
        <f>VLOOKUP(B16,Revenue!$A$2:$C$47,3,0)</f>
        <v>228731774.96088892</v>
      </c>
      <c r="E16" s="294">
        <v>0.32</v>
      </c>
      <c r="F16" s="300">
        <f t="shared" si="1"/>
        <v>-5.6546271796997054E-3</v>
      </c>
      <c r="G16" s="291">
        <f t="shared" si="0"/>
        <v>-1293392.9115547989</v>
      </c>
      <c r="H16" s="245"/>
    </row>
    <row r="17" spans="2:8">
      <c r="B17" s="249">
        <v>210018</v>
      </c>
      <c r="C17" s="250" t="s">
        <v>15</v>
      </c>
      <c r="D17" s="251">
        <f>VLOOKUP(B17,Revenue!$A$2:$C$47,3,0)</f>
        <v>87652208.15841648</v>
      </c>
      <c r="E17" s="294">
        <v>0.33499999999999996</v>
      </c>
      <c r="F17" s="300">
        <f t="shared" si="1"/>
        <v>-4.8576620230163566E-3</v>
      </c>
      <c r="G17" s="291">
        <f t="shared" si="0"/>
        <v>-425784.80280466418</v>
      </c>
      <c r="H17" s="245"/>
    </row>
    <row r="18" spans="2:8">
      <c r="B18" s="249">
        <v>210011</v>
      </c>
      <c r="C18" s="250" t="s">
        <v>16</v>
      </c>
      <c r="D18" s="251">
        <f>VLOOKUP(B18,Revenue!$A$2:$C$47,3,0)</f>
        <v>239121555.83864471</v>
      </c>
      <c r="E18" s="294">
        <v>0.33500000000000002</v>
      </c>
      <c r="F18" s="300">
        <f t="shared" si="1"/>
        <v>-4.8576620230163549E-3</v>
      </c>
      <c r="G18" s="291">
        <f t="shared" si="0"/>
        <v>-1161571.7006819691</v>
      </c>
      <c r="H18" s="245"/>
    </row>
    <row r="19" spans="2:8">
      <c r="B19" s="249">
        <v>210015</v>
      </c>
      <c r="C19" s="250" t="s">
        <v>17</v>
      </c>
      <c r="D19" s="251">
        <f>VLOOKUP(B19,Revenue!$A$2:$C$47,3,0)</f>
        <v>285691170.35922825</v>
      </c>
      <c r="E19" s="294">
        <v>0.34500000000000003</v>
      </c>
      <c r="F19" s="300">
        <f t="shared" si="1"/>
        <v>-4.326351918560789E-3</v>
      </c>
      <c r="G19" s="291">
        <f t="shared" si="0"/>
        <v>-1236000.5429995244</v>
      </c>
      <c r="H19" s="245"/>
    </row>
    <row r="20" spans="2:8">
      <c r="B20" s="249">
        <v>210016</v>
      </c>
      <c r="C20" s="250" t="s">
        <v>18</v>
      </c>
      <c r="D20" s="251">
        <f>VLOOKUP(B20,Revenue!$A$2:$C$47,3,0)</f>
        <v>161698669.47905135</v>
      </c>
      <c r="E20" s="294">
        <v>0.36722399999999999</v>
      </c>
      <c r="F20" s="300">
        <f t="shared" si="1"/>
        <v>-3.1455683424187371E-3</v>
      </c>
      <c r="G20" s="291">
        <f t="shared" si="0"/>
        <v>-508634.21572453482</v>
      </c>
      <c r="H20" s="245"/>
    </row>
    <row r="21" spans="2:8">
      <c r="B21" s="249">
        <v>210024</v>
      </c>
      <c r="C21" s="250" t="s">
        <v>19</v>
      </c>
      <c r="D21" s="251">
        <f>VLOOKUP(B21,Revenue!$A$2:$C$47,3,0)</f>
        <v>242505500.48554313</v>
      </c>
      <c r="E21" s="294">
        <v>0.374444</v>
      </c>
      <c r="F21" s="300">
        <f t="shared" si="1"/>
        <v>-2.7619624470018207E-3</v>
      </c>
      <c r="G21" s="291">
        <f t="shared" si="0"/>
        <v>-669791.08553245198</v>
      </c>
      <c r="H21" s="245"/>
    </row>
    <row r="22" spans="2:8">
      <c r="B22" s="249">
        <v>210033</v>
      </c>
      <c r="C22" s="250" t="s">
        <v>20</v>
      </c>
      <c r="D22" s="251">
        <f>VLOOKUP(B22,Revenue!$A$2:$C$47,3,0)</f>
        <v>138209278.26224214</v>
      </c>
      <c r="E22" s="294">
        <v>0.38</v>
      </c>
      <c r="F22" s="300">
        <f t="shared" si="1"/>
        <v>-2.4667665529663069E-3</v>
      </c>
      <c r="G22" s="291">
        <f t="shared" si="0"/>
        <v>-340930.02492691216</v>
      </c>
      <c r="H22" s="245"/>
    </row>
    <row r="23" spans="2:8">
      <c r="B23" s="249">
        <v>210004</v>
      </c>
      <c r="C23" s="250" t="s">
        <v>21</v>
      </c>
      <c r="D23" s="251">
        <f>VLOOKUP(B23,Revenue!$A$2:$C$47,3,0)</f>
        <v>319596342.21781081</v>
      </c>
      <c r="E23" s="294">
        <v>0.4</v>
      </c>
      <c r="F23" s="300">
        <f t="shared" si="1"/>
        <v>-1.4041463440551717E-3</v>
      </c>
      <c r="G23" s="291">
        <f t="shared" si="0"/>
        <v>-448760.03549854457</v>
      </c>
      <c r="H23" s="245"/>
    </row>
    <row r="24" spans="2:8">
      <c r="B24" s="249">
        <v>210056</v>
      </c>
      <c r="C24" s="250" t="s">
        <v>22</v>
      </c>
      <c r="D24" s="251">
        <f>VLOOKUP(B24,Revenue!$A$2:$C$47,3,0)</f>
        <v>180861011.49427712</v>
      </c>
      <c r="E24" s="294">
        <v>0.40500000000000003</v>
      </c>
      <c r="F24" s="300">
        <f t="shared" si="1"/>
        <v>-1.1384912918273905E-3</v>
      </c>
      <c r="G24" s="291">
        <f t="shared" si="0"/>
        <v>-205908.68661732809</v>
      </c>
      <c r="H24" s="245"/>
    </row>
    <row r="25" spans="2:8">
      <c r="B25" s="249">
        <v>210061</v>
      </c>
      <c r="C25" s="250" t="s">
        <v>23</v>
      </c>
      <c r="D25" s="251">
        <f>VLOOKUP(B25,Revenue!$A$2:$C$47,3,0)</f>
        <v>38640762.060988352</v>
      </c>
      <c r="E25" s="294">
        <v>0.42642800000000003</v>
      </c>
      <c r="F25" s="301">
        <f>'1.Aggregate Summary'!$C$7- ((E25-$E$50)*('1.Aggregate Summary'!$C$7/($E$49-$E$50)))</f>
        <v>0</v>
      </c>
      <c r="G25" s="288">
        <f t="shared" si="0"/>
        <v>0</v>
      </c>
      <c r="H25" s="245"/>
    </row>
    <row r="26" spans="2:8">
      <c r="B26" s="249">
        <v>210012</v>
      </c>
      <c r="C26" s="250" t="s">
        <v>24</v>
      </c>
      <c r="D26" s="251">
        <f>VLOOKUP(B26,Revenue!$A$2:$C$47,3,0)</f>
        <v>429154678.73181057</v>
      </c>
      <c r="E26" s="294">
        <v>0.44555600000000006</v>
      </c>
      <c r="F26" s="301">
        <f>'1.Aggregate Summary'!$C$7- ((E26-$E$50)*('1.Aggregate Summary'!$C$7/($E$49-$E$50)))</f>
        <v>7.0471727308899813E-4</v>
      </c>
      <c r="G26" s="288">
        <f t="shared" si="0"/>
        <v>302432.7149292666</v>
      </c>
      <c r="H26" s="245"/>
    </row>
    <row r="27" spans="2:8">
      <c r="B27" s="249">
        <v>210038</v>
      </c>
      <c r="C27" s="250" t="s">
        <v>25</v>
      </c>
      <c r="D27" s="251">
        <f>VLOOKUP(B27,Revenue!$A$2:$C$47,3,0)</f>
        <v>133787810.98689511</v>
      </c>
      <c r="E27" s="294">
        <v>0.45071600000000001</v>
      </c>
      <c r="F27" s="301">
        <f>'1.Aggregate Summary'!$C$7- ((E27-$E$50)*('1.Aggregate Summary'!$C$7/($E$49-$E$50)))</f>
        <v>8.9482293646933955E-4</v>
      </c>
      <c r="G27" s="288">
        <f t="shared" si="0"/>
        <v>119716.40189109846</v>
      </c>
      <c r="H27" s="245"/>
    </row>
    <row r="28" spans="2:8">
      <c r="B28" s="249">
        <v>210035</v>
      </c>
      <c r="C28" s="250" t="s">
        <v>26</v>
      </c>
      <c r="D28" s="251">
        <f>VLOOKUP(B28,Revenue!$A$2:$C$47,3,0)</f>
        <v>76338049.290417254</v>
      </c>
      <c r="E28" s="294">
        <v>0.45500000000000007</v>
      </c>
      <c r="F28" s="301">
        <f>'1.Aggregate Summary'!$C$7- ((E28-$E$50)*('1.Aggregate Summary'!$C$7/($E$49-$E$50)))</f>
        <v>1.0526548476944182E-3</v>
      </c>
      <c r="G28" s="288">
        <f t="shared" si="0"/>
        <v>80357.617649093168</v>
      </c>
      <c r="H28" s="245"/>
    </row>
    <row r="29" spans="2:8">
      <c r="B29" s="249">
        <v>210034</v>
      </c>
      <c r="C29" s="250" t="s">
        <v>27</v>
      </c>
      <c r="D29" s="251">
        <f>VLOOKUP(B29,Revenue!$A$2:$C$47,3,0)</f>
        <v>124002219.66514386</v>
      </c>
      <c r="E29" s="294">
        <v>0.46857199999999999</v>
      </c>
      <c r="F29" s="301">
        <f>'1.Aggregate Summary'!$C$7- ((E29-$E$50)*('1.Aggregate Summary'!$C$7/($E$49-$E$50)))</f>
        <v>1.5526769530041108E-3</v>
      </c>
      <c r="G29" s="288">
        <f t="shared" si="0"/>
        <v>192535.388595422</v>
      </c>
      <c r="H29" s="245"/>
    </row>
    <row r="30" spans="2:8">
      <c r="B30" s="249">
        <v>210032</v>
      </c>
      <c r="C30" s="250" t="s">
        <v>28</v>
      </c>
      <c r="D30" s="251">
        <f>VLOOKUP(B30,Revenue!$A$2:$C$47,3,0)</f>
        <v>67852188.547545061</v>
      </c>
      <c r="E30" s="294">
        <v>0.48214400000000002</v>
      </c>
      <c r="F30" s="301">
        <f>'1.Aggregate Summary'!$C$7- ((E30-$E$50)*('1.Aggregate Summary'!$C$7/($E$49-$E$50)))</f>
        <v>2.0526990583138068E-3</v>
      </c>
      <c r="G30" s="288">
        <f t="shared" si="0"/>
        <v>139280.1235360766</v>
      </c>
      <c r="H30" s="245"/>
    </row>
    <row r="31" spans="2:8">
      <c r="B31" s="249">
        <v>210002</v>
      </c>
      <c r="C31" s="250" t="s">
        <v>29</v>
      </c>
      <c r="D31" s="251">
        <f>VLOOKUP(B31,Revenue!$A$2:$C$47,3,0)</f>
        <v>863843448.60398436</v>
      </c>
      <c r="E31" s="294">
        <v>0.48388799999999998</v>
      </c>
      <c r="F31" s="301">
        <f>'1.Aggregate Summary'!$C$7- ((E31-$E$50)*('1.Aggregate Summary'!$C$7/($E$49-$E$50)))</f>
        <v>2.1169518251617364E-3</v>
      </c>
      <c r="G31" s="288">
        <f t="shared" si="0"/>
        <v>1828714.9651762133</v>
      </c>
      <c r="H31" s="245"/>
    </row>
    <row r="32" spans="2:8" ht="18.75" customHeight="1">
      <c r="B32" s="249">
        <v>210039</v>
      </c>
      <c r="C32" s="250" t="s">
        <v>30</v>
      </c>
      <c r="D32" s="251">
        <f>VLOOKUP(B32,Revenue!$A$2:$C$47,3,0)</f>
        <v>67385286.839919657</v>
      </c>
      <c r="E32" s="294">
        <v>0.49142800000000003</v>
      </c>
      <c r="F32" s="301">
        <f>'1.Aggregate Summary'!$C$7- ((E32-$E$50)*('1.Aggregate Summary'!$C$7/($E$49-$E$50)))</f>
        <v>2.3947418836671244E-3</v>
      </c>
      <c r="G32" s="288">
        <f t="shared" si="0"/>
        <v>161370.36873847869</v>
      </c>
      <c r="H32" s="245"/>
    </row>
    <row r="33" spans="2:8">
      <c r="B33" s="249">
        <v>210049</v>
      </c>
      <c r="C33" s="250" t="s">
        <v>31</v>
      </c>
      <c r="D33" s="251">
        <f>VLOOKUP(B33,Revenue!$A$2:$C$47,3,0)</f>
        <v>148917095.66517001</v>
      </c>
      <c r="E33" s="294">
        <v>0.49499999999999994</v>
      </c>
      <c r="F33" s="301">
        <f>'1.Aggregate Summary'!$C$7- ((E33-$E$50)*('1.Aggregate Summary'!$C$7/($E$49-$E$50)))</f>
        <v>2.5263421607203355E-3</v>
      </c>
      <c r="G33" s="288">
        <f t="shared" si="0"/>
        <v>376215.53723094251</v>
      </c>
      <c r="H33" s="245"/>
    </row>
    <row r="34" spans="2:8">
      <c r="B34" s="249">
        <v>210043</v>
      </c>
      <c r="C34" s="250" t="s">
        <v>32</v>
      </c>
      <c r="D34" s="251">
        <f>VLOOKUP(B34,Revenue!$A$2:$C$47,3,0)</f>
        <v>223155125.99975017</v>
      </c>
      <c r="E34" s="294">
        <v>0.49500000000000005</v>
      </c>
      <c r="F34" s="301">
        <f>'1.Aggregate Summary'!$C$7- ((E34-$E$50)*('1.Aggregate Summary'!$C$7/($E$49-$E$50)))</f>
        <v>2.5263421607203398E-3</v>
      </c>
      <c r="G34" s="288">
        <f t="shared" si="0"/>
        <v>563766.20319402847</v>
      </c>
      <c r="H34" s="245"/>
    </row>
    <row r="35" spans="2:8">
      <c r="B35" s="249">
        <v>210005</v>
      </c>
      <c r="C35" s="250" t="s">
        <v>33</v>
      </c>
      <c r="D35" s="251">
        <f>VLOOKUP(B35,Revenue!$A$2:$C$47,3,0)</f>
        <v>189480762.70820984</v>
      </c>
      <c r="E35" s="294">
        <v>0.5</v>
      </c>
      <c r="F35" s="301">
        <f>'1.Aggregate Summary'!$C$7- ((E35-$E$50)*('1.Aggregate Summary'!$C$7/($E$49-$E$50)))</f>
        <v>2.710553074848578E-3</v>
      </c>
      <c r="G35" s="288">
        <f t="shared" si="0"/>
        <v>513597.66398339195</v>
      </c>
      <c r="H35" s="245"/>
    </row>
    <row r="36" spans="2:8">
      <c r="B36" s="249">
        <v>210037</v>
      </c>
      <c r="C36" s="250" t="s">
        <v>34</v>
      </c>
      <c r="D36" s="251">
        <f>VLOOKUP(B36,Revenue!$A$2:$C$47,3,0)</f>
        <v>94828131.850859523</v>
      </c>
      <c r="E36" s="294">
        <v>0.50928400000000007</v>
      </c>
      <c r="F36" s="301">
        <f>'1.Aggregate Summary'!$C$7- ((E36-$E$50)*('1.Aggregate Summary'!$C$7/($E$49-$E$50)))</f>
        <v>3.0525959002018974E-3</v>
      </c>
      <c r="G36" s="288">
        <f t="shared" si="0"/>
        <v>289471.96651173872</v>
      </c>
      <c r="H36" s="245"/>
    </row>
    <row r="37" spans="2:8">
      <c r="B37" s="249">
        <v>210030</v>
      </c>
      <c r="C37" s="250" t="s">
        <v>35</v>
      </c>
      <c r="D37" s="251">
        <f>VLOOKUP(B37,Revenue!$A$2:$C$47,3,0)</f>
        <v>29416674.305924561</v>
      </c>
      <c r="E37" s="294">
        <v>0.53857199999999994</v>
      </c>
      <c r="F37" s="301">
        <f>'1.Aggregate Summary'!$C$7- ((E37-$E$50)*('1.Aggregate Summary'!$C$7/($E$49-$E$50)))</f>
        <v>4.1316297507994725E-3</v>
      </c>
      <c r="G37" s="288">
        <f t="shared" si="0"/>
        <v>121538.80673193633</v>
      </c>
      <c r="H37" s="245"/>
    </row>
    <row r="38" spans="2:8">
      <c r="B38" s="256">
        <v>210051</v>
      </c>
      <c r="C38" s="257" t="s">
        <v>36</v>
      </c>
      <c r="D38" s="251">
        <f>VLOOKUP(B38,Revenue!$A$2:$C$47,3,0)</f>
        <v>136225390.68992713</v>
      </c>
      <c r="E38" s="295">
        <v>0.54</v>
      </c>
      <c r="F38" s="301">
        <f>'1.Aggregate Summary'!$C$7- ((E38-$E$50)*('1.Aggregate Summary'!$C$7/($E$49-$E$50)))</f>
        <v>4.1842403878745013E-3</v>
      </c>
      <c r="G38" s="288">
        <f t="shared" si="0"/>
        <v>569999.78157877619</v>
      </c>
      <c r="H38" s="245"/>
    </row>
    <row r="39" spans="2:8">
      <c r="B39" s="256">
        <v>210027</v>
      </c>
      <c r="C39" s="257" t="s">
        <v>37</v>
      </c>
      <c r="D39" s="251">
        <f>VLOOKUP(B39,Revenue!$A$2:$C$47,3,0)</f>
        <v>184484265.97300443</v>
      </c>
      <c r="E39" s="295">
        <v>0.58928400000000003</v>
      </c>
      <c r="F39" s="301">
        <f>'1.Aggregate Summary'!$C$7- ((E39-$E$50)*('1.Aggregate Summary'!$C$7/($E$49-$E$50)))</f>
        <v>5.9999705262537397E-3</v>
      </c>
      <c r="G39" s="288">
        <f t="shared" si="0"/>
        <v>1106900.1583955823</v>
      </c>
      <c r="H39" s="245"/>
    </row>
    <row r="40" spans="2:8">
      <c r="B40" s="256">
        <v>210008</v>
      </c>
      <c r="C40" s="257" t="s">
        <v>38</v>
      </c>
      <c r="D40" s="251">
        <f>VLOOKUP(B40,Revenue!$A$2:$C$47,3,0)</f>
        <v>233163593.66479388</v>
      </c>
      <c r="E40" s="295">
        <v>0.60899999999999999</v>
      </c>
      <c r="F40" s="301">
        <f>'1.Aggregate Summary'!$C$7- ((E40-$E$50)*('1.Aggregate Summary'!$C$7/($E$49-$E$50)))</f>
        <v>6.7263510028442147E-3</v>
      </c>
      <c r="G40" s="288">
        <f t="shared" si="0"/>
        <v>1568340.1720739473</v>
      </c>
      <c r="H40" s="245"/>
    </row>
    <row r="41" spans="2:8">
      <c r="B41" s="256">
        <v>210017</v>
      </c>
      <c r="C41" s="257" t="s">
        <v>39</v>
      </c>
      <c r="D41" s="251">
        <f>VLOOKUP(B41,Revenue!$A$2:$C$47,3,0)</f>
        <v>18724073.644907132</v>
      </c>
      <c r="E41" s="295">
        <v>0.61071600000000004</v>
      </c>
      <c r="F41" s="301">
        <f>'1.Aggregate Summary'!$C$7- ((E41-$E$50)*('1.Aggregate Summary'!$C$7/($E$49-$E$50)))</f>
        <v>6.7895721885730294E-3</v>
      </c>
      <c r="G41" s="288">
        <f t="shared" si="0"/>
        <v>127128.44967625469</v>
      </c>
      <c r="H41" s="245"/>
    </row>
    <row r="42" spans="2:8">
      <c r="B42" s="256">
        <v>210023</v>
      </c>
      <c r="C42" s="257" t="s">
        <v>40</v>
      </c>
      <c r="D42" s="251">
        <f>VLOOKUP(B42,Revenue!$A$2:$C$47,3,0)</f>
        <v>310117074.81392145</v>
      </c>
      <c r="E42" s="295">
        <v>0.61499999999999999</v>
      </c>
      <c r="F42" s="301">
        <f>'1.Aggregate Summary'!$C$7- ((E42-$E$50)*('1.Aggregate Summary'!$C$7/($E$49-$E$50)))</f>
        <v>6.9474040997981037E-3</v>
      </c>
      <c r="G42" s="288">
        <f t="shared" si="0"/>
        <v>2154508.636979633</v>
      </c>
      <c r="H42" s="245"/>
    </row>
    <row r="43" spans="2:8">
      <c r="B43" s="256">
        <v>210006</v>
      </c>
      <c r="C43" s="257" t="s">
        <v>41</v>
      </c>
      <c r="D43" s="251">
        <f>VLOOKUP(B43,Revenue!$A$2:$C$47,3,0)</f>
        <v>47089618.293410309</v>
      </c>
      <c r="E43" s="295">
        <v>0.63214400000000004</v>
      </c>
      <c r="F43" s="301">
        <f>'1.Aggregate Summary'!$C$7- ((E43-$E$50)*('1.Aggregate Summary'!$C$7/($E$49-$E$50)))</f>
        <v>7.579026482161016E-3</v>
      </c>
      <c r="G43" s="288">
        <f t="shared" si="0"/>
        <v>356893.46408061055</v>
      </c>
      <c r="H43" s="245"/>
    </row>
    <row r="44" spans="2:8">
      <c r="B44" s="256">
        <v>210009</v>
      </c>
      <c r="C44" s="257" t="s">
        <v>42</v>
      </c>
      <c r="D44" s="251">
        <f>VLOOKUP(B44,Revenue!$A$2:$C$47,3,0)</f>
        <v>1292515919.3162181</v>
      </c>
      <c r="E44" s="295">
        <v>0.63357199999999991</v>
      </c>
      <c r="F44" s="301">
        <f>'1.Aggregate Summary'!$C$7- ((E44-$E$50)*('1.Aggregate Summary'!$C$7/($E$49-$E$50)))</f>
        <v>7.6316371192360361E-3</v>
      </c>
      <c r="G44" s="288">
        <f t="shared" si="0"/>
        <v>9864012.4670571405</v>
      </c>
      <c r="H44" s="245"/>
    </row>
    <row r="45" spans="2:8">
      <c r="B45" s="256">
        <v>210010</v>
      </c>
      <c r="C45" s="257" t="s">
        <v>43</v>
      </c>
      <c r="D45" s="251">
        <f>VLOOKUP(B45,Revenue!$A$2:$C$47,3,0)</f>
        <v>25127934.983499374</v>
      </c>
      <c r="E45" s="295">
        <v>0.64666800000000002</v>
      </c>
      <c r="F45" s="301">
        <f>'1.Aggregate Summary'!$C$7- ((E45-$E$50)*('1.Aggregate Summary'!$C$7/($E$49-$E$50)))</f>
        <v>8.114122345520728E-3</v>
      </c>
      <c r="G45" s="288">
        <f t="shared" si="0"/>
        <v>203891.13874640429</v>
      </c>
      <c r="H45" s="245"/>
    </row>
    <row r="46" spans="2:8" ht="21" customHeight="1" thickBot="1">
      <c r="B46" s="258">
        <v>210028</v>
      </c>
      <c r="C46" s="259" t="s">
        <v>44</v>
      </c>
      <c r="D46" s="252">
        <f>VLOOKUP(B46,Revenue!$A$2:$C$47,3,0)</f>
        <v>69520305.288439929</v>
      </c>
      <c r="E46" s="296">
        <v>0.69785600000000003</v>
      </c>
      <c r="F46" s="302">
        <f>'1.Aggregate Summary'!$C$7- ((E46-$E$50)*('1.Aggregate Summary'!$C$7/($E$49-$E$50)))</f>
        <v>0.01</v>
      </c>
      <c r="G46" s="289">
        <f t="shared" si="0"/>
        <v>695203.05288439931</v>
      </c>
      <c r="H46" s="245"/>
    </row>
    <row r="47" spans="2:8" ht="18" customHeight="1" thickBot="1">
      <c r="B47" s="266"/>
      <c r="C47" s="267" t="s">
        <v>45</v>
      </c>
      <c r="D47" s="268">
        <f>SUM(D4:D46)</f>
        <v>8671856840.4071598</v>
      </c>
      <c r="E47" s="269"/>
      <c r="F47" s="270"/>
      <c r="G47" s="271">
        <f>SUM(G4:G46)</f>
        <v>-3679887.0726489979</v>
      </c>
      <c r="H47" s="245"/>
    </row>
    <row r="48" spans="2:8">
      <c r="B48" s="261" t="s">
        <v>254</v>
      </c>
      <c r="C48" s="261"/>
      <c r="D48" s="272" t="s">
        <v>255</v>
      </c>
      <c r="E48" s="273">
        <f>E4</f>
        <v>4.9999999999999996E-2</v>
      </c>
      <c r="F48" s="274" t="s">
        <v>258</v>
      </c>
      <c r="G48" s="275">
        <f>SUMIF(G4:G46,"&lt;0")</f>
        <v>-25015762.152289432</v>
      </c>
      <c r="H48" s="245"/>
    </row>
    <row r="49" spans="2:8">
      <c r="B49" s="261"/>
      <c r="C49" s="261"/>
      <c r="D49" s="276" t="s">
        <v>256</v>
      </c>
      <c r="E49" s="263">
        <f>MEDIAN(E4:E46)</f>
        <v>0.42642800000000003</v>
      </c>
      <c r="F49" s="262"/>
      <c r="G49" s="277"/>
      <c r="H49" s="245"/>
    </row>
    <row r="50" spans="2:8" ht="16.2" thickBot="1">
      <c r="B50" s="261"/>
      <c r="C50" s="261"/>
      <c r="D50" s="278" t="s">
        <v>257</v>
      </c>
      <c r="E50" s="279">
        <f>E46</f>
        <v>0.69785600000000003</v>
      </c>
      <c r="F50" s="280" t="s">
        <v>210</v>
      </c>
      <c r="G50" s="281">
        <f>SUMIF(G4:G46,"&gt;0")</f>
        <v>21335875.079640433</v>
      </c>
      <c r="H50" s="245"/>
    </row>
    <row r="51" spans="2:8">
      <c r="B51" s="261"/>
      <c r="C51" s="261"/>
      <c r="D51" s="261"/>
      <c r="E51" s="265"/>
      <c r="F51" s="260"/>
      <c r="G51" s="264"/>
      <c r="H51" s="245"/>
    </row>
    <row r="52" spans="2:8">
      <c r="B52" s="261"/>
      <c r="C52" s="261"/>
      <c r="D52" s="261"/>
      <c r="E52" s="265"/>
      <c r="F52" s="260"/>
      <c r="G52" s="260"/>
      <c r="H52" s="245"/>
    </row>
    <row r="53" spans="2:8">
      <c r="B53" s="261"/>
      <c r="C53" s="261"/>
      <c r="D53" s="261"/>
      <c r="E53" s="265"/>
      <c r="F53" s="260"/>
      <c r="G53" s="260"/>
      <c r="H53" s="245"/>
    </row>
    <row r="54" spans="2:8">
      <c r="B54" s="261"/>
      <c r="C54" s="261"/>
      <c r="D54" s="254"/>
      <c r="E54" s="255"/>
      <c r="F54" s="260"/>
      <c r="G54" s="260"/>
      <c r="H54" s="245"/>
    </row>
    <row r="55" spans="2:8">
      <c r="B55" s="254"/>
      <c r="C55" s="254"/>
      <c r="D55" s="12"/>
      <c r="E55" s="13"/>
      <c r="F55" s="245"/>
      <c r="G55" s="245"/>
      <c r="H55" s="245"/>
    </row>
    <row r="56" spans="2:8">
      <c r="B56" s="12"/>
      <c r="C56" s="12"/>
      <c r="D56" s="12"/>
      <c r="E56" s="13"/>
    </row>
    <row r="57" spans="2:8">
      <c r="B57" s="12"/>
      <c r="C57" s="12"/>
      <c r="D57" s="12"/>
      <c r="E57" s="13"/>
    </row>
    <row r="58" spans="2:8">
      <c r="B58" s="12"/>
      <c r="C58" s="12"/>
      <c r="D58" s="12"/>
      <c r="E58" s="13"/>
    </row>
    <row r="59" spans="2:8">
      <c r="B59" s="12"/>
      <c r="C59" s="12"/>
      <c r="D59" s="12"/>
      <c r="E59" s="13"/>
    </row>
    <row r="60" spans="2:8">
      <c r="B60" s="12"/>
      <c r="C60" s="12"/>
      <c r="D60" s="12"/>
      <c r="E60" s="13"/>
    </row>
    <row r="61" spans="2:8">
      <c r="B61" s="12"/>
      <c r="C61" s="12"/>
      <c r="D61" s="12"/>
      <c r="E61" s="13"/>
    </row>
    <row r="62" spans="2:8">
      <c r="B62" s="12"/>
      <c r="C62" s="12"/>
      <c r="D62" s="12"/>
      <c r="E62" s="13"/>
    </row>
    <row r="63" spans="2:8">
      <c r="B63" s="12"/>
      <c r="C63" s="12"/>
      <c r="D63" s="12"/>
      <c r="E63" s="13"/>
    </row>
    <row r="64" spans="2:8">
      <c r="B64" s="12"/>
      <c r="C64" s="12"/>
      <c r="D64" s="12"/>
      <c r="E64" s="13"/>
    </row>
    <row r="65" spans="2:5">
      <c r="B65" s="12"/>
      <c r="C65" s="12"/>
      <c r="D65" s="12"/>
      <c r="E65" s="13"/>
    </row>
    <row r="66" spans="2:5">
      <c r="B66" s="12"/>
      <c r="C66" s="12"/>
      <c r="D66" s="12"/>
      <c r="E66" s="13"/>
    </row>
    <row r="67" spans="2:5">
      <c r="B67" s="12"/>
      <c r="C67" s="12"/>
      <c r="D67" s="12"/>
      <c r="E67" s="13"/>
    </row>
    <row r="68" spans="2:5">
      <c r="B68" s="12"/>
      <c r="C68" s="12"/>
      <c r="D68" s="12"/>
      <c r="E68" s="13"/>
    </row>
    <row r="69" spans="2:5">
      <c r="B69" s="12"/>
      <c r="C69" s="12"/>
      <c r="D69" s="12"/>
      <c r="E69" s="13"/>
    </row>
    <row r="70" spans="2:5">
      <c r="B70" s="12"/>
      <c r="C70" s="12"/>
      <c r="D70" s="12"/>
      <c r="E70" s="13"/>
    </row>
    <row r="71" spans="2:5">
      <c r="B71" s="12"/>
      <c r="C71" s="12"/>
      <c r="D71" s="12"/>
      <c r="E71" s="13"/>
    </row>
    <row r="72" spans="2:5">
      <c r="B72" s="12"/>
      <c r="C72" s="12"/>
      <c r="D72" s="12"/>
      <c r="E72" s="13"/>
    </row>
    <row r="73" spans="2:5">
      <c r="B73" s="12"/>
      <c r="C73" s="12"/>
      <c r="D73" s="12"/>
      <c r="E73" s="13"/>
    </row>
    <row r="74" spans="2:5">
      <c r="B74" s="12"/>
      <c r="C74" s="12"/>
      <c r="D74" s="12"/>
      <c r="E74" s="13"/>
    </row>
    <row r="75" spans="2:5">
      <c r="B75" s="12"/>
      <c r="C75" s="12"/>
      <c r="D75" s="12"/>
      <c r="E75" s="13"/>
    </row>
    <row r="76" spans="2:5">
      <c r="B76" s="12"/>
      <c r="C76" s="12"/>
      <c r="D76" s="12"/>
      <c r="E76" s="13"/>
    </row>
    <row r="77" spans="2:5">
      <c r="B77" s="12"/>
      <c r="C77" s="12"/>
      <c r="D77" s="12"/>
      <c r="E77" s="13"/>
    </row>
    <row r="78" spans="2:5">
      <c r="B78" s="12"/>
      <c r="C78" s="12"/>
      <c r="D78" s="12"/>
      <c r="E78" s="13"/>
    </row>
    <row r="79" spans="2:5">
      <c r="B79" s="12"/>
      <c r="C79" s="12"/>
      <c r="D79" s="12"/>
      <c r="E79" s="13"/>
    </row>
    <row r="80" spans="2:5">
      <c r="B80" s="12"/>
      <c r="C80" s="12"/>
      <c r="D80" s="12"/>
      <c r="E80" s="13"/>
    </row>
    <row r="81" spans="2:5">
      <c r="B81" s="12"/>
      <c r="C81" s="12"/>
      <c r="D81" s="12"/>
      <c r="E81" s="13"/>
    </row>
    <row r="82" spans="2:5">
      <c r="B82" s="12"/>
      <c r="C82" s="12"/>
      <c r="D82" s="12"/>
      <c r="E82" s="13"/>
    </row>
    <row r="83" spans="2:5">
      <c r="B83" s="12"/>
      <c r="C83" s="12"/>
      <c r="D83" s="12"/>
      <c r="E83" s="13"/>
    </row>
    <row r="84" spans="2:5">
      <c r="B84" s="12"/>
      <c r="C84" s="12"/>
      <c r="D84" s="12"/>
      <c r="E84" s="13"/>
    </row>
    <row r="85" spans="2:5">
      <c r="B85" s="12"/>
      <c r="C85" s="12"/>
      <c r="D85" s="12"/>
      <c r="E85" s="13"/>
    </row>
    <row r="86" spans="2:5">
      <c r="B86" s="12"/>
      <c r="C86" s="12"/>
      <c r="D86" s="12"/>
      <c r="E86" s="13"/>
    </row>
    <row r="87" spans="2:5">
      <c r="B87" s="12"/>
      <c r="C87" s="12"/>
      <c r="D87" s="12"/>
      <c r="E87" s="13"/>
    </row>
    <row r="88" spans="2:5">
      <c r="B88" s="12"/>
      <c r="C88" s="12"/>
      <c r="D88" s="12"/>
      <c r="E88" s="13"/>
    </row>
    <row r="89" spans="2:5">
      <c r="B89" s="12"/>
      <c r="C89" s="12"/>
      <c r="D89" s="12"/>
      <c r="E89" s="13"/>
    </row>
    <row r="90" spans="2:5">
      <c r="B90" s="12"/>
      <c r="C90" s="12"/>
      <c r="D90" s="12"/>
      <c r="E90" s="13"/>
    </row>
    <row r="91" spans="2:5">
      <c r="B91" s="12"/>
      <c r="C91" s="12"/>
      <c r="D91" s="12"/>
      <c r="E91" s="13"/>
    </row>
    <row r="92" spans="2:5">
      <c r="B92" s="12"/>
      <c r="C92" s="12"/>
      <c r="D92" s="12"/>
      <c r="E92" s="13"/>
    </row>
    <row r="93" spans="2:5">
      <c r="B93" s="12"/>
      <c r="C93" s="12"/>
      <c r="D93" s="12"/>
      <c r="E93" s="13"/>
    </row>
    <row r="94" spans="2:5">
      <c r="B94" s="12"/>
      <c r="C94" s="12"/>
      <c r="D94" s="12"/>
      <c r="E94" s="13"/>
    </row>
    <row r="95" spans="2:5">
      <c r="B95" s="12"/>
      <c r="C95" s="12"/>
      <c r="D95" s="12"/>
      <c r="E95" s="13"/>
    </row>
    <row r="96" spans="2:5">
      <c r="B96" s="12"/>
      <c r="C96" s="12"/>
      <c r="D96" s="12"/>
      <c r="E96" s="13"/>
    </row>
    <row r="97" spans="2:5">
      <c r="B97" s="12"/>
      <c r="C97" s="12"/>
      <c r="D97" s="12"/>
      <c r="E97" s="13"/>
    </row>
    <row r="98" spans="2:5">
      <c r="B98" s="12"/>
      <c r="C98" s="12"/>
      <c r="D98" s="12"/>
      <c r="E98" s="13"/>
    </row>
    <row r="99" spans="2:5">
      <c r="B99" s="12"/>
      <c r="C99" s="12"/>
      <c r="D99" s="12"/>
      <c r="E99" s="13"/>
    </row>
    <row r="100" spans="2:5">
      <c r="B100" s="12"/>
      <c r="C100" s="12"/>
      <c r="D100" s="12"/>
      <c r="E100" s="13"/>
    </row>
    <row r="101" spans="2:5">
      <c r="B101" s="12"/>
      <c r="C101" s="12"/>
      <c r="D101" s="12"/>
      <c r="E101" s="13"/>
    </row>
    <row r="102" spans="2:5">
      <c r="B102" s="12"/>
      <c r="C102" s="12"/>
      <c r="D102" s="12"/>
      <c r="E102" s="13"/>
    </row>
    <row r="103" spans="2:5">
      <c r="B103" s="12"/>
      <c r="C103" s="12"/>
      <c r="E103" s="13"/>
    </row>
  </sheetData>
  <printOptions horizontalCentered="1" verticalCentered="1"/>
  <pageMargins left="0.2" right="0.2" top="0.25" bottom="0.25" header="0.3" footer="0.3"/>
  <pageSetup scale="56" orientation="landscape" r:id="rId1"/>
  <headerFooter>
    <oddFooter>&amp;CHSCRC Work Group Meeting
Feb 2, 2015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2"/>
  <sheetViews>
    <sheetView workbookViewId="0"/>
  </sheetViews>
  <sheetFormatPr defaultColWidth="9.109375" defaultRowHeight="14.4"/>
  <cols>
    <col min="1" max="1" width="14.6640625" style="24" customWidth="1"/>
    <col min="2" max="2" width="12" style="25" customWidth="1"/>
    <col min="3" max="3" width="17.33203125" style="25" customWidth="1"/>
    <col min="4" max="4" width="17" style="25" customWidth="1"/>
    <col min="5" max="256" width="9.109375" style="24"/>
    <col min="257" max="16384" width="9.109375" style="11"/>
  </cols>
  <sheetData>
    <row r="1" spans="1:4">
      <c r="A1" s="35" t="s">
        <v>182</v>
      </c>
    </row>
    <row r="2" spans="1:4">
      <c r="A2" s="465"/>
      <c r="B2" s="465"/>
      <c r="C2" s="465"/>
      <c r="D2" s="465"/>
    </row>
    <row r="3" spans="1:4" ht="28.8">
      <c r="A3" s="466" t="s">
        <v>122</v>
      </c>
      <c r="B3" s="467"/>
      <c r="C3" s="34" t="s">
        <v>121</v>
      </c>
      <c r="D3" s="34" t="s">
        <v>120</v>
      </c>
    </row>
    <row r="4" spans="1:4" ht="28.8">
      <c r="A4" s="29" t="s">
        <v>119</v>
      </c>
      <c r="B4" s="28">
        <v>0.17</v>
      </c>
      <c r="C4" s="33">
        <f>-'1.Aggregate Summary'!E13</f>
        <v>-0.03</v>
      </c>
      <c r="D4" s="33">
        <f>'1.Aggregate Summary'!B5</f>
        <v>-0.01</v>
      </c>
    </row>
    <row r="5" spans="1:4">
      <c r="A5" s="32"/>
      <c r="B5" s="31">
        <f t="shared" ref="B5:B36" si="0">B4+0.01</f>
        <v>0.18000000000000002</v>
      </c>
      <c r="C5" s="30">
        <f t="shared" ref="C5:C38" si="1">$C$4- ((B5-$B$4)*($C$4/($C$69-$B$4)))</f>
        <v>-2.9117647058823526E-2</v>
      </c>
      <c r="D5" s="30">
        <f>$D$4- ((B5-$B$4)*($D$4/($D$69-$B$4)))</f>
        <v>-9.5833333333333326E-3</v>
      </c>
    </row>
    <row r="6" spans="1:4">
      <c r="A6" s="32"/>
      <c r="B6" s="31">
        <f t="shared" si="0"/>
        <v>0.19000000000000003</v>
      </c>
      <c r="C6" s="30">
        <f t="shared" si="1"/>
        <v>-2.8235294117647056E-2</v>
      </c>
      <c r="D6" s="30">
        <f t="shared" ref="D6:D33" si="2">$D$4- ((B6-$B$4)*($D$4/($D$69-$B$4)))</f>
        <v>-9.1666666666666667E-3</v>
      </c>
    </row>
    <row r="7" spans="1:4">
      <c r="A7" s="32"/>
      <c r="B7" s="31">
        <f t="shared" si="0"/>
        <v>0.20000000000000004</v>
      </c>
      <c r="C7" s="30">
        <f t="shared" si="1"/>
        <v>-2.7352941176470583E-2</v>
      </c>
      <c r="D7" s="30">
        <f t="shared" si="2"/>
        <v>-8.7499999999999991E-3</v>
      </c>
    </row>
    <row r="8" spans="1:4">
      <c r="A8" s="32"/>
      <c r="B8" s="31">
        <f t="shared" si="0"/>
        <v>0.21000000000000005</v>
      </c>
      <c r="C8" s="30">
        <f t="shared" si="1"/>
        <v>-2.6470588235294114E-2</v>
      </c>
      <c r="D8" s="30">
        <f t="shared" si="2"/>
        <v>-8.3333333333333315E-3</v>
      </c>
    </row>
    <row r="9" spans="1:4">
      <c r="A9" s="32"/>
      <c r="B9" s="31">
        <f t="shared" si="0"/>
        <v>0.22000000000000006</v>
      </c>
      <c r="C9" s="30">
        <f t="shared" si="1"/>
        <v>-2.5588235294117641E-2</v>
      </c>
      <c r="D9" s="30">
        <f t="shared" si="2"/>
        <v>-7.9166666666666656E-3</v>
      </c>
    </row>
    <row r="10" spans="1:4">
      <c r="A10" s="32"/>
      <c r="B10" s="31">
        <f t="shared" si="0"/>
        <v>0.23000000000000007</v>
      </c>
      <c r="C10" s="30">
        <f t="shared" si="1"/>
        <v>-2.4705882352941171E-2</v>
      </c>
      <c r="D10" s="30">
        <f t="shared" si="2"/>
        <v>-7.499999999999998E-3</v>
      </c>
    </row>
    <row r="11" spans="1:4">
      <c r="A11" s="32"/>
      <c r="B11" s="31">
        <f t="shared" si="0"/>
        <v>0.24000000000000007</v>
      </c>
      <c r="C11" s="30">
        <f t="shared" si="1"/>
        <v>-2.3823529411764698E-2</v>
      </c>
      <c r="D11" s="30">
        <f t="shared" si="2"/>
        <v>-7.0833333333333304E-3</v>
      </c>
    </row>
    <row r="12" spans="1:4">
      <c r="A12" s="32"/>
      <c r="B12" s="31">
        <f t="shared" si="0"/>
        <v>0.25000000000000006</v>
      </c>
      <c r="C12" s="30">
        <f t="shared" si="1"/>
        <v>-2.2941176470588229E-2</v>
      </c>
      <c r="D12" s="30">
        <f t="shared" si="2"/>
        <v>-6.6666666666666645E-3</v>
      </c>
    </row>
    <row r="13" spans="1:4">
      <c r="A13" s="32"/>
      <c r="B13" s="31">
        <f t="shared" si="0"/>
        <v>0.26000000000000006</v>
      </c>
      <c r="C13" s="30">
        <f t="shared" si="1"/>
        <v>-2.2058823529411759E-2</v>
      </c>
      <c r="D13" s="30">
        <f t="shared" si="2"/>
        <v>-6.2499999999999977E-3</v>
      </c>
    </row>
    <row r="14" spans="1:4">
      <c r="A14" s="32"/>
      <c r="B14" s="31">
        <f t="shared" si="0"/>
        <v>0.27000000000000007</v>
      </c>
      <c r="C14" s="30">
        <f t="shared" si="1"/>
        <v>-2.1176470588235286E-2</v>
      </c>
      <c r="D14" s="30">
        <f t="shared" si="2"/>
        <v>-5.8333333333333301E-3</v>
      </c>
    </row>
    <row r="15" spans="1:4">
      <c r="A15" s="32"/>
      <c r="B15" s="31">
        <f t="shared" si="0"/>
        <v>0.28000000000000008</v>
      </c>
      <c r="C15" s="30">
        <f t="shared" si="1"/>
        <v>-2.0294117647058817E-2</v>
      </c>
      <c r="D15" s="30">
        <f t="shared" si="2"/>
        <v>-5.4166666666666634E-3</v>
      </c>
    </row>
    <row r="16" spans="1:4">
      <c r="A16" s="32"/>
      <c r="B16" s="31">
        <f t="shared" si="0"/>
        <v>0.29000000000000009</v>
      </c>
      <c r="C16" s="30">
        <f t="shared" si="1"/>
        <v>-1.9411764705882344E-2</v>
      </c>
      <c r="D16" s="30">
        <f t="shared" si="2"/>
        <v>-4.9999999999999966E-3</v>
      </c>
    </row>
    <row r="17" spans="1:4">
      <c r="A17" s="32"/>
      <c r="B17" s="31">
        <f t="shared" si="0"/>
        <v>0.3000000000000001</v>
      </c>
      <c r="C17" s="30">
        <f t="shared" si="1"/>
        <v>-1.8529411764705871E-2</v>
      </c>
      <c r="D17" s="30">
        <f t="shared" si="2"/>
        <v>-4.583333333333329E-3</v>
      </c>
    </row>
    <row r="18" spans="1:4">
      <c r="A18" s="32"/>
      <c r="B18" s="31">
        <f t="shared" si="0"/>
        <v>0.31000000000000011</v>
      </c>
      <c r="C18" s="30">
        <f t="shared" si="1"/>
        <v>-1.7647058823529401E-2</v>
      </c>
      <c r="D18" s="30">
        <f t="shared" si="2"/>
        <v>-4.1666666666666623E-3</v>
      </c>
    </row>
    <row r="19" spans="1:4">
      <c r="A19" s="32"/>
      <c r="B19" s="31">
        <f t="shared" si="0"/>
        <v>0.32000000000000012</v>
      </c>
      <c r="C19" s="30">
        <f t="shared" si="1"/>
        <v>-1.6764705882352932E-2</v>
      </c>
      <c r="D19" s="30">
        <f t="shared" si="2"/>
        <v>-3.7499999999999955E-3</v>
      </c>
    </row>
    <row r="20" spans="1:4">
      <c r="A20" s="32"/>
      <c r="B20" s="31">
        <f t="shared" si="0"/>
        <v>0.33000000000000013</v>
      </c>
      <c r="C20" s="30">
        <f t="shared" si="1"/>
        <v>-1.5882352941176459E-2</v>
      </c>
      <c r="D20" s="30">
        <f t="shared" si="2"/>
        <v>-3.3333333333333279E-3</v>
      </c>
    </row>
    <row r="21" spans="1:4">
      <c r="A21" s="32"/>
      <c r="B21" s="31">
        <f t="shared" si="0"/>
        <v>0.34000000000000014</v>
      </c>
      <c r="C21" s="30">
        <f t="shared" si="1"/>
        <v>-1.4999999999999987E-2</v>
      </c>
      <c r="D21" s="30">
        <f t="shared" si="2"/>
        <v>-2.9166666666666612E-3</v>
      </c>
    </row>
    <row r="22" spans="1:4">
      <c r="A22" s="32"/>
      <c r="B22" s="31">
        <f t="shared" si="0"/>
        <v>0.35000000000000014</v>
      </c>
      <c r="C22" s="30">
        <f t="shared" si="1"/>
        <v>-1.4117647058823516E-2</v>
      </c>
      <c r="D22" s="30">
        <f t="shared" si="2"/>
        <v>-2.4999999999999935E-3</v>
      </c>
    </row>
    <row r="23" spans="1:4">
      <c r="A23" s="32"/>
      <c r="B23" s="31">
        <f t="shared" si="0"/>
        <v>0.36000000000000015</v>
      </c>
      <c r="C23" s="30">
        <f t="shared" si="1"/>
        <v>-1.3235294117647043E-2</v>
      </c>
      <c r="D23" s="30">
        <f t="shared" si="2"/>
        <v>-2.0833333333333259E-3</v>
      </c>
    </row>
    <row r="24" spans="1:4">
      <c r="A24" s="32"/>
      <c r="B24" s="31">
        <f t="shared" si="0"/>
        <v>0.37000000000000016</v>
      </c>
      <c r="C24" s="30">
        <f t="shared" si="1"/>
        <v>-1.2352941176470573E-2</v>
      </c>
      <c r="D24" s="30">
        <f t="shared" si="2"/>
        <v>-1.6666666666666601E-3</v>
      </c>
    </row>
    <row r="25" spans="1:4">
      <c r="A25" s="32"/>
      <c r="B25" s="31">
        <f t="shared" si="0"/>
        <v>0.38000000000000017</v>
      </c>
      <c r="C25" s="30">
        <f t="shared" si="1"/>
        <v>-1.14705882352941E-2</v>
      </c>
      <c r="D25" s="30">
        <f t="shared" si="2"/>
        <v>-1.2499999999999924E-3</v>
      </c>
    </row>
    <row r="26" spans="1:4">
      <c r="A26" s="32"/>
      <c r="B26" s="31">
        <f t="shared" si="0"/>
        <v>0.39000000000000018</v>
      </c>
      <c r="C26" s="30">
        <f t="shared" si="1"/>
        <v>-1.0588235294117631E-2</v>
      </c>
      <c r="D26" s="30">
        <f t="shared" si="2"/>
        <v>-8.3333333333332482E-4</v>
      </c>
    </row>
    <row r="27" spans="1:4">
      <c r="A27" s="32"/>
      <c r="B27" s="31">
        <f t="shared" si="0"/>
        <v>0.40000000000000019</v>
      </c>
      <c r="C27" s="30">
        <f t="shared" si="1"/>
        <v>-9.7058823529411579E-3</v>
      </c>
      <c r="D27" s="30">
        <f>$D$4- ((B27-$B$4)*($D$4/($D$69-$B$4)))</f>
        <v>-4.1666666666665894E-4</v>
      </c>
    </row>
    <row r="28" spans="1:4">
      <c r="A28" s="32"/>
      <c r="B28" s="31">
        <f t="shared" si="0"/>
        <v>0.4100000000000002</v>
      </c>
      <c r="C28" s="30">
        <f t="shared" si="1"/>
        <v>-8.8235294117646884E-3</v>
      </c>
      <c r="D28" s="30">
        <f t="shared" si="2"/>
        <v>0</v>
      </c>
    </row>
    <row r="29" spans="1:4">
      <c r="A29" s="32"/>
      <c r="B29" s="31">
        <f t="shared" si="0"/>
        <v>0.42000000000000021</v>
      </c>
      <c r="C29" s="30">
        <f t="shared" si="1"/>
        <v>-7.9411764705882119E-3</v>
      </c>
      <c r="D29" s="30">
        <f t="shared" si="2"/>
        <v>4.1666666666667629E-4</v>
      </c>
    </row>
    <row r="30" spans="1:4">
      <c r="A30" s="32"/>
      <c r="B30" s="31">
        <f t="shared" si="0"/>
        <v>0.43000000000000022</v>
      </c>
      <c r="C30" s="30">
        <f t="shared" si="1"/>
        <v>-7.0588235294117424E-3</v>
      </c>
      <c r="D30" s="30">
        <f t="shared" si="2"/>
        <v>8.333333333333439E-4</v>
      </c>
    </row>
    <row r="31" spans="1:4">
      <c r="A31" s="32"/>
      <c r="B31" s="31">
        <f t="shared" si="0"/>
        <v>0.44000000000000022</v>
      </c>
      <c r="C31" s="30">
        <f t="shared" si="1"/>
        <v>-6.1764705882352694E-3</v>
      </c>
      <c r="D31" s="30">
        <f t="shared" si="2"/>
        <v>1.2500000000000115E-3</v>
      </c>
    </row>
    <row r="32" spans="1:4">
      <c r="A32" s="32"/>
      <c r="B32" s="31">
        <f t="shared" si="0"/>
        <v>0.45000000000000023</v>
      </c>
      <c r="C32" s="30">
        <f t="shared" si="1"/>
        <v>-5.2941176470587999E-3</v>
      </c>
      <c r="D32" s="30">
        <f t="shared" si="2"/>
        <v>1.6666666666666774E-3</v>
      </c>
    </row>
    <row r="33" spans="1:4">
      <c r="A33" s="32"/>
      <c r="B33" s="31">
        <f t="shared" si="0"/>
        <v>0.46000000000000024</v>
      </c>
      <c r="C33" s="30">
        <f t="shared" si="1"/>
        <v>-4.4117647058823269E-3</v>
      </c>
      <c r="D33" s="30">
        <f t="shared" si="2"/>
        <v>2.083333333333345E-3</v>
      </c>
    </row>
    <row r="34" spans="1:4">
      <c r="A34" s="32"/>
      <c r="B34" s="31">
        <f t="shared" si="0"/>
        <v>0.47000000000000025</v>
      </c>
      <c r="C34" s="30">
        <f t="shared" si="1"/>
        <v>-3.5294117647058573E-3</v>
      </c>
      <c r="D34" s="30">
        <v>0</v>
      </c>
    </row>
    <row r="35" spans="1:4">
      <c r="A35" s="32"/>
      <c r="B35" s="31">
        <f t="shared" si="0"/>
        <v>0.48000000000000026</v>
      </c>
      <c r="C35" s="30">
        <f t="shared" si="1"/>
        <v>-2.6470588235293843E-3</v>
      </c>
      <c r="D35" s="30">
        <v>0</v>
      </c>
    </row>
    <row r="36" spans="1:4">
      <c r="A36" s="32"/>
      <c r="B36" s="31">
        <f t="shared" si="0"/>
        <v>0.49000000000000027</v>
      </c>
      <c r="C36" s="30">
        <f t="shared" si="1"/>
        <v>-1.7647058823529148E-3</v>
      </c>
      <c r="D36" s="30">
        <v>0</v>
      </c>
    </row>
    <row r="37" spans="1:4">
      <c r="A37" s="32"/>
      <c r="B37" s="31">
        <f t="shared" ref="B37:B66" si="3">B36+0.01</f>
        <v>0.50000000000000022</v>
      </c>
      <c r="C37" s="30">
        <f t="shared" si="1"/>
        <v>-8.8235294117645219E-4</v>
      </c>
      <c r="D37" s="30">
        <f t="shared" ref="D37:D53" si="4">$D$67- ((B37-$B$67)*($D$67/($D$70-$B$67)))</f>
        <v>0</v>
      </c>
    </row>
    <row r="38" spans="1:4">
      <c r="A38" s="32"/>
      <c r="B38" s="31">
        <f t="shared" si="3"/>
        <v>0.51000000000000023</v>
      </c>
      <c r="C38" s="30">
        <f t="shared" si="1"/>
        <v>0</v>
      </c>
      <c r="D38" s="30">
        <f t="shared" si="4"/>
        <v>3.3333333333334172E-4</v>
      </c>
    </row>
    <row r="39" spans="1:4">
      <c r="A39" s="32"/>
      <c r="B39" s="31">
        <f t="shared" si="3"/>
        <v>0.52000000000000024</v>
      </c>
      <c r="C39" s="30">
        <v>0</v>
      </c>
      <c r="D39" s="30">
        <f t="shared" si="4"/>
        <v>6.6666666666667478E-4</v>
      </c>
    </row>
    <row r="40" spans="1:4">
      <c r="A40" s="32"/>
      <c r="B40" s="31">
        <f t="shared" si="3"/>
        <v>0.53000000000000025</v>
      </c>
      <c r="C40" s="30">
        <v>0</v>
      </c>
      <c r="D40" s="30">
        <f t="shared" si="4"/>
        <v>1.0000000000000096E-3</v>
      </c>
    </row>
    <row r="41" spans="1:4">
      <c r="A41" s="32"/>
      <c r="B41" s="31">
        <f t="shared" si="3"/>
        <v>0.54000000000000026</v>
      </c>
      <c r="C41" s="30">
        <v>0</v>
      </c>
      <c r="D41" s="30">
        <f t="shared" si="4"/>
        <v>1.3333333333333426E-3</v>
      </c>
    </row>
    <row r="42" spans="1:4">
      <c r="A42" s="32"/>
      <c r="B42" s="31">
        <f t="shared" si="3"/>
        <v>0.55000000000000027</v>
      </c>
      <c r="C42" s="30">
        <v>0</v>
      </c>
      <c r="D42" s="30">
        <f t="shared" si="4"/>
        <v>1.6666666666666757E-3</v>
      </c>
    </row>
    <row r="43" spans="1:4">
      <c r="A43" s="32"/>
      <c r="B43" s="31">
        <f t="shared" si="3"/>
        <v>0.56000000000000028</v>
      </c>
      <c r="C43" s="30">
        <v>0</v>
      </c>
      <c r="D43" s="30">
        <f t="shared" si="4"/>
        <v>2.0000000000000104E-3</v>
      </c>
    </row>
    <row r="44" spans="1:4">
      <c r="A44" s="32"/>
      <c r="B44" s="31">
        <f t="shared" si="3"/>
        <v>0.57000000000000028</v>
      </c>
      <c r="C44" s="30">
        <v>0</v>
      </c>
      <c r="D44" s="30">
        <f t="shared" si="4"/>
        <v>2.3333333333333435E-3</v>
      </c>
    </row>
    <row r="45" spans="1:4">
      <c r="A45" s="32"/>
      <c r="B45" s="31">
        <f t="shared" si="3"/>
        <v>0.58000000000000029</v>
      </c>
      <c r="C45" s="30">
        <v>0</v>
      </c>
      <c r="D45" s="30">
        <f t="shared" si="4"/>
        <v>2.6666666666666766E-3</v>
      </c>
    </row>
    <row r="46" spans="1:4">
      <c r="A46" s="32"/>
      <c r="B46" s="31">
        <f t="shared" si="3"/>
        <v>0.5900000000000003</v>
      </c>
      <c r="C46" s="30">
        <v>0</v>
      </c>
      <c r="D46" s="30">
        <f t="shared" si="4"/>
        <v>3.0000000000000105E-3</v>
      </c>
    </row>
    <row r="47" spans="1:4">
      <c r="A47" s="32"/>
      <c r="B47" s="31">
        <f t="shared" si="3"/>
        <v>0.60000000000000031</v>
      </c>
      <c r="C47" s="30">
        <v>0</v>
      </c>
      <c r="D47" s="30">
        <f t="shared" si="4"/>
        <v>3.3333333333333435E-3</v>
      </c>
    </row>
    <row r="48" spans="1:4">
      <c r="A48" s="32"/>
      <c r="B48" s="31">
        <f t="shared" si="3"/>
        <v>0.61000000000000032</v>
      </c>
      <c r="C48" s="30">
        <v>0</v>
      </c>
      <c r="D48" s="30">
        <f t="shared" si="4"/>
        <v>3.6666666666666774E-3</v>
      </c>
    </row>
    <row r="49" spans="1:4">
      <c r="A49" s="32"/>
      <c r="B49" s="31">
        <f t="shared" si="3"/>
        <v>0.62000000000000033</v>
      </c>
      <c r="C49" s="30">
        <v>0</v>
      </c>
      <c r="D49" s="30">
        <f t="shared" si="4"/>
        <v>4.0000000000000114E-3</v>
      </c>
    </row>
    <row r="50" spans="1:4">
      <c r="A50" s="32"/>
      <c r="B50" s="31">
        <f t="shared" si="3"/>
        <v>0.63000000000000034</v>
      </c>
      <c r="C50" s="30">
        <v>0</v>
      </c>
      <c r="D50" s="30">
        <f t="shared" si="4"/>
        <v>4.3333333333333444E-3</v>
      </c>
    </row>
    <row r="51" spans="1:4">
      <c r="A51" s="32"/>
      <c r="B51" s="31">
        <f t="shared" si="3"/>
        <v>0.64000000000000035</v>
      </c>
      <c r="C51" s="30">
        <v>0</v>
      </c>
      <c r="D51" s="30">
        <f t="shared" si="4"/>
        <v>4.6666666666666783E-3</v>
      </c>
    </row>
    <row r="52" spans="1:4">
      <c r="A52" s="32"/>
      <c r="B52" s="31">
        <f t="shared" si="3"/>
        <v>0.65000000000000036</v>
      </c>
      <c r="C52" s="30">
        <v>0</v>
      </c>
      <c r="D52" s="30">
        <f t="shared" si="4"/>
        <v>5.0000000000000114E-3</v>
      </c>
    </row>
    <row r="53" spans="1:4">
      <c r="A53" s="32"/>
      <c r="B53" s="31">
        <f t="shared" si="3"/>
        <v>0.66000000000000036</v>
      </c>
      <c r="C53" s="30">
        <v>0</v>
      </c>
      <c r="D53" s="30">
        <f t="shared" si="4"/>
        <v>5.3333333333333453E-3</v>
      </c>
    </row>
    <row r="54" spans="1:4">
      <c r="A54" s="32"/>
      <c r="B54" s="31">
        <f t="shared" si="3"/>
        <v>0.67000000000000037</v>
      </c>
      <c r="C54" s="30">
        <v>0</v>
      </c>
      <c r="D54" s="30">
        <f t="shared" ref="D54:D64" si="5">$D$67- ((B54-$B$67)*($D$67/($D$70-$B$67)))</f>
        <v>5.6666666666666792E-3</v>
      </c>
    </row>
    <row r="55" spans="1:4">
      <c r="A55" s="32"/>
      <c r="B55" s="31">
        <f t="shared" si="3"/>
        <v>0.68000000000000038</v>
      </c>
      <c r="C55" s="30">
        <v>0</v>
      </c>
      <c r="D55" s="30">
        <f t="shared" si="5"/>
        <v>6.0000000000000123E-3</v>
      </c>
    </row>
    <row r="56" spans="1:4">
      <c r="A56" s="32"/>
      <c r="B56" s="31">
        <f t="shared" si="3"/>
        <v>0.69000000000000039</v>
      </c>
      <c r="C56" s="30">
        <v>0</v>
      </c>
      <c r="D56" s="30">
        <f t="shared" si="5"/>
        <v>6.3333333333333453E-3</v>
      </c>
    </row>
    <row r="57" spans="1:4">
      <c r="A57" s="32"/>
      <c r="B57" s="31">
        <f t="shared" si="3"/>
        <v>0.7000000000000004</v>
      </c>
      <c r="C57" s="30">
        <v>0</v>
      </c>
      <c r="D57" s="30">
        <f t="shared" si="5"/>
        <v>6.6666666666666801E-3</v>
      </c>
    </row>
    <row r="58" spans="1:4">
      <c r="A58" s="32"/>
      <c r="B58" s="31">
        <f t="shared" si="3"/>
        <v>0.71000000000000041</v>
      </c>
      <c r="C58" s="30">
        <v>0</v>
      </c>
      <c r="D58" s="30">
        <f t="shared" si="5"/>
        <v>7.0000000000000132E-3</v>
      </c>
    </row>
    <row r="59" spans="1:4">
      <c r="A59" s="32"/>
      <c r="B59" s="31">
        <f t="shared" si="3"/>
        <v>0.72000000000000042</v>
      </c>
      <c r="C59" s="30">
        <v>0</v>
      </c>
      <c r="D59" s="30">
        <f t="shared" si="5"/>
        <v>7.3333333333333462E-3</v>
      </c>
    </row>
    <row r="60" spans="1:4">
      <c r="A60" s="32"/>
      <c r="B60" s="31">
        <f t="shared" si="3"/>
        <v>0.73000000000000043</v>
      </c>
      <c r="C60" s="30">
        <v>0</v>
      </c>
      <c r="D60" s="30">
        <f t="shared" si="5"/>
        <v>7.6666666666666801E-3</v>
      </c>
    </row>
    <row r="61" spans="1:4">
      <c r="A61" s="32"/>
      <c r="B61" s="31">
        <f t="shared" si="3"/>
        <v>0.74000000000000044</v>
      </c>
      <c r="C61" s="30">
        <v>0</v>
      </c>
      <c r="D61" s="30">
        <f t="shared" si="5"/>
        <v>8.000000000000014E-3</v>
      </c>
    </row>
    <row r="62" spans="1:4">
      <c r="A62" s="32"/>
      <c r="B62" s="31">
        <f t="shared" si="3"/>
        <v>0.75000000000000044</v>
      </c>
      <c r="C62" s="30">
        <v>0</v>
      </c>
      <c r="D62" s="30">
        <f t="shared" si="5"/>
        <v>8.3333333333333471E-3</v>
      </c>
    </row>
    <row r="63" spans="1:4">
      <c r="A63" s="32"/>
      <c r="B63" s="31">
        <f t="shared" si="3"/>
        <v>0.76000000000000045</v>
      </c>
      <c r="C63" s="30">
        <v>0</v>
      </c>
      <c r="D63" s="30">
        <f t="shared" si="5"/>
        <v>8.6666666666666801E-3</v>
      </c>
    </row>
    <row r="64" spans="1:4">
      <c r="A64" s="32"/>
      <c r="B64" s="31">
        <f t="shared" si="3"/>
        <v>0.77000000000000046</v>
      </c>
      <c r="C64" s="30">
        <v>0</v>
      </c>
      <c r="D64" s="30">
        <f t="shared" si="5"/>
        <v>9.0000000000000149E-3</v>
      </c>
    </row>
    <row r="65" spans="1:4">
      <c r="A65" s="32"/>
      <c r="B65" s="31">
        <f t="shared" si="3"/>
        <v>0.78000000000000047</v>
      </c>
      <c r="C65" s="30">
        <v>0</v>
      </c>
      <c r="D65" s="30">
        <f>$D$67- ((B65-$B$67)*($D$67/($D$70-$B$67)))</f>
        <v>9.333333333333348E-3</v>
      </c>
    </row>
    <row r="66" spans="1:4">
      <c r="A66" s="32"/>
      <c r="B66" s="31">
        <f t="shared" si="3"/>
        <v>0.79000000000000048</v>
      </c>
      <c r="C66" s="30">
        <v>0</v>
      </c>
      <c r="D66" s="30">
        <f>$D$67- ((B66-$B$67)*($D$67/($D$70-$B$67)))</f>
        <v>9.666666666666681E-3</v>
      </c>
    </row>
    <row r="67" spans="1:4" ht="28.8">
      <c r="A67" s="29" t="s">
        <v>118</v>
      </c>
      <c r="B67" s="28">
        <v>0.8</v>
      </c>
      <c r="C67" s="27">
        <v>0</v>
      </c>
      <c r="D67" s="27">
        <v>0.01</v>
      </c>
    </row>
    <row r="69" spans="1:4">
      <c r="A69" s="468" t="s">
        <v>117</v>
      </c>
      <c r="B69" s="469"/>
      <c r="C69" s="26">
        <f>'[3]A-Scaling Parameters'!C5</f>
        <v>0.51</v>
      </c>
      <c r="D69" s="26">
        <v>0.41</v>
      </c>
    </row>
    <row r="70" spans="1:4">
      <c r="A70" s="468" t="s">
        <v>116</v>
      </c>
      <c r="B70" s="469"/>
      <c r="C70" s="26" t="s">
        <v>115</v>
      </c>
      <c r="D70" s="26">
        <v>0.5</v>
      </c>
    </row>
    <row r="71" spans="1:4">
      <c r="A71" s="470" t="s">
        <v>114</v>
      </c>
      <c r="B71" s="470"/>
      <c r="C71" s="470"/>
      <c r="D71" s="470"/>
    </row>
    <row r="72" spans="1:4">
      <c r="A72" s="471"/>
      <c r="B72" s="471"/>
      <c r="C72" s="471"/>
      <c r="D72" s="471"/>
    </row>
  </sheetData>
  <mergeCells count="5">
    <mergeCell ref="A2:D2"/>
    <mergeCell ref="A3:B3"/>
    <mergeCell ref="A69:B69"/>
    <mergeCell ref="A70:B70"/>
    <mergeCell ref="A71:D72"/>
  </mergeCells>
  <printOptions horizontalCentered="1" verticalCentered="1"/>
  <pageMargins left="0.2" right="0.2" top="0.25" bottom="0" header="0.3" footer="0"/>
  <pageSetup paperSize="5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0"/>
  <sheetViews>
    <sheetView tabSelected="1" zoomScale="60" zoomScaleNormal="60" workbookViewId="0">
      <selection activeCell="L58" sqref="B2:L58"/>
    </sheetView>
  </sheetViews>
  <sheetFormatPr defaultColWidth="9.109375" defaultRowHeight="15.6"/>
  <cols>
    <col min="1" max="1" width="9.109375" style="80"/>
    <col min="2" max="2" width="16.33203125" style="80" customWidth="1"/>
    <col min="3" max="3" width="29.5546875" style="80" customWidth="1"/>
    <col min="4" max="4" width="20" style="80" customWidth="1"/>
    <col min="5" max="5" width="13.5546875" style="80" customWidth="1"/>
    <col min="6" max="6" width="31" style="82" customWidth="1"/>
    <col min="7" max="7" width="15.6640625" style="80" customWidth="1"/>
    <col min="8" max="8" width="19.33203125" style="80" customWidth="1"/>
    <col min="9" max="9" width="18" style="80" customWidth="1"/>
    <col min="10" max="10" width="20.44140625" style="79" customWidth="1"/>
    <col min="11" max="11" width="17.6640625" style="80" customWidth="1"/>
    <col min="12" max="12" width="19.44140625" style="83" customWidth="1"/>
    <col min="13" max="16384" width="9.109375" style="80"/>
  </cols>
  <sheetData>
    <row r="1" spans="2:12" ht="16.2" thickBot="1"/>
    <row r="2" spans="2:12" s="77" customFormat="1" ht="37.5" customHeight="1">
      <c r="B2" s="140"/>
      <c r="C2" s="340"/>
      <c r="D2" s="340"/>
      <c r="E2" s="340"/>
      <c r="F2" s="472" t="s">
        <v>135</v>
      </c>
      <c r="G2" s="473"/>
      <c r="H2" s="473"/>
      <c r="I2" s="474"/>
      <c r="J2" s="365" t="s">
        <v>315</v>
      </c>
      <c r="K2" s="365"/>
      <c r="L2" s="366"/>
    </row>
    <row r="3" spans="2:12" s="77" customFormat="1" ht="58.2" thickBot="1">
      <c r="B3" s="357" t="s">
        <v>113</v>
      </c>
      <c r="C3" s="358" t="s">
        <v>112</v>
      </c>
      <c r="D3" s="358" t="s">
        <v>111</v>
      </c>
      <c r="E3" s="358" t="s">
        <v>110</v>
      </c>
      <c r="F3" s="359" t="s">
        <v>109</v>
      </c>
      <c r="G3" s="360" t="s">
        <v>107</v>
      </c>
      <c r="H3" s="360" t="s">
        <v>106</v>
      </c>
      <c r="I3" s="361" t="s">
        <v>108</v>
      </c>
      <c r="J3" s="362" t="s">
        <v>123</v>
      </c>
      <c r="K3" s="363" t="s">
        <v>107</v>
      </c>
      <c r="L3" s="364" t="s">
        <v>106</v>
      </c>
    </row>
    <row r="4" spans="2:12" s="77" customFormat="1">
      <c r="B4" s="349" t="s">
        <v>233</v>
      </c>
      <c r="C4" s="350" t="s">
        <v>234</v>
      </c>
      <c r="D4" s="351" t="s">
        <v>235</v>
      </c>
      <c r="E4" s="352" t="s">
        <v>236</v>
      </c>
      <c r="F4" s="352" t="s">
        <v>237</v>
      </c>
      <c r="G4" s="352" t="s">
        <v>238</v>
      </c>
      <c r="H4" s="353" t="s">
        <v>316</v>
      </c>
      <c r="I4" s="353" t="s">
        <v>317</v>
      </c>
      <c r="J4" s="354" t="s">
        <v>240</v>
      </c>
      <c r="K4" s="355" t="s">
        <v>241</v>
      </c>
      <c r="L4" s="356" t="s">
        <v>318</v>
      </c>
    </row>
    <row r="5" spans="2:12" s="79" customFormat="1" ht="16.2" hidden="1" customHeight="1">
      <c r="B5" s="341"/>
      <c r="C5" s="311" t="s">
        <v>105</v>
      </c>
      <c r="D5" s="311"/>
      <c r="E5" s="311"/>
      <c r="F5" s="312"/>
      <c r="G5" s="313">
        <f>'5.MHAC Scaling'!C4</f>
        <v>-0.03</v>
      </c>
      <c r="H5" s="314" t="s">
        <v>104</v>
      </c>
      <c r="I5" s="314"/>
      <c r="J5" s="315"/>
      <c r="K5" s="316">
        <f>'1.Aggregate Summary'!$B$5</f>
        <v>-0.01</v>
      </c>
      <c r="L5" s="342" t="s">
        <v>104</v>
      </c>
    </row>
    <row r="6" spans="2:12">
      <c r="B6" s="343">
        <v>210019</v>
      </c>
      <c r="C6" s="317" t="s">
        <v>269</v>
      </c>
      <c r="D6" s="303">
        <f>VLOOKUP(B6,Revenue!$A$2:$C$47,3,0)</f>
        <v>233728496.38738936</v>
      </c>
      <c r="E6" s="318">
        <v>0.19</v>
      </c>
      <c r="F6" s="319">
        <v>0.22</v>
      </c>
      <c r="G6" s="304">
        <f>'5.MHAC Scaling'!C9</f>
        <v>-2.5588235294117641E-2</v>
      </c>
      <c r="H6" s="305">
        <f>D6*G6</f>
        <v>-5980699.7605008436</v>
      </c>
      <c r="I6" s="305">
        <f t="shared" ref="I6:I51" si="0">H6/$I$58</f>
        <v>-2177225.062583176</v>
      </c>
      <c r="J6" s="320">
        <v>0.27</v>
      </c>
      <c r="K6" s="304">
        <f>'5.MHAC Scaling'!$D$4- ((J6-'5.MHAC Scaling'!$B$4)*('5.MHAC Scaling'!$D$4/('3.MHAC Modeling Results'!$J$22-'5.MHAC Scaling'!$B$4)))</f>
        <v>-5.8333333333333327E-3</v>
      </c>
      <c r="L6" s="306">
        <f t="shared" ref="L6:L51" si="1">K6*D6</f>
        <v>-1363416.2289264379</v>
      </c>
    </row>
    <row r="7" spans="2:12">
      <c r="B7" s="343">
        <v>210004</v>
      </c>
      <c r="C7" s="317" t="s">
        <v>270</v>
      </c>
      <c r="D7" s="303">
        <f>VLOOKUP(B7,Revenue!$A$2:$C$47,3,0)</f>
        <v>319596342.21781081</v>
      </c>
      <c r="E7" s="318">
        <v>0.21</v>
      </c>
      <c r="F7" s="319">
        <v>0.22</v>
      </c>
      <c r="G7" s="304">
        <f>'5.MHAC Scaling'!C9</f>
        <v>-2.5588235294117641E-2</v>
      </c>
      <c r="H7" s="305">
        <f t="shared" ref="H7:H51" si="2">D7*G7</f>
        <v>-8177906.403808686</v>
      </c>
      <c r="I7" s="305">
        <f t="shared" si="0"/>
        <v>-2977100.2549609113</v>
      </c>
      <c r="J7" s="320">
        <v>0.27</v>
      </c>
      <c r="K7" s="304">
        <f>'5.MHAC Scaling'!$D$4- ((J7-'5.MHAC Scaling'!$B$4)*('5.MHAC Scaling'!$D$4/('3.MHAC Modeling Results'!$J$22-'5.MHAC Scaling'!$B$4)))</f>
        <v>-5.8333333333333327E-3</v>
      </c>
      <c r="L7" s="306">
        <f t="shared" si="1"/>
        <v>-1864311.9962705628</v>
      </c>
    </row>
    <row r="8" spans="2:12">
      <c r="B8" s="343">
        <v>210022</v>
      </c>
      <c r="C8" s="317" t="s">
        <v>271</v>
      </c>
      <c r="D8" s="303">
        <f>VLOOKUP(B8,Revenue!$A$2:$C$47,3,0)</f>
        <v>181410188.33315492</v>
      </c>
      <c r="E8" s="318">
        <v>0.2</v>
      </c>
      <c r="F8" s="319">
        <v>0.23</v>
      </c>
      <c r="G8" s="304">
        <f>'5.MHAC Scaling'!C10</f>
        <v>-2.4705882352941171E-2</v>
      </c>
      <c r="H8" s="305">
        <f t="shared" si="2"/>
        <v>-4481898.7705838261</v>
      </c>
      <c r="I8" s="305">
        <f t="shared" si="0"/>
        <v>-1631598.7630281334</v>
      </c>
      <c r="J8" s="320">
        <v>0.27</v>
      </c>
      <c r="K8" s="304">
        <f>'5.MHAC Scaling'!$D$4- ((J8-'5.MHAC Scaling'!$B$4)*('5.MHAC Scaling'!$D$4/('3.MHAC Modeling Results'!$J$22-'5.MHAC Scaling'!$B$4)))</f>
        <v>-5.8333333333333327E-3</v>
      </c>
      <c r="L8" s="306">
        <f t="shared" si="1"/>
        <v>-1058226.0986100703</v>
      </c>
    </row>
    <row r="9" spans="2:12">
      <c r="B9" s="343">
        <v>210062</v>
      </c>
      <c r="C9" s="317" t="s">
        <v>272</v>
      </c>
      <c r="D9" s="303">
        <f>VLOOKUP(B9,Revenue!$A$2:$C$47,3,0)</f>
        <v>163208213.46317798</v>
      </c>
      <c r="E9" s="318">
        <v>0.23</v>
      </c>
      <c r="F9" s="319">
        <v>0.24</v>
      </c>
      <c r="G9" s="304">
        <f>'5.MHAC Scaling'!C11</f>
        <v>-2.3823529411764698E-2</v>
      </c>
      <c r="H9" s="305">
        <f t="shared" si="2"/>
        <v>-3888195.6736815916</v>
      </c>
      <c r="I9" s="305">
        <f t="shared" si="0"/>
        <v>-1415465.9835754922</v>
      </c>
      <c r="J9" s="320">
        <v>0.28999999999999998</v>
      </c>
      <c r="K9" s="304">
        <f>'5.MHAC Scaling'!$D$4- ((J9-'5.MHAC Scaling'!$B$4)*('5.MHAC Scaling'!$D$4/('3.MHAC Modeling Results'!$J$22-'5.MHAC Scaling'!$B$4)))</f>
        <v>-5.000000000000001E-3</v>
      </c>
      <c r="L9" s="306">
        <f t="shared" si="1"/>
        <v>-816041.0673158901</v>
      </c>
    </row>
    <row r="10" spans="2:12">
      <c r="B10" s="343">
        <v>210044</v>
      </c>
      <c r="C10" s="317" t="s">
        <v>273</v>
      </c>
      <c r="D10" s="303">
        <f>VLOOKUP(B10,Revenue!$A$2:$C$47,3,0)</f>
        <v>201533345.32362995</v>
      </c>
      <c r="E10" s="318">
        <v>0.25</v>
      </c>
      <c r="F10" s="319">
        <v>0.27</v>
      </c>
      <c r="G10" s="304">
        <f>'5.MHAC Scaling'!C14</f>
        <v>-2.1176470588235286E-2</v>
      </c>
      <c r="H10" s="305">
        <f t="shared" si="2"/>
        <v>-4267764.9597945148</v>
      </c>
      <c r="I10" s="305">
        <f t="shared" si="0"/>
        <v>-1553645.0923429676</v>
      </c>
      <c r="J10" s="320">
        <v>0.31</v>
      </c>
      <c r="K10" s="304">
        <f>'5.MHAC Scaling'!$D$4- ((J10-'5.MHAC Scaling'!$B$4)*('5.MHAC Scaling'!$D$4/('3.MHAC Modeling Results'!$J$22-'5.MHAC Scaling'!$B$4)))</f>
        <v>-4.1666666666666666E-3</v>
      </c>
      <c r="L10" s="306">
        <f t="shared" si="1"/>
        <v>-839722.27218179149</v>
      </c>
    </row>
    <row r="11" spans="2:12">
      <c r="B11" s="343">
        <v>210048</v>
      </c>
      <c r="C11" s="317" t="s">
        <v>274</v>
      </c>
      <c r="D11" s="303">
        <f>VLOOKUP(B11,Revenue!$A$2:$C$47,3,0)</f>
        <v>167386496.75761572</v>
      </c>
      <c r="E11" s="318">
        <v>0.24</v>
      </c>
      <c r="F11" s="319">
        <v>0.27</v>
      </c>
      <c r="G11" s="304">
        <f>'5.MHAC Scaling'!C14</f>
        <v>-2.1176470588235286E-2</v>
      </c>
      <c r="H11" s="305">
        <f t="shared" si="2"/>
        <v>-3544655.2254553903</v>
      </c>
      <c r="I11" s="305">
        <f t="shared" si="0"/>
        <v>-1290402.8799518945</v>
      </c>
      <c r="J11" s="320">
        <v>0.31</v>
      </c>
      <c r="K11" s="304">
        <f>'5.MHAC Scaling'!$D$4- ((J11-'5.MHAC Scaling'!$B$4)*('5.MHAC Scaling'!$D$4/('3.MHAC Modeling Results'!$J$22-'5.MHAC Scaling'!$B$4)))</f>
        <v>-4.1666666666666666E-3</v>
      </c>
      <c r="L11" s="306">
        <f t="shared" si="1"/>
        <v>-697443.73649006546</v>
      </c>
    </row>
    <row r="12" spans="2:12">
      <c r="B12" s="343">
        <v>210009</v>
      </c>
      <c r="C12" s="317" t="s">
        <v>275</v>
      </c>
      <c r="D12" s="303">
        <f>VLOOKUP(B12,Revenue!$A$2:$C$47,3,0)</f>
        <v>1292515919.3162181</v>
      </c>
      <c r="E12" s="318">
        <v>0.25</v>
      </c>
      <c r="F12" s="319">
        <v>0.28999999999999998</v>
      </c>
      <c r="G12" s="304">
        <f>'5.MHAC Scaling'!C16</f>
        <v>-1.9411764705882344E-2</v>
      </c>
      <c r="H12" s="305">
        <f t="shared" si="2"/>
        <v>-25090014.904373635</v>
      </c>
      <c r="I12" s="305">
        <f t="shared" si="0"/>
        <v>-9133815.6834365297</v>
      </c>
      <c r="J12" s="320">
        <v>0.32</v>
      </c>
      <c r="K12" s="304">
        <f>'5.MHAC Scaling'!$D$4- ((J12-'5.MHAC Scaling'!$B$4)*('5.MHAC Scaling'!$D$4/('3.MHAC Modeling Results'!$J$22-'5.MHAC Scaling'!$B$4)))</f>
        <v>-3.7499999999999999E-3</v>
      </c>
      <c r="L12" s="306">
        <f t="shared" si="1"/>
        <v>-4846934.6974358177</v>
      </c>
    </row>
    <row r="13" spans="2:12">
      <c r="B13" s="343">
        <v>210002</v>
      </c>
      <c r="C13" s="317" t="s">
        <v>276</v>
      </c>
      <c r="D13" s="303">
        <f>VLOOKUP(B13,Revenue!$A$2:$C$47,3,0)</f>
        <v>863843448.60398436</v>
      </c>
      <c r="E13" s="318">
        <v>0.25</v>
      </c>
      <c r="F13" s="319">
        <v>0.28999999999999998</v>
      </c>
      <c r="G13" s="304">
        <f>'5.MHAC Scaling'!C16</f>
        <v>-1.9411764705882344E-2</v>
      </c>
      <c r="H13" s="305">
        <f t="shared" si="2"/>
        <v>-16768725.767018512</v>
      </c>
      <c r="I13" s="305">
        <f t="shared" si="0"/>
        <v>-6104518.1115193758</v>
      </c>
      <c r="J13" s="320">
        <v>0.33</v>
      </c>
      <c r="K13" s="304">
        <f>'5.MHAC Scaling'!$D$4- ((J13-'5.MHAC Scaling'!$B$4)*('5.MHAC Scaling'!$D$4/('3.MHAC Modeling Results'!$J$22-'5.MHAC Scaling'!$B$4)))</f>
        <v>-3.3333333333333322E-3</v>
      </c>
      <c r="L13" s="306">
        <f t="shared" si="1"/>
        <v>-2879478.1620132802</v>
      </c>
    </row>
    <row r="14" spans="2:12">
      <c r="B14" s="343">
        <v>210024</v>
      </c>
      <c r="C14" s="317" t="s">
        <v>277</v>
      </c>
      <c r="D14" s="303">
        <f>VLOOKUP(B14,Revenue!$A$2:$C$47,3,0)</f>
        <v>242505500.48554313</v>
      </c>
      <c r="E14" s="318">
        <v>0.28000000000000003</v>
      </c>
      <c r="F14" s="319">
        <v>0.28999999999999998</v>
      </c>
      <c r="G14" s="304">
        <f>'5.MHAC Scaling'!C16</f>
        <v>-1.9411764705882344E-2</v>
      </c>
      <c r="H14" s="305">
        <f t="shared" si="2"/>
        <v>-4707459.7153075999</v>
      </c>
      <c r="I14" s="305">
        <f t="shared" si="0"/>
        <v>-1713712.3888008161</v>
      </c>
      <c r="J14" s="320">
        <v>0.33</v>
      </c>
      <c r="K14" s="304">
        <f>'5.MHAC Scaling'!$D$4- ((J14-'5.MHAC Scaling'!$B$4)*('5.MHAC Scaling'!$D$4/('3.MHAC Modeling Results'!$J$22-'5.MHAC Scaling'!$B$4)))</f>
        <v>-3.3333333333333322E-3</v>
      </c>
      <c r="L14" s="306">
        <f t="shared" si="1"/>
        <v>-808351.66828514356</v>
      </c>
    </row>
    <row r="15" spans="2:12">
      <c r="B15" s="343">
        <v>210033</v>
      </c>
      <c r="C15" s="317" t="s">
        <v>278</v>
      </c>
      <c r="D15" s="303">
        <f>VLOOKUP(B15,Revenue!$A$2:$C$47,3,0)</f>
        <v>138209278.26224214</v>
      </c>
      <c r="E15" s="318">
        <v>0.28999999999999998</v>
      </c>
      <c r="F15" s="319">
        <v>0.31</v>
      </c>
      <c r="G15" s="304">
        <f>'5.MHAC Scaling'!C18</f>
        <v>-1.7647058823529401E-2</v>
      </c>
      <c r="H15" s="305">
        <f t="shared" si="2"/>
        <v>-2438987.2634513304</v>
      </c>
      <c r="I15" s="305">
        <f t="shared" si="0"/>
        <v>-887893.45895248489</v>
      </c>
      <c r="J15" s="320">
        <v>0.35</v>
      </c>
      <c r="K15" s="304">
        <f>'5.MHAC Scaling'!$D$4- ((J15-'5.MHAC Scaling'!$B$4)*('5.MHAC Scaling'!$D$4/('3.MHAC Modeling Results'!$J$22-'5.MHAC Scaling'!$B$4)))</f>
        <v>-2.5000000000000005E-3</v>
      </c>
      <c r="L15" s="306">
        <f t="shared" si="1"/>
        <v>-345523.19565560541</v>
      </c>
    </row>
    <row r="16" spans="2:12">
      <c r="B16" s="343">
        <v>210023</v>
      </c>
      <c r="C16" s="317" t="s">
        <v>279</v>
      </c>
      <c r="D16" s="303">
        <f>VLOOKUP(B16,Revenue!$A$2:$C$47,3,0)</f>
        <v>310117074.81392145</v>
      </c>
      <c r="E16" s="318">
        <v>0.28999999999999998</v>
      </c>
      <c r="F16" s="319">
        <v>0.32</v>
      </c>
      <c r="G16" s="304">
        <f>'5.MHAC Scaling'!C19</f>
        <v>-1.6764705882352932E-2</v>
      </c>
      <c r="H16" s="305">
        <f t="shared" si="2"/>
        <v>-5199021.5483510327</v>
      </c>
      <c r="I16" s="305">
        <f t="shared" si="0"/>
        <v>-1892661.47261536</v>
      </c>
      <c r="J16" s="320">
        <v>0.36</v>
      </c>
      <c r="K16" s="304">
        <f>'5.MHAC Scaling'!$D$4- ((J16-'5.MHAC Scaling'!$B$4)*('5.MHAC Scaling'!$D$4/('3.MHAC Modeling Results'!$J$22-'5.MHAC Scaling'!$B$4)))</f>
        <v>-2.0833333333333329E-3</v>
      </c>
      <c r="L16" s="306">
        <f t="shared" si="1"/>
        <v>-646077.23919566954</v>
      </c>
    </row>
    <row r="17" spans="2:12">
      <c r="B17" s="343">
        <v>210043</v>
      </c>
      <c r="C17" s="317" t="s">
        <v>280</v>
      </c>
      <c r="D17" s="303">
        <f>VLOOKUP(B17,Revenue!$A$2:$C$47,3,0)</f>
        <v>223155125.99975017</v>
      </c>
      <c r="E17" s="318">
        <v>0.3</v>
      </c>
      <c r="F17" s="319">
        <v>0.32</v>
      </c>
      <c r="G17" s="304">
        <f>'5.MHAC Scaling'!C19</f>
        <v>-1.6764705882352932E-2</v>
      </c>
      <c r="H17" s="305">
        <f t="shared" si="2"/>
        <v>-3741130.0535252211</v>
      </c>
      <c r="I17" s="305">
        <f t="shared" si="0"/>
        <v>-1361927.9417290357</v>
      </c>
      <c r="J17" s="320">
        <v>0.37</v>
      </c>
      <c r="K17" s="304">
        <f>'5.MHAC Scaling'!$D$4- ((J17-'5.MHAC Scaling'!$B$4)*('5.MHAC Scaling'!$D$4/('3.MHAC Modeling Results'!$J$22-'5.MHAC Scaling'!$B$4)))</f>
        <v>-1.666666666666667E-3</v>
      </c>
      <c r="L17" s="306">
        <f t="shared" si="1"/>
        <v>-371925.20999958366</v>
      </c>
    </row>
    <row r="18" spans="2:12">
      <c r="B18" s="343">
        <v>210051</v>
      </c>
      <c r="C18" s="317" t="s">
        <v>281</v>
      </c>
      <c r="D18" s="303">
        <f>VLOOKUP(B18,Revenue!$A$2:$C$47,3,0)</f>
        <v>136225390.68992713</v>
      </c>
      <c r="E18" s="318">
        <v>0.32</v>
      </c>
      <c r="F18" s="319">
        <v>0.34</v>
      </c>
      <c r="G18" s="304">
        <f>'5.MHAC Scaling'!C21</f>
        <v>-1.4999999999999987E-2</v>
      </c>
      <c r="H18" s="305">
        <f t="shared" si="2"/>
        <v>-2043380.8603489052</v>
      </c>
      <c r="I18" s="305">
        <f t="shared" si="0"/>
        <v>-743876.16829336435</v>
      </c>
      <c r="J18" s="320">
        <v>0.38</v>
      </c>
      <c r="K18" s="304">
        <f>'5.MHAC Scaling'!$D$4- ((J18-'5.MHAC Scaling'!$B$4)*('5.MHAC Scaling'!$D$4/('3.MHAC Modeling Results'!$J$22-'5.MHAC Scaling'!$B$4)))</f>
        <v>-1.2499999999999994E-3</v>
      </c>
      <c r="L18" s="306">
        <f t="shared" si="1"/>
        <v>-170281.73836240883</v>
      </c>
    </row>
    <row r="19" spans="2:12">
      <c r="B19" s="343">
        <v>210040</v>
      </c>
      <c r="C19" s="317" t="s">
        <v>282</v>
      </c>
      <c r="D19" s="303">
        <f>VLOOKUP(B19,Revenue!$A$2:$C$47,3,0)</f>
        <v>142186717.48751882</v>
      </c>
      <c r="E19" s="318">
        <v>0.33</v>
      </c>
      <c r="F19" s="319">
        <v>0.36</v>
      </c>
      <c r="G19" s="304">
        <f>'5.MHAC Scaling'!C23</f>
        <v>-1.3235294117647043E-2</v>
      </c>
      <c r="H19" s="305">
        <f t="shared" si="2"/>
        <v>-1881883.0255700997</v>
      </c>
      <c r="I19" s="305">
        <f t="shared" si="0"/>
        <v>-685084.1961974625</v>
      </c>
      <c r="J19" s="320">
        <v>0.4</v>
      </c>
      <c r="K19" s="304">
        <f>'5.MHAC Scaling'!$D$4- ((J19-'5.MHAC Scaling'!$B$4)*('5.MHAC Scaling'!$D$4/('3.MHAC Modeling Results'!$J$22-'5.MHAC Scaling'!$B$4)))</f>
        <v>-4.1666666666666588E-4</v>
      </c>
      <c r="L19" s="306">
        <f t="shared" si="1"/>
        <v>-59244.465619799397</v>
      </c>
    </row>
    <row r="20" spans="2:12">
      <c r="B20" s="343">
        <v>210012</v>
      </c>
      <c r="C20" s="317" t="s">
        <v>283</v>
      </c>
      <c r="D20" s="303">
        <f>VLOOKUP(B20,Revenue!$A$2:$C$47,3,0)</f>
        <v>429154678.73181057</v>
      </c>
      <c r="E20" s="318">
        <v>0.33</v>
      </c>
      <c r="F20" s="319">
        <v>0.37</v>
      </c>
      <c r="G20" s="304">
        <f>'5.MHAC Scaling'!C24</f>
        <v>-1.2352941176470573E-2</v>
      </c>
      <c r="H20" s="305">
        <f t="shared" si="2"/>
        <v>-5301322.501981183</v>
      </c>
      <c r="I20" s="305">
        <f t="shared" si="0"/>
        <v>-1929903.3020147798</v>
      </c>
      <c r="J20" s="320">
        <v>0.4</v>
      </c>
      <c r="K20" s="304">
        <f>'5.MHAC Scaling'!$D$4- ((J20-'5.MHAC Scaling'!$B$4)*('5.MHAC Scaling'!$D$4/('3.MHAC Modeling Results'!$J$22-'5.MHAC Scaling'!$B$4)))</f>
        <v>-4.1666666666666588E-4</v>
      </c>
      <c r="L20" s="306">
        <f t="shared" si="1"/>
        <v>-178814.4494715874</v>
      </c>
    </row>
    <row r="21" spans="2:12">
      <c r="B21" s="343">
        <v>210034</v>
      </c>
      <c r="C21" s="317" t="s">
        <v>284</v>
      </c>
      <c r="D21" s="303">
        <f>VLOOKUP(B21,Revenue!$A$2:$C$47,3,0)</f>
        <v>124002219.66514386</v>
      </c>
      <c r="E21" s="318">
        <v>0.35</v>
      </c>
      <c r="F21" s="319">
        <v>0.37</v>
      </c>
      <c r="G21" s="304">
        <f>'5.MHAC Scaling'!C24</f>
        <v>-1.2352941176470573E-2</v>
      </c>
      <c r="H21" s="305">
        <f t="shared" si="2"/>
        <v>-1531792.1252753048</v>
      </c>
      <c r="I21" s="305">
        <f t="shared" si="0"/>
        <v>-557636.45382152626</v>
      </c>
      <c r="J21" s="320">
        <v>0.4</v>
      </c>
      <c r="K21" s="304">
        <f>'5.MHAC Scaling'!$D$4- ((J21-'5.MHAC Scaling'!$B$4)*('5.MHAC Scaling'!$D$4/('3.MHAC Modeling Results'!$J$22-'5.MHAC Scaling'!$B$4)))</f>
        <v>-4.1666666666666588E-4</v>
      </c>
      <c r="L21" s="306">
        <f t="shared" si="1"/>
        <v>-51667.59152714318</v>
      </c>
    </row>
    <row r="22" spans="2:12">
      <c r="B22" s="343">
        <v>210016</v>
      </c>
      <c r="C22" s="317" t="s">
        <v>285</v>
      </c>
      <c r="D22" s="303">
        <f>VLOOKUP(B22,Revenue!$A$2:$C$47,3,0)</f>
        <v>161698669.47905135</v>
      </c>
      <c r="E22" s="318">
        <v>0.34</v>
      </c>
      <c r="F22" s="319">
        <v>0.36</v>
      </c>
      <c r="G22" s="304">
        <f>'5.MHAC Scaling'!C23</f>
        <v>-1.3235294117647043E-2</v>
      </c>
      <c r="H22" s="305">
        <f t="shared" si="2"/>
        <v>-2140129.4489874416</v>
      </c>
      <c r="I22" s="305">
        <f t="shared" si="0"/>
        <v>-779096.70441600215</v>
      </c>
      <c r="J22" s="321">
        <v>0.41</v>
      </c>
      <c r="K22" s="307">
        <f>'5.MHAC Scaling'!$D$4- ((J22-'5.MHAC Scaling'!$B$4)*('5.MHAC Scaling'!$D$4/('3.MHAC Modeling Results'!$J$22-'5.MHAC Scaling'!$B$4)))</f>
        <v>0</v>
      </c>
      <c r="L22" s="310">
        <f t="shared" si="1"/>
        <v>0</v>
      </c>
    </row>
    <row r="23" spans="2:12">
      <c r="B23" s="343">
        <v>210049</v>
      </c>
      <c r="C23" s="317" t="s">
        <v>286</v>
      </c>
      <c r="D23" s="303">
        <f>VLOOKUP(B23,Revenue!$A$2:$C$47,3,0)</f>
        <v>148917095.66517001</v>
      </c>
      <c r="E23" s="318">
        <v>0.33</v>
      </c>
      <c r="F23" s="319">
        <v>0.37</v>
      </c>
      <c r="G23" s="304">
        <f>'5.MHAC Scaling'!C24</f>
        <v>-1.2352941176470573E-2</v>
      </c>
      <c r="H23" s="305">
        <f t="shared" si="2"/>
        <v>-1839564.1229226862</v>
      </c>
      <c r="I23" s="305">
        <f t="shared" si="0"/>
        <v>-669678.3441810339</v>
      </c>
      <c r="J23" s="322">
        <v>0.41</v>
      </c>
      <c r="K23" s="307">
        <f>'5.MHAC Scaling'!$D$4- ((J23-'5.MHAC Scaling'!$B$4)*('5.MHAC Scaling'!$D$4/('3.MHAC Modeling Results'!$J$22-'5.MHAC Scaling'!$B$4)))</f>
        <v>0</v>
      </c>
      <c r="L23" s="310">
        <f t="shared" si="1"/>
        <v>0</v>
      </c>
    </row>
    <row r="24" spans="2:12">
      <c r="B24" s="343">
        <v>210063</v>
      </c>
      <c r="C24" s="317" t="s">
        <v>287</v>
      </c>
      <c r="D24" s="303">
        <f>VLOOKUP(B24,Revenue!$A$2:$C$47,3,0)</f>
        <v>216335127.85977465</v>
      </c>
      <c r="E24" s="318">
        <v>0.34</v>
      </c>
      <c r="F24" s="319">
        <v>0.37</v>
      </c>
      <c r="G24" s="304">
        <f>'5.MHAC Scaling'!C24</f>
        <v>-1.2352941176470573E-2</v>
      </c>
      <c r="H24" s="305">
        <f t="shared" si="2"/>
        <v>-2672375.1088560368</v>
      </c>
      <c r="I24" s="305">
        <f t="shared" si="0"/>
        <v>-972856.40420403879</v>
      </c>
      <c r="J24" s="322">
        <v>0.41</v>
      </c>
      <c r="K24" s="307">
        <f>'5.MHAC Scaling'!$D$4- ((J24-'5.MHAC Scaling'!$B$4)*('5.MHAC Scaling'!$D$4/('3.MHAC Modeling Results'!$J$22-'5.MHAC Scaling'!$B$4)))</f>
        <v>0</v>
      </c>
      <c r="L24" s="310">
        <f t="shared" si="1"/>
        <v>0</v>
      </c>
    </row>
    <row r="25" spans="2:12">
      <c r="B25" s="343">
        <v>210001</v>
      </c>
      <c r="C25" s="317" t="s">
        <v>288</v>
      </c>
      <c r="D25" s="303">
        <f>VLOOKUP(B25,Revenue!$A$2:$C$47,3,0)</f>
        <v>187434496.6631088</v>
      </c>
      <c r="E25" s="318">
        <v>0.36</v>
      </c>
      <c r="F25" s="319">
        <v>0.38</v>
      </c>
      <c r="G25" s="304">
        <f>'5.MHAC Scaling'!C25</f>
        <v>-1.14705882352941E-2</v>
      </c>
      <c r="H25" s="305">
        <f t="shared" si="2"/>
        <v>-2149983.9323121272</v>
      </c>
      <c r="I25" s="305">
        <f t="shared" si="0"/>
        <v>-782684.14885101863</v>
      </c>
      <c r="J25" s="322">
        <v>0.41</v>
      </c>
      <c r="K25" s="307">
        <f>'5.MHAC Scaling'!$D$4- ((J25-'5.MHAC Scaling'!$B$4)*('5.MHAC Scaling'!$D$4/('3.MHAC Modeling Results'!$J$22-'5.MHAC Scaling'!$B$4)))</f>
        <v>0</v>
      </c>
      <c r="L25" s="310">
        <f t="shared" si="1"/>
        <v>0</v>
      </c>
    </row>
    <row r="26" spans="2:12">
      <c r="B26" s="343">
        <v>210005</v>
      </c>
      <c r="C26" s="317" t="s">
        <v>289</v>
      </c>
      <c r="D26" s="303">
        <f>VLOOKUP(B26,Revenue!$A$2:$C$47,3,0)</f>
        <v>189480762.70820984</v>
      </c>
      <c r="E26" s="318">
        <v>0.36</v>
      </c>
      <c r="F26" s="319">
        <v>0.38</v>
      </c>
      <c r="G26" s="304">
        <f>'5.MHAC Scaling'!C25</f>
        <v>-1.14705882352941E-2</v>
      </c>
      <c r="H26" s="305">
        <f t="shared" si="2"/>
        <v>-2173455.8075353447</v>
      </c>
      <c r="I26" s="305">
        <f t="shared" si="0"/>
        <v>-791228.89395581803</v>
      </c>
      <c r="J26" s="322">
        <v>0.42</v>
      </c>
      <c r="K26" s="307">
        <f>K25</f>
        <v>0</v>
      </c>
      <c r="L26" s="310">
        <f t="shared" si="1"/>
        <v>0</v>
      </c>
    </row>
    <row r="27" spans="2:12">
      <c r="B27" s="343">
        <v>210011</v>
      </c>
      <c r="C27" s="317" t="s">
        <v>290</v>
      </c>
      <c r="D27" s="303">
        <f>VLOOKUP(B27,Revenue!$A$2:$C$47,3,0)</f>
        <v>239121555.83864471</v>
      </c>
      <c r="E27" s="318">
        <v>0.36</v>
      </c>
      <c r="F27" s="319">
        <v>0.39</v>
      </c>
      <c r="G27" s="304">
        <f>'5.MHAC Scaling'!C26</f>
        <v>-1.0588235294117631E-2</v>
      </c>
      <c r="H27" s="305">
        <f t="shared" si="2"/>
        <v>-2531875.2971150577</v>
      </c>
      <c r="I27" s="305">
        <f t="shared" si="0"/>
        <v>-921708.59146296571</v>
      </c>
      <c r="J27" s="322">
        <v>0.42</v>
      </c>
      <c r="K27" s="307">
        <f t="shared" ref="K27:K35" si="3">K26</f>
        <v>0</v>
      </c>
      <c r="L27" s="310">
        <f t="shared" si="1"/>
        <v>0</v>
      </c>
    </row>
    <row r="28" spans="2:12">
      <c r="B28" s="343">
        <v>210018</v>
      </c>
      <c r="C28" s="317" t="s">
        <v>291</v>
      </c>
      <c r="D28" s="303">
        <f>VLOOKUP(B28,Revenue!$A$2:$C$47,3,0)</f>
        <v>87652208.15841648</v>
      </c>
      <c r="E28" s="318">
        <v>0.37</v>
      </c>
      <c r="F28" s="319">
        <v>0.39</v>
      </c>
      <c r="G28" s="304">
        <f>'5.MHAC Scaling'!C26</f>
        <v>-1.0588235294117631E-2</v>
      </c>
      <c r="H28" s="305">
        <f t="shared" si="2"/>
        <v>-928082.20403029071</v>
      </c>
      <c r="I28" s="305">
        <f t="shared" si="0"/>
        <v>-337860.77142634662</v>
      </c>
      <c r="J28" s="322">
        <v>0.42</v>
      </c>
      <c r="K28" s="307">
        <f t="shared" si="3"/>
        <v>0</v>
      </c>
      <c r="L28" s="310">
        <f t="shared" si="1"/>
        <v>0</v>
      </c>
    </row>
    <row r="29" spans="2:12">
      <c r="B29" s="343">
        <v>210008</v>
      </c>
      <c r="C29" s="317" t="s">
        <v>292</v>
      </c>
      <c r="D29" s="303">
        <f>VLOOKUP(B29,Revenue!$A$2:$C$47,3,0)</f>
        <v>233163593.66479388</v>
      </c>
      <c r="E29" s="318">
        <v>0.38</v>
      </c>
      <c r="F29" s="320">
        <v>0.4</v>
      </c>
      <c r="G29" s="304">
        <f>'5.MHAC Scaling'!C27</f>
        <v>-9.7058823529411579E-3</v>
      </c>
      <c r="H29" s="305">
        <f t="shared" si="2"/>
        <v>-2263058.4090994657</v>
      </c>
      <c r="I29" s="305">
        <f t="shared" si="0"/>
        <v>-823847.99165513506</v>
      </c>
      <c r="J29" s="322">
        <v>0.44</v>
      </c>
      <c r="K29" s="307">
        <f t="shared" si="3"/>
        <v>0</v>
      </c>
      <c r="L29" s="310">
        <f t="shared" si="1"/>
        <v>0</v>
      </c>
    </row>
    <row r="30" spans="2:12">
      <c r="B30" s="343">
        <v>210010</v>
      </c>
      <c r="C30" s="317" t="s">
        <v>293</v>
      </c>
      <c r="D30" s="303">
        <f>VLOOKUP(B30,Revenue!$A$2:$C$47,3,0)</f>
        <v>25127934.983499374</v>
      </c>
      <c r="E30" s="318">
        <v>0.4</v>
      </c>
      <c r="F30" s="320">
        <v>0.4</v>
      </c>
      <c r="G30" s="304">
        <f>'5.MHAC Scaling'!C27</f>
        <v>-9.7058823529411579E-3</v>
      </c>
      <c r="H30" s="305">
        <f t="shared" si="2"/>
        <v>-243888.78072219936</v>
      </c>
      <c r="I30" s="305">
        <f t="shared" si="0"/>
        <v>-88785.725272180731</v>
      </c>
      <c r="J30" s="322">
        <v>0.44</v>
      </c>
      <c r="K30" s="307">
        <f t="shared" si="3"/>
        <v>0</v>
      </c>
      <c r="L30" s="310">
        <f t="shared" si="1"/>
        <v>0</v>
      </c>
    </row>
    <row r="31" spans="2:12">
      <c r="B31" s="343">
        <v>210027</v>
      </c>
      <c r="C31" s="317" t="s">
        <v>294</v>
      </c>
      <c r="D31" s="303">
        <f>VLOOKUP(B31,Revenue!$A$2:$C$47,3,0)</f>
        <v>184484265.97300443</v>
      </c>
      <c r="E31" s="318">
        <v>0.38</v>
      </c>
      <c r="F31" s="319">
        <v>0.41</v>
      </c>
      <c r="G31" s="304">
        <f>'5.MHAC Scaling'!C28</f>
        <v>-8.8235294117646884E-3</v>
      </c>
      <c r="H31" s="305">
        <f t="shared" si="2"/>
        <v>-1627802.3468206241</v>
      </c>
      <c r="I31" s="305">
        <f t="shared" si="0"/>
        <v>-592588.19341447426</v>
      </c>
      <c r="J31" s="322">
        <v>0.44</v>
      </c>
      <c r="K31" s="307">
        <f t="shared" si="3"/>
        <v>0</v>
      </c>
      <c r="L31" s="310">
        <f t="shared" si="1"/>
        <v>0</v>
      </c>
    </row>
    <row r="32" spans="2:12">
      <c r="B32" s="343">
        <v>210055</v>
      </c>
      <c r="C32" s="317" t="s">
        <v>295</v>
      </c>
      <c r="D32" s="303">
        <f>VLOOKUP(B32,Revenue!$A$2:$C$47,3,0)</f>
        <v>77501975.342135206</v>
      </c>
      <c r="E32" s="323">
        <v>0.4</v>
      </c>
      <c r="F32" s="319">
        <v>0.41</v>
      </c>
      <c r="G32" s="304">
        <f>'5.MHAC Scaling'!C28</f>
        <v>-8.8235294117646884E-3</v>
      </c>
      <c r="H32" s="305">
        <f t="shared" si="2"/>
        <v>-683840.9589011916</v>
      </c>
      <c r="I32" s="305">
        <f t="shared" si="0"/>
        <v>-248946.73435603169</v>
      </c>
      <c r="J32" s="322">
        <v>0.45</v>
      </c>
      <c r="K32" s="307">
        <f t="shared" si="3"/>
        <v>0</v>
      </c>
      <c r="L32" s="310">
        <f t="shared" si="1"/>
        <v>0</v>
      </c>
    </row>
    <row r="33" spans="2:12">
      <c r="B33" s="343">
        <v>210015</v>
      </c>
      <c r="C33" s="317" t="s">
        <v>296</v>
      </c>
      <c r="D33" s="303">
        <f>VLOOKUP(B33,Revenue!$A$2:$C$47,3,0)</f>
        <v>285691170.35922825</v>
      </c>
      <c r="E33" s="318">
        <v>0.38</v>
      </c>
      <c r="F33" s="319">
        <v>0.41</v>
      </c>
      <c r="G33" s="304">
        <f>'5.MHAC Scaling'!C28</f>
        <v>-8.8235294117646884E-3</v>
      </c>
      <c r="H33" s="305">
        <f t="shared" si="2"/>
        <v>-2520804.4443461266</v>
      </c>
      <c r="I33" s="305">
        <f t="shared" si="0"/>
        <v>-917678.33763349301</v>
      </c>
      <c r="J33" s="322">
        <v>0.46</v>
      </c>
      <c r="K33" s="307">
        <f t="shared" si="3"/>
        <v>0</v>
      </c>
      <c r="L33" s="310">
        <f t="shared" si="1"/>
        <v>0</v>
      </c>
    </row>
    <row r="34" spans="2:12">
      <c r="B34" s="343">
        <v>210057</v>
      </c>
      <c r="C34" s="317" t="s">
        <v>297</v>
      </c>
      <c r="D34" s="303">
        <f>VLOOKUP(B34,Revenue!$A$2:$C$47,3,0)</f>
        <v>228731774.96088892</v>
      </c>
      <c r="E34" s="318">
        <v>0.42</v>
      </c>
      <c r="F34" s="319">
        <v>0.45</v>
      </c>
      <c r="G34" s="304">
        <f>'5.MHAC Scaling'!C32</f>
        <v>-5.2941176470587999E-3</v>
      </c>
      <c r="H34" s="305">
        <f t="shared" si="2"/>
        <v>-1210932.9262635242</v>
      </c>
      <c r="I34" s="305">
        <f t="shared" si="0"/>
        <v>-440830.27434022923</v>
      </c>
      <c r="J34" s="322">
        <v>0.48</v>
      </c>
      <c r="K34" s="307">
        <f t="shared" si="3"/>
        <v>0</v>
      </c>
      <c r="L34" s="310">
        <f t="shared" si="1"/>
        <v>0</v>
      </c>
    </row>
    <row r="35" spans="2:12">
      <c r="B35" s="343">
        <v>210038</v>
      </c>
      <c r="C35" s="317" t="s">
        <v>298</v>
      </c>
      <c r="D35" s="303">
        <f>VLOOKUP(B35,Revenue!$A$2:$C$47,3,0)</f>
        <v>133787810.98689511</v>
      </c>
      <c r="E35" s="318">
        <v>0.44</v>
      </c>
      <c r="F35" s="319">
        <v>0.46</v>
      </c>
      <c r="G35" s="304">
        <f>'5.MHAC Scaling'!C33</f>
        <v>-4.4117647058823269E-3</v>
      </c>
      <c r="H35" s="305">
        <f t="shared" si="2"/>
        <v>-590240.34258923971</v>
      </c>
      <c r="I35" s="305">
        <f t="shared" si="0"/>
        <v>-214872.19193316525</v>
      </c>
      <c r="J35" s="322">
        <v>0.49</v>
      </c>
      <c r="K35" s="307">
        <f t="shared" si="3"/>
        <v>0</v>
      </c>
      <c r="L35" s="310">
        <f t="shared" si="1"/>
        <v>0</v>
      </c>
    </row>
    <row r="36" spans="2:12">
      <c r="B36" s="343">
        <v>210006</v>
      </c>
      <c r="C36" s="317" t="s">
        <v>299</v>
      </c>
      <c r="D36" s="303">
        <f>VLOOKUP(B36,Revenue!$A$2:$C$47,3,0)</f>
        <v>47089618.293410309</v>
      </c>
      <c r="E36" s="318">
        <v>0.48</v>
      </c>
      <c r="F36" s="319">
        <v>0.49</v>
      </c>
      <c r="G36" s="304">
        <f>'5.MHAC Scaling'!C36</f>
        <v>-1.7647058823529148E-3</v>
      </c>
      <c r="H36" s="305">
        <f t="shared" si="2"/>
        <v>-83099.326400134596</v>
      </c>
      <c r="I36" s="305">
        <f t="shared" si="0"/>
        <v>-30251.633315062361</v>
      </c>
      <c r="J36" s="324">
        <v>0.51</v>
      </c>
      <c r="K36" s="309">
        <f>'5.MHAC Scaling'!$D$67- ((J36-'5.MHAC Scaling'!$B$67)*('5.MHAC Scaling'!$D$67/('5.MHAC Scaling'!$D$70-'5.MHAC Scaling'!$B$67)))</f>
        <v>3.3333333333333479E-4</v>
      </c>
      <c r="L36" s="344">
        <f t="shared" si="1"/>
        <v>15696.539431136838</v>
      </c>
    </row>
    <row r="37" spans="2:12">
      <c r="B37" s="343">
        <v>210037</v>
      </c>
      <c r="C37" s="317" t="s">
        <v>300</v>
      </c>
      <c r="D37" s="303">
        <f>VLOOKUP(B37,Revenue!$A$2:$C$47,3,0)</f>
        <v>94828131.850859523</v>
      </c>
      <c r="E37" s="318">
        <v>0.45</v>
      </c>
      <c r="F37" s="319">
        <v>0.48</v>
      </c>
      <c r="G37" s="304">
        <f>'5.MHAC Scaling'!C35</f>
        <v>-2.6470588235293843E-3</v>
      </c>
      <c r="H37" s="305">
        <f t="shared" si="2"/>
        <v>-251015.64313462554</v>
      </c>
      <c r="I37" s="305">
        <f t="shared" si="0"/>
        <v>-91380.201517986599</v>
      </c>
      <c r="J37" s="325">
        <v>0.52</v>
      </c>
      <c r="K37" s="309">
        <f>'5.MHAC Scaling'!$D$67- ((J37-'5.MHAC Scaling'!$B$67)*('5.MHAC Scaling'!$D$67/('5.MHAC Scaling'!$D$70-'5.MHAC Scaling'!$B$67)))</f>
        <v>6.6666666666666784E-4</v>
      </c>
      <c r="L37" s="344">
        <f t="shared" si="1"/>
        <v>63218.75456723979</v>
      </c>
    </row>
    <row r="38" spans="2:12">
      <c r="B38" s="343">
        <v>210058</v>
      </c>
      <c r="C38" s="317" t="s">
        <v>301</v>
      </c>
      <c r="D38" s="303">
        <f>VLOOKUP(B38,Revenue!$A$2:$C$47,3,0)</f>
        <v>69104845.787293941</v>
      </c>
      <c r="E38" s="318">
        <v>0.47</v>
      </c>
      <c r="F38" s="319">
        <v>0.49</v>
      </c>
      <c r="G38" s="304">
        <f>'5.MHAC Scaling'!C36</f>
        <v>-1.7647058823529148E-3</v>
      </c>
      <c r="H38" s="305">
        <f t="shared" si="2"/>
        <v>-121949.72785992867</v>
      </c>
      <c r="I38" s="305">
        <f t="shared" si="0"/>
        <v>-44394.805709089735</v>
      </c>
      <c r="J38" s="325">
        <v>0.53</v>
      </c>
      <c r="K38" s="309">
        <f>'5.MHAC Scaling'!$D$67- ((J38-'5.MHAC Scaling'!$B$67)*('5.MHAC Scaling'!$D$67/('5.MHAC Scaling'!$D$70-'5.MHAC Scaling'!$B$67)))</f>
        <v>1.0000000000000009E-3</v>
      </c>
      <c r="L38" s="344">
        <f t="shared" si="1"/>
        <v>69104.845787294005</v>
      </c>
    </row>
    <row r="39" spans="2:12" ht="18" customHeight="1">
      <c r="B39" s="343">
        <v>210032</v>
      </c>
      <c r="C39" s="317" t="s">
        <v>302</v>
      </c>
      <c r="D39" s="303">
        <f>VLOOKUP(B39,Revenue!$A$2:$C$47,3,0)</f>
        <v>67852188.547545061</v>
      </c>
      <c r="E39" s="318">
        <v>0.49</v>
      </c>
      <c r="F39" s="326">
        <v>0.51</v>
      </c>
      <c r="G39" s="307">
        <f>'5.MHAC Scaling'!C38</f>
        <v>0</v>
      </c>
      <c r="H39" s="308">
        <f t="shared" si="2"/>
        <v>0</v>
      </c>
      <c r="I39" s="308">
        <f t="shared" si="0"/>
        <v>0</v>
      </c>
      <c r="J39" s="325">
        <v>0.54</v>
      </c>
      <c r="K39" s="309">
        <f>'5.MHAC Scaling'!$D$67- ((J39-'5.MHAC Scaling'!$B$67)*('5.MHAC Scaling'!$D$67/('5.MHAC Scaling'!$D$70-'5.MHAC Scaling'!$B$67)))</f>
        <v>1.3333333333333357E-3</v>
      </c>
      <c r="L39" s="344">
        <f t="shared" si="1"/>
        <v>90469.584730060233</v>
      </c>
    </row>
    <row r="40" spans="2:12">
      <c r="B40" s="343">
        <v>210039</v>
      </c>
      <c r="C40" s="317" t="s">
        <v>303</v>
      </c>
      <c r="D40" s="303">
        <f>VLOOKUP(B40,Revenue!$A$2:$C$47,3,0)</f>
        <v>67385286.839919657</v>
      </c>
      <c r="E40" s="318">
        <v>0.48</v>
      </c>
      <c r="F40" s="327">
        <v>0.51</v>
      </c>
      <c r="G40" s="307">
        <f>'5.MHAC Scaling'!C38</f>
        <v>0</v>
      </c>
      <c r="H40" s="308">
        <f t="shared" si="2"/>
        <v>0</v>
      </c>
      <c r="I40" s="308">
        <f t="shared" si="0"/>
        <v>0</v>
      </c>
      <c r="J40" s="325">
        <v>0.55000000000000004</v>
      </c>
      <c r="K40" s="309">
        <f>'5.MHAC Scaling'!$D$67- ((J40-'5.MHAC Scaling'!$B$67)*('5.MHAC Scaling'!$D$67/('5.MHAC Scaling'!$D$70-'5.MHAC Scaling'!$B$67)))</f>
        <v>1.6666666666666687E-3</v>
      </c>
      <c r="L40" s="344">
        <f t="shared" si="1"/>
        <v>112308.81139986623</v>
      </c>
    </row>
    <row r="41" spans="2:12">
      <c r="B41" s="343">
        <v>210003</v>
      </c>
      <c r="C41" s="317" t="s">
        <v>304</v>
      </c>
      <c r="D41" s="303">
        <f>VLOOKUP(B41,Revenue!$A$2:$C$47,3,0)</f>
        <v>177243165.22063905</v>
      </c>
      <c r="E41" s="323">
        <v>0.5</v>
      </c>
      <c r="F41" s="327">
        <v>0.52</v>
      </c>
      <c r="G41" s="307">
        <f>'5.MHAC Scaling'!C39</f>
        <v>0</v>
      </c>
      <c r="H41" s="308">
        <f t="shared" si="2"/>
        <v>0</v>
      </c>
      <c r="I41" s="308">
        <f t="shared" si="0"/>
        <v>0</v>
      </c>
      <c r="J41" s="325">
        <v>0.55000000000000004</v>
      </c>
      <c r="K41" s="309">
        <f>'5.MHAC Scaling'!$D$67- ((J41-'5.MHAC Scaling'!$B$67)*('5.MHAC Scaling'!$D$67/('5.MHAC Scaling'!$D$70-'5.MHAC Scaling'!$B$67)))</f>
        <v>1.6666666666666687E-3</v>
      </c>
      <c r="L41" s="344">
        <f t="shared" si="1"/>
        <v>295405.2753677321</v>
      </c>
    </row>
    <row r="42" spans="2:12">
      <c r="B42" s="343">
        <v>210017</v>
      </c>
      <c r="C42" s="317" t="s">
        <v>305</v>
      </c>
      <c r="D42" s="303">
        <f>VLOOKUP(B42,Revenue!$A$2:$C$47,3,0)</f>
        <v>18724073.644907132</v>
      </c>
      <c r="E42" s="323">
        <v>0.5</v>
      </c>
      <c r="F42" s="327">
        <v>0.53</v>
      </c>
      <c r="G42" s="307">
        <f>'5.MHAC Scaling'!C40</f>
        <v>0</v>
      </c>
      <c r="H42" s="308">
        <f t="shared" si="2"/>
        <v>0</v>
      </c>
      <c r="I42" s="308">
        <f t="shared" si="0"/>
        <v>0</v>
      </c>
      <c r="J42" s="325">
        <v>0.56999999999999995</v>
      </c>
      <c r="K42" s="309">
        <f>'5.MHAC Scaling'!$D$67- ((J42-'5.MHAC Scaling'!$B$67)*('5.MHAC Scaling'!$D$67/('5.MHAC Scaling'!$D$70-'5.MHAC Scaling'!$B$67)))</f>
        <v>2.3333333333333322E-3</v>
      </c>
      <c r="L42" s="344">
        <f t="shared" si="1"/>
        <v>43689.505171449957</v>
      </c>
    </row>
    <row r="43" spans="2:12">
      <c r="B43" s="343">
        <v>210056</v>
      </c>
      <c r="C43" s="317" t="s">
        <v>306</v>
      </c>
      <c r="D43" s="303">
        <f>VLOOKUP(B43,Revenue!$A$2:$C$47,3,0)</f>
        <v>180861011.49427712</v>
      </c>
      <c r="E43" s="318">
        <v>0.52</v>
      </c>
      <c r="F43" s="327">
        <v>0.54</v>
      </c>
      <c r="G43" s="307">
        <f>'5.MHAC Scaling'!C41</f>
        <v>0</v>
      </c>
      <c r="H43" s="308">
        <f t="shared" si="2"/>
        <v>0</v>
      </c>
      <c r="I43" s="308">
        <f t="shared" si="0"/>
        <v>0</v>
      </c>
      <c r="J43" s="325">
        <v>0.56999999999999995</v>
      </c>
      <c r="K43" s="309">
        <f>'5.MHAC Scaling'!$D$67- ((J43-'5.MHAC Scaling'!$B$67)*('5.MHAC Scaling'!$D$67/('5.MHAC Scaling'!$D$70-'5.MHAC Scaling'!$B$67)))</f>
        <v>2.3333333333333322E-3</v>
      </c>
      <c r="L43" s="344">
        <f t="shared" si="1"/>
        <v>422009.02681997977</v>
      </c>
    </row>
    <row r="44" spans="2:12">
      <c r="B44" s="343">
        <v>210029</v>
      </c>
      <c r="C44" s="317" t="s">
        <v>307</v>
      </c>
      <c r="D44" s="303">
        <f>VLOOKUP(B44,Revenue!$A$2:$C$47,3,0)</f>
        <v>356396901.46731883</v>
      </c>
      <c r="E44" s="318">
        <v>0.55000000000000004</v>
      </c>
      <c r="F44" s="327">
        <v>0.57999999999999996</v>
      </c>
      <c r="G44" s="307">
        <f>'5.MHAC Scaling'!C45</f>
        <v>0</v>
      </c>
      <c r="H44" s="308">
        <f t="shared" si="2"/>
        <v>0</v>
      </c>
      <c r="I44" s="308">
        <f t="shared" si="0"/>
        <v>0</v>
      </c>
      <c r="J44" s="325">
        <v>0.6</v>
      </c>
      <c r="K44" s="309">
        <f>'5.MHAC Scaling'!$D$67- ((J44-'5.MHAC Scaling'!$B$67)*('5.MHAC Scaling'!$D$67/('5.MHAC Scaling'!$D$70-'5.MHAC Scaling'!$B$67)))</f>
        <v>3.3333333333333331E-3</v>
      </c>
      <c r="L44" s="344">
        <f t="shared" si="1"/>
        <v>1187989.6715577294</v>
      </c>
    </row>
    <row r="45" spans="2:12">
      <c r="B45" s="343">
        <v>210028</v>
      </c>
      <c r="C45" s="317" t="s">
        <v>308</v>
      </c>
      <c r="D45" s="303">
        <f>VLOOKUP(B45,Revenue!$A$2:$C$47,3,0)</f>
        <v>69520305.288439929</v>
      </c>
      <c r="E45" s="318">
        <v>0.55000000000000004</v>
      </c>
      <c r="F45" s="327">
        <v>0.57999999999999996</v>
      </c>
      <c r="G45" s="307">
        <f>'5.MHAC Scaling'!C45</f>
        <v>0</v>
      </c>
      <c r="H45" s="308">
        <f t="shared" si="2"/>
        <v>0</v>
      </c>
      <c r="I45" s="308">
        <f t="shared" si="0"/>
        <v>0</v>
      </c>
      <c r="J45" s="325">
        <v>0.61</v>
      </c>
      <c r="K45" s="309">
        <f>'5.MHAC Scaling'!$D$67- ((J45-'5.MHAC Scaling'!$B$67)*('5.MHAC Scaling'!$D$67/('5.MHAC Scaling'!$D$70-'5.MHAC Scaling'!$B$67)))</f>
        <v>3.6666666666666662E-3</v>
      </c>
      <c r="L45" s="344">
        <f t="shared" si="1"/>
        <v>254907.78605761303</v>
      </c>
    </row>
    <row r="46" spans="2:12">
      <c r="B46" s="343">
        <v>210060</v>
      </c>
      <c r="C46" s="317" t="s">
        <v>309</v>
      </c>
      <c r="D46" s="303">
        <f>VLOOKUP(B46,Revenue!$A$2:$C$47,3,0)</f>
        <v>17776133.449990414</v>
      </c>
      <c r="E46" s="318">
        <v>0.55000000000000004</v>
      </c>
      <c r="F46" s="327">
        <v>0.57999999999999996</v>
      </c>
      <c r="G46" s="307">
        <f>'5.MHAC Scaling'!C45</f>
        <v>0</v>
      </c>
      <c r="H46" s="308">
        <f t="shared" si="2"/>
        <v>0</v>
      </c>
      <c r="I46" s="308">
        <f t="shared" si="0"/>
        <v>0</v>
      </c>
      <c r="J46" s="325">
        <v>0.61</v>
      </c>
      <c r="K46" s="309">
        <f>'5.MHAC Scaling'!$D$67- ((J46-'5.MHAC Scaling'!$B$67)*('5.MHAC Scaling'!$D$67/('5.MHAC Scaling'!$D$70-'5.MHAC Scaling'!$B$67)))</f>
        <v>3.6666666666666662E-3</v>
      </c>
      <c r="L46" s="344">
        <f t="shared" si="1"/>
        <v>65179.155983298173</v>
      </c>
    </row>
    <row r="47" spans="2:12">
      <c r="B47" s="343">
        <v>210061</v>
      </c>
      <c r="C47" s="317" t="s">
        <v>310</v>
      </c>
      <c r="D47" s="303">
        <f>VLOOKUP(B47,Revenue!$A$2:$C$47,3,0)</f>
        <v>38640762.060988352</v>
      </c>
      <c r="E47" s="318">
        <v>0.57999999999999996</v>
      </c>
      <c r="F47" s="327">
        <v>0.59</v>
      </c>
      <c r="G47" s="307">
        <f>'5.MHAC Scaling'!C46</f>
        <v>0</v>
      </c>
      <c r="H47" s="308">
        <f t="shared" si="2"/>
        <v>0</v>
      </c>
      <c r="I47" s="308">
        <f t="shared" si="0"/>
        <v>0</v>
      </c>
      <c r="J47" s="325">
        <v>0.62</v>
      </c>
      <c r="K47" s="309">
        <f>'5.MHAC Scaling'!$D$67- ((J47-'5.MHAC Scaling'!$B$67)*('5.MHAC Scaling'!$D$67/('5.MHAC Scaling'!$D$70-'5.MHAC Scaling'!$B$67)))</f>
        <v>4.0000000000000001E-3</v>
      </c>
      <c r="L47" s="344">
        <f t="shared" si="1"/>
        <v>154563.04824395341</v>
      </c>
    </row>
    <row r="48" spans="2:12">
      <c r="B48" s="343">
        <v>210035</v>
      </c>
      <c r="C48" s="317" t="s">
        <v>311</v>
      </c>
      <c r="D48" s="303">
        <f>VLOOKUP(B48,Revenue!$A$2:$C$47,3,0)</f>
        <v>76338049.290417254</v>
      </c>
      <c r="E48" s="318">
        <v>0.59</v>
      </c>
      <c r="F48" s="327">
        <v>0.61</v>
      </c>
      <c r="G48" s="307">
        <f>'5.MHAC Scaling'!C48</f>
        <v>0</v>
      </c>
      <c r="H48" s="308">
        <f t="shared" si="2"/>
        <v>0</v>
      </c>
      <c r="I48" s="308">
        <f t="shared" si="0"/>
        <v>0</v>
      </c>
      <c r="J48" s="325">
        <v>0.63</v>
      </c>
      <c r="K48" s="309">
        <f>'5.MHAC Scaling'!$D$67- ((J48-'5.MHAC Scaling'!$B$67)*('5.MHAC Scaling'!$D$67/('5.MHAC Scaling'!$D$70-'5.MHAC Scaling'!$B$67)))</f>
        <v>4.3333333333333331E-3</v>
      </c>
      <c r="L48" s="344">
        <f t="shared" si="1"/>
        <v>330798.2135918081</v>
      </c>
    </row>
    <row r="49" spans="2:12">
      <c r="B49" s="343">
        <v>210013</v>
      </c>
      <c r="C49" s="317" t="s">
        <v>312</v>
      </c>
      <c r="D49" s="303">
        <f>VLOOKUP(B49,Revenue!$A$2:$C$47,3,0)</f>
        <v>78212787.330636472</v>
      </c>
      <c r="E49" s="318">
        <v>0.64</v>
      </c>
      <c r="F49" s="327">
        <v>0.65</v>
      </c>
      <c r="G49" s="307">
        <f>'5.MHAC Scaling'!C52</f>
        <v>0</v>
      </c>
      <c r="H49" s="308">
        <f t="shared" si="2"/>
        <v>0</v>
      </c>
      <c r="I49" s="308">
        <f t="shared" si="0"/>
        <v>0</v>
      </c>
      <c r="J49" s="325">
        <v>0.68</v>
      </c>
      <c r="K49" s="309">
        <f>'5.MHAC Scaling'!$D$67- ((J49-'5.MHAC Scaling'!$B$67)*('5.MHAC Scaling'!$D$67/('5.MHAC Scaling'!$D$70-'5.MHAC Scaling'!$B$67)))</f>
        <v>6.000000000000001E-3</v>
      </c>
      <c r="L49" s="344">
        <f t="shared" si="1"/>
        <v>469276.7239838189</v>
      </c>
    </row>
    <row r="50" spans="2:12">
      <c r="B50" s="343">
        <v>210030</v>
      </c>
      <c r="C50" s="317" t="s">
        <v>313</v>
      </c>
      <c r="D50" s="303">
        <f>VLOOKUP(B50,Revenue!$A$2:$C$47,3,0)</f>
        <v>29416674.305924561</v>
      </c>
      <c r="E50" s="318">
        <v>0.81</v>
      </c>
      <c r="F50" s="327">
        <v>0.82</v>
      </c>
      <c r="G50" s="307">
        <f>'5.MHAC Scaling'!C67</f>
        <v>0</v>
      </c>
      <c r="H50" s="308">
        <f t="shared" si="2"/>
        <v>0</v>
      </c>
      <c r="I50" s="308">
        <f t="shared" si="0"/>
        <v>0</v>
      </c>
      <c r="J50" s="325">
        <v>0.84</v>
      </c>
      <c r="K50" s="309">
        <v>0.01</v>
      </c>
      <c r="L50" s="344">
        <f t="shared" si="1"/>
        <v>294166.74305924564</v>
      </c>
    </row>
    <row r="51" spans="2:12" ht="16.2" thickBot="1">
      <c r="B51" s="380">
        <v>210045</v>
      </c>
      <c r="C51" s="381" t="s">
        <v>314</v>
      </c>
      <c r="D51" s="382">
        <f>VLOOKUP(B51,Revenue!$A$2:$C$47,3,0)</f>
        <v>3734618.2392469109</v>
      </c>
      <c r="E51" s="383">
        <v>1</v>
      </c>
      <c r="F51" s="384">
        <v>1</v>
      </c>
      <c r="G51" s="385">
        <f>'5.MHAC Scaling'!C67</f>
        <v>0</v>
      </c>
      <c r="H51" s="386">
        <f t="shared" si="2"/>
        <v>0</v>
      </c>
      <c r="I51" s="386">
        <f t="shared" si="0"/>
        <v>0</v>
      </c>
      <c r="J51" s="387">
        <v>1</v>
      </c>
      <c r="K51" s="388">
        <v>0.01</v>
      </c>
      <c r="L51" s="389">
        <f t="shared" si="1"/>
        <v>37346.182392469113</v>
      </c>
    </row>
    <row r="52" spans="2:12" s="84" customFormat="1">
      <c r="B52" s="390" t="s">
        <v>151</v>
      </c>
      <c r="C52" s="391"/>
      <c r="D52" s="392">
        <f>SUM(D6:D51)</f>
        <v>8961031432.293478</v>
      </c>
      <c r="E52" s="393"/>
      <c r="F52" s="393"/>
      <c r="G52" s="394"/>
      <c r="H52" s="395">
        <f>SUM(H6:H51)</f>
        <v>-123076937.38692373</v>
      </c>
      <c r="I52" s="395">
        <f>SUM(I6:I51)</f>
        <v>-44805157.161467366</v>
      </c>
      <c r="J52" s="396"/>
      <c r="K52" s="395"/>
      <c r="L52" s="397">
        <f>SUM(L6:L51)</f>
        <v>-13091329.949216161</v>
      </c>
    </row>
    <row r="53" spans="2:12" ht="16.2" thickBot="1">
      <c r="B53" s="398" t="s">
        <v>103</v>
      </c>
      <c r="C53" s="399"/>
      <c r="D53" s="399"/>
      <c r="E53" s="399"/>
      <c r="F53" s="400"/>
      <c r="G53" s="399"/>
      <c r="H53" s="401">
        <f>SUMIF(H6:H51,"&lt;0",H6:H51)</f>
        <v>-123076937.38692373</v>
      </c>
      <c r="I53" s="401">
        <f>SUMIF(I6:I51,"&lt;0",I6:I51)</f>
        <v>-44805157.161467366</v>
      </c>
      <c r="J53" s="402"/>
      <c r="K53" s="399"/>
      <c r="L53" s="403">
        <f>SUMIF(L6:L51,"&lt;0",L6:L51)</f>
        <v>-16997459.817360856</v>
      </c>
    </row>
    <row r="54" spans="2:12">
      <c r="B54" s="367" t="s">
        <v>163</v>
      </c>
      <c r="C54" s="368"/>
      <c r="D54" s="368"/>
      <c r="E54" s="368"/>
      <c r="F54" s="369"/>
      <c r="G54" s="368"/>
      <c r="H54" s="370"/>
      <c r="I54" s="371"/>
      <c r="J54" s="372"/>
      <c r="K54" s="368"/>
      <c r="L54" s="373">
        <f>L53/SUM(Revenue!$C$2:$C$47)</f>
        <v>-1.896819573258716E-3</v>
      </c>
    </row>
    <row r="55" spans="2:12" ht="16.2" thickBot="1">
      <c r="B55" s="374" t="s">
        <v>102</v>
      </c>
      <c r="C55" s="375"/>
      <c r="D55" s="375"/>
      <c r="E55" s="375"/>
      <c r="F55" s="376"/>
      <c r="G55" s="375"/>
      <c r="H55" s="377">
        <f>SUMIF(H5:H51,"&gt;0",H5:H51)</f>
        <v>0</v>
      </c>
      <c r="I55" s="377">
        <f>SUMIF(I5:I50,"&gt;0",I5:I50)</f>
        <v>0</v>
      </c>
      <c r="J55" s="378"/>
      <c r="K55" s="375"/>
      <c r="L55" s="379">
        <f>SUMIF(L5:L51,"&gt;0",L5:L51)</f>
        <v>3906129.8681446943</v>
      </c>
    </row>
    <row r="56" spans="2:12" s="79" customFormat="1">
      <c r="B56" s="328" t="s">
        <v>101</v>
      </c>
      <c r="C56" s="329"/>
      <c r="D56" s="329"/>
      <c r="E56" s="329"/>
      <c r="F56" s="330"/>
      <c r="G56" s="329"/>
      <c r="H56" s="331">
        <f>'[4]A-Scaling Parameters'!E5</f>
        <v>-5.0000000000000001E-3</v>
      </c>
      <c r="I56" s="332"/>
      <c r="J56" s="329"/>
      <c r="K56" s="329"/>
      <c r="L56" s="333"/>
    </row>
    <row r="57" spans="2:12" s="79" customFormat="1" ht="16.2" thickBot="1">
      <c r="B57" s="334" t="s">
        <v>100</v>
      </c>
      <c r="C57" s="335"/>
      <c r="D57" s="335"/>
      <c r="E57" s="335"/>
      <c r="F57" s="336"/>
      <c r="G57" s="335"/>
      <c r="H57" s="337">
        <f>$D$52*H56</f>
        <v>-44805157.161467388</v>
      </c>
      <c r="I57" s="338"/>
      <c r="J57" s="335"/>
      <c r="K57" s="335"/>
      <c r="L57" s="339"/>
    </row>
    <row r="58" spans="2:12" ht="16.2" thickBot="1">
      <c r="B58" s="345" t="s">
        <v>99</v>
      </c>
      <c r="C58" s="346"/>
      <c r="D58" s="346"/>
      <c r="E58" s="346"/>
      <c r="F58" s="336"/>
      <c r="G58" s="346"/>
      <c r="H58" s="346"/>
      <c r="I58" s="347">
        <f>IF(H53&lt;H57,H53/H57,1)</f>
        <v>2.7469368524561362</v>
      </c>
      <c r="J58" s="335"/>
      <c r="K58" s="346"/>
      <c r="L58" s="348"/>
    </row>
    <row r="60" spans="2:12">
      <c r="B60" s="81"/>
    </row>
  </sheetData>
  <sortState ref="B5:L50">
    <sortCondition ref="J5:J50"/>
  </sortState>
  <mergeCells count="1">
    <mergeCell ref="F2:I2"/>
  </mergeCells>
  <printOptions horizontalCentered="1" verticalCentered="1"/>
  <pageMargins left="0.2" right="0.2" top="0.25" bottom="0.25" header="0.3" footer="0.3"/>
  <pageSetup scale="51" orientation="landscape" r:id="rId1"/>
  <headerFooter>
    <oddFooter>&amp;CHSCRC Work Group Meeting
Feb 2, 2015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3"/>
  <sheetViews>
    <sheetView zoomScale="60" zoomScaleNormal="60" workbookViewId="0">
      <selection activeCell="N53" sqref="B2:N53"/>
    </sheetView>
  </sheetViews>
  <sheetFormatPr defaultColWidth="9.109375" defaultRowHeight="14.4"/>
  <cols>
    <col min="1" max="1" width="9.109375" style="245"/>
    <col min="2" max="2" width="10.5546875" style="245" customWidth="1"/>
    <col min="3" max="3" width="25.44140625" style="404" customWidth="1"/>
    <col min="4" max="4" width="23.88671875" style="245" customWidth="1"/>
    <col min="5" max="5" width="10.88671875" style="245" bestFit="1" customWidth="1"/>
    <col min="6" max="6" width="11.109375" style="245" customWidth="1"/>
    <col min="7" max="7" width="10.44140625" style="245" customWidth="1"/>
    <col min="8" max="8" width="10.5546875" style="245" customWidth="1"/>
    <col min="9" max="9" width="3.33203125" style="245" hidden="1" customWidth="1"/>
    <col min="10" max="10" width="10.109375" style="245" customWidth="1"/>
    <col min="11" max="11" width="16.88671875" style="245" customWidth="1"/>
    <col min="12" max="12" width="3.6640625" style="245" hidden="1" customWidth="1"/>
    <col min="13" max="13" width="10.6640625" style="245" customWidth="1"/>
    <col min="14" max="14" width="15.5546875" style="245" bestFit="1" customWidth="1"/>
    <col min="15" max="16384" width="9.109375" style="245"/>
  </cols>
  <sheetData>
    <row r="1" spans="2:14" ht="15" thickBot="1"/>
    <row r="2" spans="2:14" ht="66" customHeight="1" thickBot="1">
      <c r="B2" s="427" t="s">
        <v>319</v>
      </c>
      <c r="C2" s="428" t="s">
        <v>112</v>
      </c>
      <c r="D2" s="429" t="s">
        <v>111</v>
      </c>
      <c r="E2" s="429" t="s">
        <v>187</v>
      </c>
      <c r="F2" s="429" t="s">
        <v>188</v>
      </c>
      <c r="G2" s="429" t="s">
        <v>127</v>
      </c>
      <c r="H2" s="429" t="s">
        <v>138</v>
      </c>
      <c r="I2" s="429"/>
      <c r="J2" s="430" t="s">
        <v>185</v>
      </c>
      <c r="K2" s="431"/>
      <c r="L2" s="431"/>
      <c r="M2" s="431" t="s">
        <v>186</v>
      </c>
      <c r="N2" s="432"/>
    </row>
    <row r="3" spans="2:14" ht="15.6">
      <c r="B3" s="418">
        <v>210019</v>
      </c>
      <c r="C3" s="419" t="s">
        <v>269</v>
      </c>
      <c r="D3" s="420">
        <f>VLOOKUP(B3,Revenue!$A$2:$C$47,3,0)</f>
        <v>233728496.38738936</v>
      </c>
      <c r="E3" s="421">
        <f>VLOOKUP(B3,'3.MHAC Modeling Results'!$B$6:$L$51,6,FALSE)</f>
        <v>-2.5588235294117641E-2</v>
      </c>
      <c r="F3" s="421">
        <f>VLOOKUP(B3,'3.MHAC Modeling Results'!$B$6:$L$51,10,FALSE)</f>
        <v>-5.8333333333333327E-3</v>
      </c>
      <c r="G3" s="421">
        <f>VLOOKUP(B3,'Appendix2QBR Modeling Results'!$B$4:$G$46,5,FALSE)</f>
        <v>-8.3702593855929965E-3</v>
      </c>
      <c r="H3" s="421">
        <f>VLOOKUP(B3,'Appendix1.RRIP Modeling Results'!$A$4:$O$49,14,FALSE)</f>
        <v>-7.7520330200016889E-3</v>
      </c>
      <c r="I3" s="422"/>
      <c r="J3" s="423">
        <f t="shared" ref="J3:J48" si="0">SUM(E3,G3,H3)</f>
        <v>-4.1710527699712327E-2</v>
      </c>
      <c r="K3" s="424">
        <f>J3*D3</f>
        <v>-9748938.9227783158</v>
      </c>
      <c r="L3" s="424"/>
      <c r="M3" s="425">
        <f t="shared" ref="M3:M48" si="1">SUM(F3:H3)</f>
        <v>-2.1955625738928019E-2</v>
      </c>
      <c r="N3" s="426">
        <f t="shared" ref="N3:N48" si="2">D3*M3</f>
        <v>-5131655.3912039101</v>
      </c>
    </row>
    <row r="4" spans="2:14" ht="15.6">
      <c r="B4" s="343">
        <v>210004</v>
      </c>
      <c r="C4" s="405" t="s">
        <v>270</v>
      </c>
      <c r="D4" s="303">
        <f>VLOOKUP(B4,Revenue!$A$2:$C$47,3,0)</f>
        <v>319596342.21781081</v>
      </c>
      <c r="E4" s="94">
        <f>VLOOKUP(B4,'3.MHAC Modeling Results'!$B$6:$L$51,6,FALSE)</f>
        <v>-2.5588235294117641E-2</v>
      </c>
      <c r="F4" s="94">
        <f>VLOOKUP(B4,'3.MHAC Modeling Results'!$B$6:$L$51,10,FALSE)</f>
        <v>-5.8333333333333327E-3</v>
      </c>
      <c r="G4" s="94">
        <f>VLOOKUP(B4,'Appendix2QBR Modeling Results'!$B$4:$G$46,5,FALSE)</f>
        <v>-1.4041463440551717E-3</v>
      </c>
      <c r="H4" s="94">
        <f>VLOOKUP(B4,'Appendix1.RRIP Modeling Results'!$A$4:$O$49,14,FALSE)</f>
        <v>-1.0615511906005964E-2</v>
      </c>
      <c r="I4" s="414"/>
      <c r="J4" s="416">
        <f t="shared" si="0"/>
        <v>-3.7607893544178775E-2</v>
      </c>
      <c r="K4" s="107">
        <f t="shared" ref="K4:K48" si="3">J4*D4</f>
        <v>-12019345.215236358</v>
      </c>
      <c r="L4" s="107"/>
      <c r="M4" s="106">
        <f t="shared" si="1"/>
        <v>-1.785299158339447E-2</v>
      </c>
      <c r="N4" s="406">
        <f t="shared" si="2"/>
        <v>-5705750.8076982349</v>
      </c>
    </row>
    <row r="5" spans="2:14" ht="15.6">
      <c r="B5" s="343">
        <v>210062</v>
      </c>
      <c r="C5" s="405" t="s">
        <v>272</v>
      </c>
      <c r="D5" s="303">
        <f>VLOOKUP(B5,Revenue!$A$2:$C$47,3,0)</f>
        <v>163208213.46317798</v>
      </c>
      <c r="E5" s="94">
        <f>VLOOKUP(B5,'3.MHAC Modeling Results'!$B$6:$L$51,6,FALSE)</f>
        <v>-2.3823529411764698E-2</v>
      </c>
      <c r="F5" s="94">
        <f>VLOOKUP(B5,'3.MHAC Modeling Results'!$B$6:$L$51,10,FALSE)</f>
        <v>-5.000000000000001E-3</v>
      </c>
      <c r="G5" s="94">
        <f>VLOOKUP(B5,'Appendix2QBR Modeling Results'!$B$4:$G$46,5,FALSE)</f>
        <v>-0.02</v>
      </c>
      <c r="H5" s="94">
        <f>VLOOKUP(B5,'Appendix1.RRIP Modeling Results'!$A$4:$O$49,14,FALSE)</f>
        <v>-4.6755324838176058E-4</v>
      </c>
      <c r="I5" s="414"/>
      <c r="J5" s="416">
        <f t="shared" si="0"/>
        <v>-4.4291082660146461E-2</v>
      </c>
      <c r="K5" s="107">
        <f t="shared" si="3"/>
        <v>-7228668.4733124441</v>
      </c>
      <c r="L5" s="107"/>
      <c r="M5" s="106">
        <f t="shared" si="1"/>
        <v>-2.5467553248381763E-2</v>
      </c>
      <c r="N5" s="406">
        <f t="shared" si="2"/>
        <v>-4156513.8669467424</v>
      </c>
    </row>
    <row r="6" spans="2:14" ht="15.6">
      <c r="B6" s="343">
        <v>210016</v>
      </c>
      <c r="C6" s="405" t="s">
        <v>285</v>
      </c>
      <c r="D6" s="303">
        <f>VLOOKUP(B6,Revenue!$A$2:$C$47,3,0)</f>
        <v>161698669.47905135</v>
      </c>
      <c r="E6" s="94">
        <f>VLOOKUP(B6,'3.MHAC Modeling Results'!$B$6:$L$51,6,FALSE)</f>
        <v>-1.3235294117647043E-2</v>
      </c>
      <c r="F6" s="94">
        <f>VLOOKUP(B6,'3.MHAC Modeling Results'!$B$6:$L$51,10,FALSE)</f>
        <v>0</v>
      </c>
      <c r="G6" s="94">
        <f>VLOOKUP(B6,'Appendix2QBR Modeling Results'!$B$4:$G$46,5,FALSE)</f>
        <v>-3.1455683424187371E-3</v>
      </c>
      <c r="H6" s="94">
        <f>VLOOKUP(B6,'Appendix1.RRIP Modeling Results'!$A$4:$O$49,14,FALSE)</f>
        <v>-9.6053209657904707E-3</v>
      </c>
      <c r="I6" s="414"/>
      <c r="J6" s="416">
        <f t="shared" si="0"/>
        <v>-2.5986183425856249E-2</v>
      </c>
      <c r="K6" s="107">
        <f t="shared" si="3"/>
        <v>-4201931.284799532</v>
      </c>
      <c r="L6" s="107"/>
      <c r="M6" s="106">
        <f t="shared" si="1"/>
        <v>-1.2750889308209208E-2</v>
      </c>
      <c r="N6" s="406">
        <f t="shared" si="2"/>
        <v>-2061801.8358120904</v>
      </c>
    </row>
    <row r="7" spans="2:14" ht="15.6">
      <c r="B7" s="343">
        <v>210001</v>
      </c>
      <c r="C7" s="405" t="s">
        <v>288</v>
      </c>
      <c r="D7" s="303">
        <f>VLOOKUP(B7,Revenue!$A$2:$C$47,3,0)</f>
        <v>187434496.6631088</v>
      </c>
      <c r="E7" s="94">
        <f>VLOOKUP(B7,'3.MHAC Modeling Results'!$B$6:$L$51,6,FALSE)</f>
        <v>-1.14705882352941E-2</v>
      </c>
      <c r="F7" s="94">
        <f>VLOOKUP(B7,'3.MHAC Modeling Results'!$B$6:$L$51,10,FALSE)</f>
        <v>0</v>
      </c>
      <c r="G7" s="94">
        <f>VLOOKUP(B7,'Appendix2QBR Modeling Results'!$B$4:$G$46,5,FALSE)</f>
        <v>-6.1859372841552695E-3</v>
      </c>
      <c r="H7" s="94">
        <f>VLOOKUP(B7,'Appendix1.RRIP Modeling Results'!$A$4:$O$49,14,FALSE)</f>
        <v>-7.0875195749036494E-3</v>
      </c>
      <c r="I7" s="414"/>
      <c r="J7" s="416">
        <f t="shared" si="0"/>
        <v>-2.4744045094353021E-2</v>
      </c>
      <c r="K7" s="107">
        <f t="shared" si="3"/>
        <v>-4637887.6376693249</v>
      </c>
      <c r="L7" s="107"/>
      <c r="M7" s="106">
        <f t="shared" si="1"/>
        <v>-1.3273456859058919E-2</v>
      </c>
      <c r="N7" s="406">
        <f t="shared" si="2"/>
        <v>-2487903.7053571977</v>
      </c>
    </row>
    <row r="8" spans="2:14" ht="15.6">
      <c r="B8" s="343">
        <v>210022</v>
      </c>
      <c r="C8" s="405" t="s">
        <v>271</v>
      </c>
      <c r="D8" s="303">
        <f>VLOOKUP(B8,Revenue!$A$2:$C$47,3,0)</f>
        <v>181410188.33315492</v>
      </c>
      <c r="E8" s="94">
        <f>VLOOKUP(B8,'3.MHAC Modeling Results'!$B$6:$L$51,6,FALSE)</f>
        <v>-2.4705882352941171E-2</v>
      </c>
      <c r="F8" s="94">
        <f>VLOOKUP(B8,'3.MHAC Modeling Results'!$B$6:$L$51,10,FALSE)</f>
        <v>-5.8333333333333327E-3</v>
      </c>
      <c r="G8" s="94">
        <f>VLOOKUP(B8,'Appendix2QBR Modeling Results'!$B$4:$G$46,5,FALSE)</f>
        <v>-6.1859372841552712E-3</v>
      </c>
      <c r="H8" s="94">
        <f>VLOOKUP(B8,'Appendix1.RRIP Modeling Results'!$A$4:$O$49,14,FALSE)</f>
        <v>-1.7318286555804822E-3</v>
      </c>
      <c r="I8" s="414"/>
      <c r="J8" s="416">
        <f t="shared" si="0"/>
        <v>-3.2623648292676923E-2</v>
      </c>
      <c r="K8" s="107">
        <f t="shared" si="3"/>
        <v>-5918262.1808891287</v>
      </c>
      <c r="L8" s="107"/>
      <c r="M8" s="106">
        <f t="shared" si="1"/>
        <v>-1.3751099273069086E-2</v>
      </c>
      <c r="N8" s="406">
        <f t="shared" si="2"/>
        <v>-2494589.5089153727</v>
      </c>
    </row>
    <row r="9" spans="2:14" ht="15.6">
      <c r="B9" s="343">
        <v>210048</v>
      </c>
      <c r="C9" s="405" t="s">
        <v>274</v>
      </c>
      <c r="D9" s="303">
        <f>VLOOKUP(B9,Revenue!$A$2:$C$47,3,0)</f>
        <v>167386496.75761572</v>
      </c>
      <c r="E9" s="94">
        <f>VLOOKUP(B9,'3.MHAC Modeling Results'!$B$6:$L$51,6,FALSE)</f>
        <v>-2.1176470588235286E-2</v>
      </c>
      <c r="F9" s="94">
        <f>VLOOKUP(B9,'3.MHAC Modeling Results'!$B$6:$L$51,10,FALSE)</f>
        <v>-4.1666666666666666E-3</v>
      </c>
      <c r="G9" s="94">
        <f>VLOOKUP(B9,'Appendix2QBR Modeling Results'!$B$4:$G$46,5,FALSE)</f>
        <v>-1.0436418119799803E-2</v>
      </c>
      <c r="H9" s="94">
        <f>VLOOKUP(B9,'Appendix1.RRIP Modeling Results'!$A$4:$O$49,14,FALSE)</f>
        <v>9.6708182973006596E-4</v>
      </c>
      <c r="I9" s="414"/>
      <c r="J9" s="416">
        <f t="shared" si="0"/>
        <v>-3.064580687830502E-2</v>
      </c>
      <c r="K9" s="107">
        <f t="shared" si="3"/>
        <v>-5129694.2536699204</v>
      </c>
      <c r="L9" s="107"/>
      <c r="M9" s="106">
        <f t="shared" si="1"/>
        <v>-1.3636002956736405E-2</v>
      </c>
      <c r="N9" s="406">
        <f t="shared" si="2"/>
        <v>-2282482.7647045967</v>
      </c>
    </row>
    <row r="10" spans="2:14" ht="15.6">
      <c r="B10" s="343">
        <v>210033</v>
      </c>
      <c r="C10" s="405" t="s">
        <v>278</v>
      </c>
      <c r="D10" s="303">
        <f>VLOOKUP(B10,Revenue!$A$2:$C$47,3,0)</f>
        <v>138209278.26224214</v>
      </c>
      <c r="E10" s="94">
        <f>VLOOKUP(B10,'3.MHAC Modeling Results'!$B$6:$L$51,6,FALSE)</f>
        <v>-1.7647058823529401E-2</v>
      </c>
      <c r="F10" s="94">
        <f>VLOOKUP(B10,'3.MHAC Modeling Results'!$B$6:$L$51,10,FALSE)</f>
        <v>-2.5000000000000005E-3</v>
      </c>
      <c r="G10" s="94">
        <f>VLOOKUP(B10,'Appendix2QBR Modeling Results'!$B$4:$G$46,5,FALSE)</f>
        <v>-2.4667665529663069E-3</v>
      </c>
      <c r="H10" s="94">
        <f>VLOOKUP(B10,'Appendix1.RRIP Modeling Results'!$A$4:$O$49,14,FALSE)</f>
        <v>-2.6920132633630966E-3</v>
      </c>
      <c r="I10" s="414"/>
      <c r="J10" s="416">
        <f t="shared" si="0"/>
        <v>-2.2805838639858803E-2</v>
      </c>
      <c r="K10" s="107">
        <f t="shared" si="3"/>
        <v>-3151978.498580039</v>
      </c>
      <c r="L10" s="107"/>
      <c r="M10" s="106">
        <f t="shared" si="1"/>
        <v>-7.6587798163294044E-3</v>
      </c>
      <c r="N10" s="406">
        <f t="shared" si="2"/>
        <v>-1058514.4307843144</v>
      </c>
    </row>
    <row r="11" spans="2:14" ht="15.6">
      <c r="B11" s="343">
        <v>210005</v>
      </c>
      <c r="C11" s="405" t="s">
        <v>289</v>
      </c>
      <c r="D11" s="303">
        <f>VLOOKUP(B11,Revenue!$A$2:$C$47,3,0)</f>
        <v>189480762.70820984</v>
      </c>
      <c r="E11" s="94">
        <f>VLOOKUP(B11,'3.MHAC Modeling Results'!$B$6:$L$51,6,FALSE)</f>
        <v>-1.14705882352941E-2</v>
      </c>
      <c r="F11" s="94">
        <f>VLOOKUP(B11,'3.MHAC Modeling Results'!$B$6:$L$51,10,FALSE)</f>
        <v>0</v>
      </c>
      <c r="G11" s="94">
        <f>VLOOKUP(B11,'Appendix2QBR Modeling Results'!$B$4:$G$46,5,FALSE)</f>
        <v>2.710553074848578E-3</v>
      </c>
      <c r="H11" s="94">
        <f>VLOOKUP(B11,'Appendix1.RRIP Modeling Results'!$A$4:$O$49,14,FALSE)</f>
        <v>-6.1823536108116008E-3</v>
      </c>
      <c r="I11" s="414"/>
      <c r="J11" s="416">
        <f t="shared" si="0"/>
        <v>-1.4942388771257123E-2</v>
      </c>
      <c r="K11" s="107">
        <f t="shared" si="3"/>
        <v>-2831295.2210603901</v>
      </c>
      <c r="L11" s="107"/>
      <c r="M11" s="106">
        <f t="shared" si="1"/>
        <v>-3.4718005359630228E-3</v>
      </c>
      <c r="N11" s="406">
        <f t="shared" si="2"/>
        <v>-657839.41352504527</v>
      </c>
    </row>
    <row r="12" spans="2:14" ht="15.6">
      <c r="B12" s="343">
        <v>210049</v>
      </c>
      <c r="C12" s="405" t="s">
        <v>286</v>
      </c>
      <c r="D12" s="303">
        <f>VLOOKUP(B12,Revenue!$A$2:$C$47,3,0)</f>
        <v>148917095.66517001</v>
      </c>
      <c r="E12" s="94">
        <f>VLOOKUP(B12,'3.MHAC Modeling Results'!$B$6:$L$51,6,FALSE)</f>
        <v>-1.2352941176470573E-2</v>
      </c>
      <c r="F12" s="94">
        <f>VLOOKUP(B12,'3.MHAC Modeling Results'!$B$6:$L$51,10,FALSE)</f>
        <v>0</v>
      </c>
      <c r="G12" s="94">
        <f>VLOOKUP(B12,'Appendix2QBR Modeling Results'!$B$4:$G$46,5,FALSE)</f>
        <v>2.5263421607203355E-3</v>
      </c>
      <c r="H12" s="94">
        <f>VLOOKUP(B12,'Appendix1.RRIP Modeling Results'!$A$4:$O$49,14,FALSE)</f>
        <v>-4.9831388629118173E-3</v>
      </c>
      <c r="I12" s="414"/>
      <c r="J12" s="416">
        <f t="shared" si="0"/>
        <v>-1.4809737878662056E-2</v>
      </c>
      <c r="K12" s="107">
        <f t="shared" si="3"/>
        <v>-2205423.1524528093</v>
      </c>
      <c r="L12" s="107"/>
      <c r="M12" s="106">
        <f t="shared" si="1"/>
        <v>-2.4567967021914819E-3</v>
      </c>
      <c r="N12" s="406">
        <f t="shared" si="2"/>
        <v>-365859.02953012311</v>
      </c>
    </row>
    <row r="13" spans="2:14" ht="15.6">
      <c r="B13" s="343">
        <v>210037</v>
      </c>
      <c r="C13" s="405" t="s">
        <v>300</v>
      </c>
      <c r="D13" s="303">
        <f>VLOOKUP(B13,Revenue!$A$2:$C$47,3,0)</f>
        <v>94828131.850859523</v>
      </c>
      <c r="E13" s="94">
        <f>VLOOKUP(B13,'3.MHAC Modeling Results'!$B$6:$L$51,6,FALSE)</f>
        <v>-2.6470588235293843E-3</v>
      </c>
      <c r="F13" s="94">
        <f>VLOOKUP(B13,'3.MHAC Modeling Results'!$B$6:$L$51,10,FALSE)</f>
        <v>6.6666666666666784E-4</v>
      </c>
      <c r="G13" s="94">
        <f>VLOOKUP(B13,'Appendix2QBR Modeling Results'!$B$4:$G$46,5,FALSE)</f>
        <v>3.0525959002018974E-3</v>
      </c>
      <c r="H13" s="94">
        <f>VLOOKUP(B13,'Appendix1.RRIP Modeling Results'!$A$4:$O$49,14,FALSE)</f>
        <v>-1.7440354021079289E-2</v>
      </c>
      <c r="I13" s="414"/>
      <c r="J13" s="416">
        <f t="shared" si="0"/>
        <v>-1.7034816944406776E-2</v>
      </c>
      <c r="K13" s="107">
        <f t="shared" si="3"/>
        <v>-1615379.8672594617</v>
      </c>
      <c r="L13" s="107"/>
      <c r="M13" s="106">
        <f t="shared" si="1"/>
        <v>-1.3721091454210724E-2</v>
      </c>
      <c r="N13" s="406">
        <f t="shared" si="2"/>
        <v>-1301145.4695575964</v>
      </c>
    </row>
    <row r="14" spans="2:14" ht="16.95" customHeight="1">
      <c r="B14" s="343">
        <v>210044</v>
      </c>
      <c r="C14" s="405" t="s">
        <v>273</v>
      </c>
      <c r="D14" s="303">
        <f>VLOOKUP(B14,Revenue!$A$2:$C$47,3,0)</f>
        <v>201533345.32362995</v>
      </c>
      <c r="E14" s="94">
        <f>VLOOKUP(B14,'3.MHAC Modeling Results'!$B$6:$L$51,6,FALSE)</f>
        <v>-2.1176470588235286E-2</v>
      </c>
      <c r="F14" s="94">
        <f>VLOOKUP(B14,'3.MHAC Modeling Results'!$B$6:$L$51,10,FALSE)</f>
        <v>-4.1666666666666666E-3</v>
      </c>
      <c r="G14" s="94">
        <f>VLOOKUP(B14,'Appendix2QBR Modeling Results'!$B$4:$G$46,5,FALSE)</f>
        <v>-7.8557386804382241E-3</v>
      </c>
      <c r="H14" s="94">
        <f>VLOOKUP(B14,'Appendix1.RRIP Modeling Results'!$A$4:$O$49,14,FALSE)</f>
        <v>2.7758950809272016E-3</v>
      </c>
      <c r="I14" s="414"/>
      <c r="J14" s="416">
        <f t="shared" si="0"/>
        <v>-2.6256314187746307E-2</v>
      </c>
      <c r="K14" s="107">
        <f t="shared" si="3"/>
        <v>-5291522.8341248007</v>
      </c>
      <c r="L14" s="107"/>
      <c r="M14" s="106">
        <f t="shared" si="1"/>
        <v>-9.2465102661776887E-3</v>
      </c>
      <c r="N14" s="406">
        <f t="shared" si="2"/>
        <v>-1863480.1465120777</v>
      </c>
    </row>
    <row r="15" spans="2:14" ht="15.6">
      <c r="B15" s="343">
        <v>210035</v>
      </c>
      <c r="C15" s="405" t="s">
        <v>311</v>
      </c>
      <c r="D15" s="303">
        <f>VLOOKUP(B15,Revenue!$A$2:$C$47,3,0)</f>
        <v>76338049.290417254</v>
      </c>
      <c r="E15" s="94">
        <f>VLOOKUP(B15,'3.MHAC Modeling Results'!$B$6:$L$51,6,FALSE)</f>
        <v>0</v>
      </c>
      <c r="F15" s="94">
        <f>VLOOKUP(B15,'3.MHAC Modeling Results'!$B$6:$L$51,10,FALSE)</f>
        <v>4.3333333333333331E-3</v>
      </c>
      <c r="G15" s="94">
        <f>VLOOKUP(B15,'Appendix2QBR Modeling Results'!$B$4:$G$46,5,FALSE)</f>
        <v>1.0526548476944182E-3</v>
      </c>
      <c r="H15" s="94">
        <f>VLOOKUP(B15,'Appendix1.RRIP Modeling Results'!$A$4:$O$49,14,FALSE)</f>
        <v>-9.4652140620288937E-3</v>
      </c>
      <c r="I15" s="414"/>
      <c r="J15" s="416">
        <f t="shared" si="0"/>
        <v>-8.4125592143344755E-3</v>
      </c>
      <c r="K15" s="107">
        <f t="shared" si="3"/>
        <v>-642198.35996241902</v>
      </c>
      <c r="L15" s="107"/>
      <c r="M15" s="106">
        <f t="shared" si="1"/>
        <v>-4.0792258810011424E-3</v>
      </c>
      <c r="N15" s="406">
        <f t="shared" si="2"/>
        <v>-311400.14637061098</v>
      </c>
    </row>
    <row r="16" spans="2:14" ht="15.6">
      <c r="B16" s="343">
        <v>210009</v>
      </c>
      <c r="C16" s="405" t="s">
        <v>275</v>
      </c>
      <c r="D16" s="303">
        <f>VLOOKUP(B16,Revenue!$A$2:$C$47,3,0)</f>
        <v>1292515919.3162181</v>
      </c>
      <c r="E16" s="94">
        <f>VLOOKUP(B16,'3.MHAC Modeling Results'!$B$6:$L$51,6,FALSE)</f>
        <v>-1.9411764705882344E-2</v>
      </c>
      <c r="F16" s="94">
        <f>VLOOKUP(B16,'3.MHAC Modeling Results'!$B$6:$L$51,10,FALSE)</f>
        <v>-3.7499999999999999E-3</v>
      </c>
      <c r="G16" s="94">
        <f>VLOOKUP(B16,'Appendix2QBR Modeling Results'!$B$4:$G$46,5,FALSE)</f>
        <v>7.6316371192360361E-3</v>
      </c>
      <c r="H16" s="94">
        <f>VLOOKUP(B16,'Appendix1.RRIP Modeling Results'!$A$4:$O$49,14,FALSE)</f>
        <v>-3.7741746672904967E-3</v>
      </c>
      <c r="I16" s="414"/>
      <c r="J16" s="416">
        <f t="shared" si="0"/>
        <v>-1.5554302253936805E-2</v>
      </c>
      <c r="K16" s="107">
        <f t="shared" si="3"/>
        <v>-20104183.277069453</v>
      </c>
      <c r="L16" s="107"/>
      <c r="M16" s="106">
        <f t="shared" si="1"/>
        <v>1.074624519455396E-4</v>
      </c>
      <c r="N16" s="406">
        <f t="shared" si="2"/>
        <v>138896.92986836404</v>
      </c>
    </row>
    <row r="17" spans="2:14" ht="15.6">
      <c r="B17" s="343">
        <v>210002</v>
      </c>
      <c r="C17" s="405" t="s">
        <v>276</v>
      </c>
      <c r="D17" s="303">
        <f>VLOOKUP(B17,Revenue!$A$2:$C$47,3,0)</f>
        <v>863843448.60398436</v>
      </c>
      <c r="E17" s="94">
        <f>VLOOKUP(B17,'3.MHAC Modeling Results'!$B$6:$L$51,6,FALSE)</f>
        <v>-1.9411764705882344E-2</v>
      </c>
      <c r="F17" s="94">
        <f>VLOOKUP(B17,'3.MHAC Modeling Results'!$B$6:$L$51,10,FALSE)</f>
        <v>-3.3333333333333322E-3</v>
      </c>
      <c r="G17" s="94">
        <f>VLOOKUP(B17,'Appendix2QBR Modeling Results'!$B$4:$G$46,5,FALSE)</f>
        <v>2.1169518251617364E-3</v>
      </c>
      <c r="H17" s="94">
        <f>VLOOKUP(B17,'Appendix1.RRIP Modeling Results'!$A$4:$O$49,14,FALSE)</f>
        <v>-2.1776238907109187E-3</v>
      </c>
      <c r="I17" s="414"/>
      <c r="J17" s="416">
        <f t="shared" si="0"/>
        <v>-1.9472436771431526E-2</v>
      </c>
      <c r="K17" s="107">
        <f t="shared" si="3"/>
        <v>-16821136.933356445</v>
      </c>
      <c r="L17" s="107"/>
      <c r="M17" s="106">
        <f t="shared" si="1"/>
        <v>-3.3940053988825145E-3</v>
      </c>
      <c r="N17" s="406">
        <f t="shared" si="2"/>
        <v>-2931889.3283512127</v>
      </c>
    </row>
    <row r="18" spans="2:14" ht="15.6">
      <c r="B18" s="343">
        <v>210010</v>
      </c>
      <c r="C18" s="405" t="s">
        <v>293</v>
      </c>
      <c r="D18" s="303">
        <f>VLOOKUP(B18,Revenue!$A$2:$C$47,3,0)</f>
        <v>25127934.983499374</v>
      </c>
      <c r="E18" s="94">
        <f>VLOOKUP(B18,'3.MHAC Modeling Results'!$B$6:$L$51,6,FALSE)</f>
        <v>-9.7058823529411579E-3</v>
      </c>
      <c r="F18" s="94">
        <f>VLOOKUP(B18,'3.MHAC Modeling Results'!$B$6:$L$51,10,FALSE)</f>
        <v>0</v>
      </c>
      <c r="G18" s="94">
        <f>VLOOKUP(B18,'Appendix2QBR Modeling Results'!$B$4:$G$46,5,FALSE)</f>
        <v>8.114122345520728E-3</v>
      </c>
      <c r="H18" s="94">
        <f>VLOOKUP(B18,'Appendix1.RRIP Modeling Results'!$A$4:$O$49,14,FALSE)</f>
        <v>-5.2459951731363063E-3</v>
      </c>
      <c r="I18" s="414"/>
      <c r="J18" s="416">
        <f t="shared" si="0"/>
        <v>-6.8377551805567363E-3</v>
      </c>
      <c r="K18" s="107">
        <f t="shared" si="3"/>
        <v>-171818.66761011569</v>
      </c>
      <c r="L18" s="107"/>
      <c r="M18" s="106">
        <f t="shared" si="1"/>
        <v>2.8681271723844217E-3</v>
      </c>
      <c r="N18" s="406">
        <f t="shared" si="2"/>
        <v>72070.113112083651</v>
      </c>
    </row>
    <row r="19" spans="2:14" ht="15.6">
      <c r="B19" s="343">
        <v>210060</v>
      </c>
      <c r="C19" s="405" t="s">
        <v>309</v>
      </c>
      <c r="D19" s="303">
        <f>VLOOKUP(B19,Revenue!$A$2:$C$47,3,0)</f>
        <v>17776133.449990414</v>
      </c>
      <c r="E19" s="94">
        <f>VLOOKUP(B19,'3.MHAC Modeling Results'!$B$6:$L$51,6,FALSE)</f>
        <v>0</v>
      </c>
      <c r="F19" s="94">
        <f>VLOOKUP(B19,'3.MHAC Modeling Results'!$B$6:$L$51,10,FALSE)</f>
        <v>3.6666666666666662E-3</v>
      </c>
      <c r="G19" s="94">
        <f>VLOOKUP(B19,'Appendix2QBR Modeling Results'!$B$4:$G$46,5,FALSE)</f>
        <v>-6.9829024408386217E-3</v>
      </c>
      <c r="H19" s="94">
        <f>VLOOKUP(B19,'Appendix1.RRIP Modeling Results'!$A$4:$O$49,14,FALSE)</f>
        <v>-3.0458122708350299E-3</v>
      </c>
      <c r="I19" s="414"/>
      <c r="J19" s="416">
        <f t="shared" si="0"/>
        <v>-1.0028714711673652E-2</v>
      </c>
      <c r="K19" s="107">
        <f t="shared" si="3"/>
        <v>-178271.77104659297</v>
      </c>
      <c r="L19" s="107"/>
      <c r="M19" s="106">
        <f t="shared" si="1"/>
        <v>-6.3620480450069855E-3</v>
      </c>
      <c r="N19" s="406">
        <f t="shared" si="2"/>
        <v>-113092.6150632948</v>
      </c>
    </row>
    <row r="20" spans="2:14" ht="15.6">
      <c r="B20" s="343">
        <v>210024</v>
      </c>
      <c r="C20" s="405" t="s">
        <v>277</v>
      </c>
      <c r="D20" s="303">
        <f>VLOOKUP(B20,Revenue!$A$2:$C$47,3,0)</f>
        <v>242505500.48554313</v>
      </c>
      <c r="E20" s="94">
        <f>VLOOKUP(B20,'3.MHAC Modeling Results'!$B$6:$L$51,6,FALSE)</f>
        <v>-1.9411764705882344E-2</v>
      </c>
      <c r="F20" s="94">
        <f>VLOOKUP(B20,'3.MHAC Modeling Results'!$B$6:$L$51,10,FALSE)</f>
        <v>-3.3333333333333322E-3</v>
      </c>
      <c r="G20" s="94">
        <f>VLOOKUP(B20,'Appendix2QBR Modeling Results'!$B$4:$G$46,5,FALSE)</f>
        <v>-2.7619624470018207E-3</v>
      </c>
      <c r="H20" s="94">
        <f>VLOOKUP(B20,'Appendix1.RRIP Modeling Results'!$A$4:$O$49,14,FALSE)</f>
        <v>6.9560182027737505E-3</v>
      </c>
      <c r="I20" s="414"/>
      <c r="J20" s="416">
        <f t="shared" si="0"/>
        <v>-1.5217708950110414E-2</v>
      </c>
      <c r="K20" s="107">
        <f t="shared" si="3"/>
        <v>-3690378.1251898552</v>
      </c>
      <c r="L20" s="107"/>
      <c r="M20" s="106">
        <f t="shared" si="1"/>
        <v>8.6072242243859752E-4</v>
      </c>
      <c r="N20" s="406">
        <f t="shared" si="2"/>
        <v>208729.92183260116</v>
      </c>
    </row>
    <row r="21" spans="2:14" ht="15.6">
      <c r="B21" s="343">
        <v>210015</v>
      </c>
      <c r="C21" s="405" t="s">
        <v>296</v>
      </c>
      <c r="D21" s="303">
        <f>VLOOKUP(B21,Revenue!$A$2:$C$47,3,0)</f>
        <v>285691170.35922825</v>
      </c>
      <c r="E21" s="94">
        <f>VLOOKUP(B21,'3.MHAC Modeling Results'!$B$6:$L$51,6,FALSE)</f>
        <v>-8.8235294117646884E-3</v>
      </c>
      <c r="F21" s="94">
        <f>VLOOKUP(B21,'3.MHAC Modeling Results'!$B$6:$L$51,10,FALSE)</f>
        <v>0</v>
      </c>
      <c r="G21" s="94">
        <f>VLOOKUP(B21,'Appendix2QBR Modeling Results'!$B$4:$G$46,5,FALSE)</f>
        <v>-4.326351918560789E-3</v>
      </c>
      <c r="H21" s="94">
        <f>VLOOKUP(B21,'Appendix1.RRIP Modeling Results'!$A$4:$O$49,14,FALSE)</f>
        <v>-2.2394412728281203E-3</v>
      </c>
      <c r="I21" s="414"/>
      <c r="J21" s="416">
        <f t="shared" si="0"/>
        <v>-1.5389322603153597E-2</v>
      </c>
      <c r="K21" s="107">
        <f t="shared" si="3"/>
        <v>-4396593.5855306759</v>
      </c>
      <c r="L21" s="107"/>
      <c r="M21" s="106">
        <f t="shared" si="1"/>
        <v>-6.5657931913889094E-3</v>
      </c>
      <c r="N21" s="406">
        <f t="shared" si="2"/>
        <v>-1875789.1411845498</v>
      </c>
    </row>
    <row r="22" spans="2:14" ht="15.6">
      <c r="B22" s="343">
        <v>210040</v>
      </c>
      <c r="C22" s="405" t="s">
        <v>282</v>
      </c>
      <c r="D22" s="303">
        <f>VLOOKUP(B22,Revenue!$A$2:$C$47,3,0)</f>
        <v>142186717.48751882</v>
      </c>
      <c r="E22" s="94">
        <f>VLOOKUP(B22,'3.MHAC Modeling Results'!$B$6:$L$51,6,FALSE)</f>
        <v>-1.3235294117647043E-2</v>
      </c>
      <c r="F22" s="94">
        <f>VLOOKUP(B22,'3.MHAC Modeling Results'!$B$6:$L$51,10,FALSE)</f>
        <v>-4.1666666666666588E-4</v>
      </c>
      <c r="G22" s="94">
        <f>VLOOKUP(B22,'Appendix2QBR Modeling Results'!$B$4:$G$46,5,FALSE)</f>
        <v>-5.8822404284484698E-3</v>
      </c>
      <c r="H22" s="94">
        <f>VLOOKUP(B22,'Appendix1.RRIP Modeling Results'!$A$4:$O$49,14,FALSE)</f>
        <v>4.5251097409033684E-3</v>
      </c>
      <c r="I22" s="414"/>
      <c r="J22" s="416">
        <f t="shared" si="0"/>
        <v>-1.4592424805192145E-2</v>
      </c>
      <c r="K22" s="107">
        <f t="shared" si="3"/>
        <v>-2074848.9832337173</v>
      </c>
      <c r="L22" s="107"/>
      <c r="M22" s="106">
        <f t="shared" si="1"/>
        <v>-1.7737973542117673E-3</v>
      </c>
      <c r="N22" s="406">
        <f t="shared" si="2"/>
        <v>-252210.42328341689</v>
      </c>
    </row>
    <row r="23" spans="2:14" ht="15.6">
      <c r="B23" s="343">
        <v>210003</v>
      </c>
      <c r="C23" s="405" t="s">
        <v>304</v>
      </c>
      <c r="D23" s="303">
        <f>VLOOKUP(B23,Revenue!$A$2:$C$47,3,0)</f>
        <v>177243165.22063905</v>
      </c>
      <c r="E23" s="94">
        <f>VLOOKUP(B23,'3.MHAC Modeling Results'!$B$6:$L$51,6,FALSE)</f>
        <v>0</v>
      </c>
      <c r="F23" s="94">
        <f>VLOOKUP(B23,'3.MHAC Modeling Results'!$B$6:$L$51,10,FALSE)</f>
        <v>1.6666666666666687E-3</v>
      </c>
      <c r="G23" s="94">
        <f>VLOOKUP(B23,'Appendix2QBR Modeling Results'!$B$4:$G$46,5,FALSE)</f>
        <v>-1.6812139373266602E-2</v>
      </c>
      <c r="H23" s="94">
        <f>VLOOKUP(B23,'Appendix1.RRIP Modeling Results'!$A$4:$O$49,14,FALSE)</f>
        <v>3.6701425993204985E-3</v>
      </c>
      <c r="I23" s="414"/>
      <c r="J23" s="416">
        <f t="shared" si="0"/>
        <v>-1.3141996773946103E-2</v>
      </c>
      <c r="K23" s="107">
        <f t="shared" si="3"/>
        <v>-2329329.1055336343</v>
      </c>
      <c r="L23" s="107"/>
      <c r="M23" s="106">
        <f t="shared" si="1"/>
        <v>-1.1475330107279434E-2</v>
      </c>
      <c r="N23" s="406">
        <f t="shared" si="2"/>
        <v>-2033923.8301659024</v>
      </c>
    </row>
    <row r="24" spans="2:14" ht="15.6">
      <c r="B24" s="343">
        <v>210057</v>
      </c>
      <c r="C24" s="405" t="s">
        <v>297</v>
      </c>
      <c r="D24" s="303">
        <f>VLOOKUP(B24,Revenue!$A$2:$C$47,3,0)</f>
        <v>228731774.96088892</v>
      </c>
      <c r="E24" s="94">
        <f>VLOOKUP(B24,'3.MHAC Modeling Results'!$B$6:$L$51,6,FALSE)</f>
        <v>-5.2941176470587999E-3</v>
      </c>
      <c r="F24" s="94">
        <f>VLOOKUP(B24,'3.MHAC Modeling Results'!$B$6:$L$51,10,FALSE)</f>
        <v>0</v>
      </c>
      <c r="G24" s="94">
        <f>VLOOKUP(B24,'Appendix2QBR Modeling Results'!$B$4:$G$46,5,FALSE)</f>
        <v>-5.6546271796997054E-3</v>
      </c>
      <c r="H24" s="94">
        <f>VLOOKUP(B24,'Appendix1.RRIP Modeling Results'!$A$4:$O$49,14,FALSE)</f>
        <v>-1.1409932795992724E-3</v>
      </c>
      <c r="I24" s="414"/>
      <c r="J24" s="416">
        <f t="shared" si="0"/>
        <v>-1.2089738106357778E-2</v>
      </c>
      <c r="K24" s="107">
        <f t="shared" si="3"/>
        <v>-2765307.2558795107</v>
      </c>
      <c r="L24" s="107"/>
      <c r="M24" s="106">
        <f t="shared" si="1"/>
        <v>-6.7956204592989778E-3</v>
      </c>
      <c r="N24" s="406">
        <f t="shared" si="2"/>
        <v>-1554374.3296159864</v>
      </c>
    </row>
    <row r="25" spans="2:14" ht="15.6">
      <c r="B25" s="343">
        <v>210055</v>
      </c>
      <c r="C25" s="405" t="s">
        <v>295</v>
      </c>
      <c r="D25" s="303">
        <f>VLOOKUP(B25,Revenue!$A$2:$C$47,3,0)</f>
        <v>77501975.342135206</v>
      </c>
      <c r="E25" s="94">
        <f>VLOOKUP(B25,'3.MHAC Modeling Results'!$B$6:$L$51,6,FALSE)</f>
        <v>-8.8235294117646884E-3</v>
      </c>
      <c r="F25" s="94">
        <f>VLOOKUP(B25,'3.MHAC Modeling Results'!$B$6:$L$51,10,FALSE)</f>
        <v>0</v>
      </c>
      <c r="G25" s="94">
        <f>VLOOKUP(B25,'Appendix2QBR Modeling Results'!$B$4:$G$46,5,FALSE)</f>
        <v>-7.0209442443176402E-3</v>
      </c>
      <c r="H25" s="94">
        <f>VLOOKUP(B25,'Appendix1.RRIP Modeling Results'!$A$4:$O$49,14,FALSE)</f>
        <v>6.0688823405133218E-3</v>
      </c>
      <c r="I25" s="414"/>
      <c r="J25" s="416">
        <f t="shared" si="0"/>
        <v>-9.7755913155690068E-3</v>
      </c>
      <c r="K25" s="107">
        <f t="shared" si="3"/>
        <v>-757627.63709402026</v>
      </c>
      <c r="L25" s="107"/>
      <c r="M25" s="106">
        <f t="shared" si="1"/>
        <v>-9.5206190380431842E-4</v>
      </c>
      <c r="N25" s="406">
        <f t="shared" si="2"/>
        <v>-73786.678192828593</v>
      </c>
    </row>
    <row r="26" spans="2:14" ht="15.6">
      <c r="B26" s="343">
        <v>210043</v>
      </c>
      <c r="C26" s="405" t="s">
        <v>280</v>
      </c>
      <c r="D26" s="303">
        <f>VLOOKUP(B26,Revenue!$A$2:$C$47,3,0)</f>
        <v>223155125.99975017</v>
      </c>
      <c r="E26" s="94">
        <f>VLOOKUP(B26,'3.MHAC Modeling Results'!$B$6:$L$51,6,FALSE)</f>
        <v>-1.6764705882352932E-2</v>
      </c>
      <c r="F26" s="94">
        <f>VLOOKUP(B26,'3.MHAC Modeling Results'!$B$6:$L$51,10,FALSE)</f>
        <v>-1.666666666666667E-3</v>
      </c>
      <c r="G26" s="94">
        <f>VLOOKUP(B26,'Appendix2QBR Modeling Results'!$B$4:$G$46,5,FALSE)</f>
        <v>2.5263421607203398E-3</v>
      </c>
      <c r="H26" s="94">
        <f>VLOOKUP(B26,'Appendix1.RRIP Modeling Results'!$A$4:$O$49,14,FALSE)</f>
        <v>-1.0285233918975664E-3</v>
      </c>
      <c r="I26" s="414"/>
      <c r="J26" s="416">
        <f t="shared" si="0"/>
        <v>-1.5266887113530157E-2</v>
      </c>
      <c r="K26" s="107">
        <f t="shared" si="3"/>
        <v>-3406884.1174437846</v>
      </c>
      <c r="L26" s="107"/>
      <c r="M26" s="106">
        <f t="shared" si="1"/>
        <v>-1.688478978438936E-4</v>
      </c>
      <c r="N26" s="406">
        <f t="shared" si="2"/>
        <v>-37679.273918147017</v>
      </c>
    </row>
    <row r="27" spans="2:14" ht="15.6">
      <c r="B27" s="343">
        <v>210018</v>
      </c>
      <c r="C27" s="405" t="s">
        <v>291</v>
      </c>
      <c r="D27" s="303">
        <f>VLOOKUP(B27,Revenue!$A$2:$C$47,3,0)</f>
        <v>87652208.15841648</v>
      </c>
      <c r="E27" s="94">
        <f>VLOOKUP(B27,'3.MHAC Modeling Results'!$B$6:$L$51,6,FALSE)</f>
        <v>-1.0588235294117631E-2</v>
      </c>
      <c r="F27" s="94">
        <f>VLOOKUP(B27,'3.MHAC Modeling Results'!$B$6:$L$51,10,FALSE)</f>
        <v>0</v>
      </c>
      <c r="G27" s="94">
        <f>VLOOKUP(B27,'Appendix2QBR Modeling Results'!$B$4:$G$46,5,FALSE)</f>
        <v>-4.8576620230163566E-3</v>
      </c>
      <c r="H27" s="94">
        <f>VLOOKUP(B27,'Appendix1.RRIP Modeling Results'!$A$4:$O$49,14,FALSE)</f>
        <v>4.9498219905759469E-3</v>
      </c>
      <c r="I27" s="414"/>
      <c r="J27" s="416">
        <f t="shared" si="0"/>
        <v>-1.0496075326558042E-2</v>
      </c>
      <c r="K27" s="107">
        <f t="shared" si="3"/>
        <v>-920004.17936988466</v>
      </c>
      <c r="L27" s="107"/>
      <c r="M27" s="106">
        <f t="shared" si="1"/>
        <v>9.2159967559590251E-5</v>
      </c>
      <c r="N27" s="406">
        <f t="shared" si="2"/>
        <v>8078.0246604061149</v>
      </c>
    </row>
    <row r="28" spans="2:14" ht="15.6">
      <c r="B28" s="343">
        <v>210011</v>
      </c>
      <c r="C28" s="405" t="s">
        <v>290</v>
      </c>
      <c r="D28" s="303">
        <f>VLOOKUP(B28,Revenue!$A$2:$C$47,3,0)</f>
        <v>239121555.83864471</v>
      </c>
      <c r="E28" s="94">
        <f>VLOOKUP(B28,'3.MHAC Modeling Results'!$B$6:$L$51,6,FALSE)</f>
        <v>-1.0588235294117631E-2</v>
      </c>
      <c r="F28" s="94">
        <f>VLOOKUP(B28,'3.MHAC Modeling Results'!$B$6:$L$51,10,FALSE)</f>
        <v>0</v>
      </c>
      <c r="G28" s="94">
        <f>VLOOKUP(B28,'Appendix2QBR Modeling Results'!$B$4:$G$46,5,FALSE)</f>
        <v>-4.8576620230163549E-3</v>
      </c>
      <c r="H28" s="94">
        <f>VLOOKUP(B28,'Appendix1.RRIP Modeling Results'!$A$4:$O$49,14,FALSE)</f>
        <v>5.2348546070902823E-3</v>
      </c>
      <c r="I28" s="414"/>
      <c r="J28" s="416">
        <f t="shared" si="0"/>
        <v>-1.0211042710043704E-2</v>
      </c>
      <c r="K28" s="107">
        <f t="shared" si="3"/>
        <v>-2441680.4195605018</v>
      </c>
      <c r="L28" s="107"/>
      <c r="M28" s="106">
        <f t="shared" si="1"/>
        <v>3.771925840739274E-4</v>
      </c>
      <c r="N28" s="406">
        <f t="shared" si="2"/>
        <v>90194.877554556326</v>
      </c>
    </row>
    <row r="29" spans="2:14" ht="15.6">
      <c r="B29" s="343">
        <v>210032</v>
      </c>
      <c r="C29" s="405" t="s">
        <v>302</v>
      </c>
      <c r="D29" s="303">
        <f>VLOOKUP(B29,Revenue!$A$2:$C$47,3,0)</f>
        <v>67852188.547545061</v>
      </c>
      <c r="E29" s="94">
        <f>VLOOKUP(B29,'3.MHAC Modeling Results'!$B$6:$L$51,6,FALSE)</f>
        <v>0</v>
      </c>
      <c r="F29" s="94">
        <f>VLOOKUP(B29,'3.MHAC Modeling Results'!$B$6:$L$51,10,FALSE)</f>
        <v>1.3333333333333357E-3</v>
      </c>
      <c r="G29" s="94">
        <f>VLOOKUP(B29,'Appendix2QBR Modeling Results'!$B$4:$G$46,5,FALSE)</f>
        <v>2.0526990583138068E-3</v>
      </c>
      <c r="H29" s="94">
        <f>VLOOKUP(B29,'Appendix1.RRIP Modeling Results'!$A$4:$O$49,14,FALSE)</f>
        <v>-4.1149802573395835E-3</v>
      </c>
      <c r="I29" s="414"/>
      <c r="J29" s="416">
        <f t="shared" si="0"/>
        <v>-2.0622811990257768E-3</v>
      </c>
      <c r="K29" s="107">
        <f t="shared" si="3"/>
        <v>-139930.2927543543</v>
      </c>
      <c r="L29" s="107"/>
      <c r="M29" s="106">
        <f t="shared" si="1"/>
        <v>-7.289478656924411E-4</v>
      </c>
      <c r="N29" s="406">
        <f t="shared" si="2"/>
        <v>-49460.708024294065</v>
      </c>
    </row>
    <row r="30" spans="2:14" ht="15.6">
      <c r="B30" s="343">
        <v>210034</v>
      </c>
      <c r="C30" s="405" t="s">
        <v>284</v>
      </c>
      <c r="D30" s="303">
        <f>VLOOKUP(B30,Revenue!$A$2:$C$47,3,0)</f>
        <v>124002219.66514386</v>
      </c>
      <c r="E30" s="94">
        <f>VLOOKUP(B30,'3.MHAC Modeling Results'!$B$6:$L$51,6,FALSE)</f>
        <v>-1.2352941176470573E-2</v>
      </c>
      <c r="F30" s="94">
        <f>VLOOKUP(B30,'3.MHAC Modeling Results'!$B$6:$L$51,10,FALSE)</f>
        <v>-4.1666666666666588E-4</v>
      </c>
      <c r="G30" s="94">
        <f>VLOOKUP(B30,'Appendix2QBR Modeling Results'!$B$4:$G$46,5,FALSE)</f>
        <v>1.5526769530041108E-3</v>
      </c>
      <c r="H30" s="94">
        <f>VLOOKUP(B30,'Appendix1.RRIP Modeling Results'!$A$4:$O$49,14,FALSE)</f>
        <v>9.823414670845367E-4</v>
      </c>
      <c r="I30" s="414"/>
      <c r="J30" s="416">
        <f t="shared" si="0"/>
        <v>-9.8179227563819256E-3</v>
      </c>
      <c r="K30" s="107">
        <f t="shared" si="3"/>
        <v>-1217444.2142922862</v>
      </c>
      <c r="L30" s="107"/>
      <c r="M30" s="106">
        <f t="shared" si="1"/>
        <v>2.1183517534219816E-3</v>
      </c>
      <c r="N30" s="406">
        <f t="shared" si="2"/>
        <v>262680.3194558752</v>
      </c>
    </row>
    <row r="31" spans="2:14" ht="15.6">
      <c r="B31" s="343">
        <v>210063</v>
      </c>
      <c r="C31" s="405" t="s">
        <v>287</v>
      </c>
      <c r="D31" s="303">
        <f>VLOOKUP(B31,Revenue!$A$2:$C$47,3,0)</f>
        <v>216335127.85977465</v>
      </c>
      <c r="E31" s="94">
        <f>VLOOKUP(B31,'3.MHAC Modeling Results'!$B$6:$L$51,6,FALSE)</f>
        <v>-1.2352941176470573E-2</v>
      </c>
      <c r="F31" s="94">
        <f>VLOOKUP(B31,'3.MHAC Modeling Results'!$B$6:$L$51,10,FALSE)</f>
        <v>0</v>
      </c>
      <c r="G31" s="94">
        <v>0</v>
      </c>
      <c r="H31" s="94">
        <f>VLOOKUP(B31,'Appendix1.RRIP Modeling Results'!$A$4:$O$49,14,FALSE)</f>
        <v>5.5016024553522147E-3</v>
      </c>
      <c r="I31" s="414"/>
      <c r="J31" s="416">
        <f t="shared" si="0"/>
        <v>-6.8513387211183588E-3</v>
      </c>
      <c r="K31" s="107">
        <f t="shared" si="3"/>
        <v>-1482185.2382437652</v>
      </c>
      <c r="L31" s="107"/>
      <c r="M31" s="106">
        <f t="shared" si="1"/>
        <v>5.5016024553522147E-3</v>
      </c>
      <c r="N31" s="406">
        <f t="shared" si="2"/>
        <v>1190189.8706122716</v>
      </c>
    </row>
    <row r="32" spans="2:14" ht="15.6">
      <c r="B32" s="343">
        <v>210012</v>
      </c>
      <c r="C32" s="405" t="s">
        <v>283</v>
      </c>
      <c r="D32" s="303">
        <f>VLOOKUP(B32,Revenue!$A$2:$C$47,3,0)</f>
        <v>429154678.73181057</v>
      </c>
      <c r="E32" s="94">
        <f>VLOOKUP(B32,'3.MHAC Modeling Results'!$B$6:$L$51,6,FALSE)</f>
        <v>-1.2352941176470573E-2</v>
      </c>
      <c r="F32" s="94">
        <f>VLOOKUP(B32,'3.MHAC Modeling Results'!$B$6:$L$51,10,FALSE)</f>
        <v>-4.1666666666666588E-4</v>
      </c>
      <c r="G32" s="94">
        <f>VLOOKUP(B32,'Appendix2QBR Modeling Results'!$B$4:$G$46,5,FALSE)</f>
        <v>7.0471727308899813E-4</v>
      </c>
      <c r="H32" s="94">
        <f>VLOOKUP(B32,'Appendix1.RRIP Modeling Results'!$A$4:$O$49,14,FALSE)</f>
        <v>3.3053804759930025E-3</v>
      </c>
      <c r="I32" s="414"/>
      <c r="J32" s="416">
        <f t="shared" si="0"/>
        <v>-8.3428434273885733E-3</v>
      </c>
      <c r="K32" s="107">
        <f t="shared" si="3"/>
        <v>-3580370.2907907404</v>
      </c>
      <c r="L32" s="107"/>
      <c r="M32" s="106">
        <f t="shared" si="1"/>
        <v>3.5934310824153348E-3</v>
      </c>
      <c r="N32" s="406">
        <f t="shared" si="2"/>
        <v>1542137.7617188552</v>
      </c>
    </row>
    <row r="33" spans="2:14" ht="15.6">
      <c r="B33" s="343">
        <v>210051</v>
      </c>
      <c r="C33" s="405" t="s">
        <v>281</v>
      </c>
      <c r="D33" s="303">
        <f>VLOOKUP(B33,Revenue!$A$2:$C$47,3,0)</f>
        <v>136225390.68992713</v>
      </c>
      <c r="E33" s="94">
        <f>VLOOKUP(B33,'3.MHAC Modeling Results'!$B$6:$L$51,6,FALSE)</f>
        <v>-1.4999999999999987E-2</v>
      </c>
      <c r="F33" s="94">
        <f>VLOOKUP(B33,'3.MHAC Modeling Results'!$B$6:$L$51,10,FALSE)</f>
        <v>-1.2499999999999994E-3</v>
      </c>
      <c r="G33" s="94">
        <f>VLOOKUP(B33,'Appendix2QBR Modeling Results'!$B$4:$G$46,5,FALSE)</f>
        <v>4.1842403878745013E-3</v>
      </c>
      <c r="H33" s="94">
        <f>VLOOKUP(B33,'Appendix1.RRIP Modeling Results'!$A$4:$O$49,14,FALSE)</f>
        <v>0.01</v>
      </c>
      <c r="I33" s="414"/>
      <c r="J33" s="416">
        <f t="shared" si="0"/>
        <v>-8.1575961212548669E-4</v>
      </c>
      <c r="K33" s="107">
        <f t="shared" si="3"/>
        <v>-111127.17187085784</v>
      </c>
      <c r="L33" s="107"/>
      <c r="M33" s="106">
        <f t="shared" si="1"/>
        <v>1.2934240387874503E-2</v>
      </c>
      <c r="N33" s="406">
        <f t="shared" si="2"/>
        <v>1761971.9501156388</v>
      </c>
    </row>
    <row r="34" spans="2:14" ht="15.6">
      <c r="B34" s="343">
        <v>210023</v>
      </c>
      <c r="C34" s="405" t="s">
        <v>279</v>
      </c>
      <c r="D34" s="303">
        <f>VLOOKUP(B34,Revenue!$A$2:$C$47,3,0)</f>
        <v>310117074.81392145</v>
      </c>
      <c r="E34" s="94">
        <f>VLOOKUP(B34,'3.MHAC Modeling Results'!$B$6:$L$51,6,FALSE)</f>
        <v>-1.6764705882352932E-2</v>
      </c>
      <c r="F34" s="94">
        <f>VLOOKUP(B34,'3.MHAC Modeling Results'!$B$6:$L$51,10,FALSE)</f>
        <v>-2.0833333333333329E-3</v>
      </c>
      <c r="G34" s="94">
        <f>VLOOKUP(B34,'Appendix2QBR Modeling Results'!$B$4:$G$46,5,FALSE)</f>
        <v>6.9474040997981037E-3</v>
      </c>
      <c r="H34" s="94">
        <f>VLOOKUP(B34,'Appendix1.RRIP Modeling Results'!$A$4:$O$49,14,FALSE)</f>
        <v>2.5990089358946156E-3</v>
      </c>
      <c r="I34" s="414"/>
      <c r="J34" s="416">
        <f t="shared" si="0"/>
        <v>-7.2182928466602118E-3</v>
      </c>
      <c r="K34" s="107">
        <f t="shared" si="3"/>
        <v>-2238515.8627565191</v>
      </c>
      <c r="L34" s="107"/>
      <c r="M34" s="106">
        <f t="shared" si="1"/>
        <v>7.4630797023593869E-3</v>
      </c>
      <c r="N34" s="406">
        <f t="shared" si="2"/>
        <v>2314428.4463988445</v>
      </c>
    </row>
    <row r="35" spans="2:14" ht="15.6">
      <c r="B35" s="343">
        <v>210013</v>
      </c>
      <c r="C35" s="405" t="s">
        <v>312</v>
      </c>
      <c r="D35" s="303">
        <f>VLOOKUP(B35,Revenue!$A$2:$C$47,3,0)</f>
        <v>78212787.330636472</v>
      </c>
      <c r="E35" s="94">
        <f>VLOOKUP(B35,'3.MHAC Modeling Results'!$B$6:$L$51,6,FALSE)</f>
        <v>0</v>
      </c>
      <c r="F35" s="94">
        <f>VLOOKUP(B35,'3.MHAC Modeling Results'!$B$6:$L$51,10,FALSE)</f>
        <v>6.000000000000001E-3</v>
      </c>
      <c r="G35" s="94">
        <f>VLOOKUP(B35,'Appendix2QBR Modeling Results'!$B$4:$G$46,5,FALSE)</f>
        <v>-9.335756107409653E-3</v>
      </c>
      <c r="H35" s="94">
        <f>VLOOKUP(B35,'Appendix1.RRIP Modeling Results'!$A$4:$O$49,14,FALSE)</f>
        <v>0.01</v>
      </c>
      <c r="I35" s="414"/>
      <c r="J35" s="416">
        <f t="shared" si="0"/>
        <v>6.6424389259034725E-4</v>
      </c>
      <c r="K35" s="107">
        <f t="shared" si="3"/>
        <v>51952.366306842967</v>
      </c>
      <c r="L35" s="107"/>
      <c r="M35" s="106">
        <f t="shared" si="1"/>
        <v>6.6642438925903482E-3</v>
      </c>
      <c r="N35" s="406">
        <f t="shared" si="2"/>
        <v>521229.09029066184</v>
      </c>
    </row>
    <row r="36" spans="2:14" ht="15.6">
      <c r="B36" s="343">
        <v>210061</v>
      </c>
      <c r="C36" s="405" t="s">
        <v>310</v>
      </c>
      <c r="D36" s="303">
        <f>VLOOKUP(B36,Revenue!$A$2:$C$47,3,0)</f>
        <v>38640762.060988352</v>
      </c>
      <c r="E36" s="94">
        <f>VLOOKUP(B36,'3.MHAC Modeling Results'!$B$6:$L$51,6,FALSE)</f>
        <v>0</v>
      </c>
      <c r="F36" s="94">
        <f>VLOOKUP(B36,'3.MHAC Modeling Results'!$B$6:$L$51,10,FALSE)</f>
        <v>4.0000000000000001E-3</v>
      </c>
      <c r="G36" s="94">
        <f>VLOOKUP(B36,'Appendix2QBR Modeling Results'!$B$4:$G$46,5,FALSE)</f>
        <v>0</v>
      </c>
      <c r="H36" s="94">
        <f>VLOOKUP(B36,'Appendix1.RRIP Modeling Results'!$A$4:$O$49,14,FALSE)</f>
        <v>-1.7579600115562037E-3</v>
      </c>
      <c r="I36" s="414"/>
      <c r="J36" s="416">
        <f t="shared" si="0"/>
        <v>-1.7579600115562037E-3</v>
      </c>
      <c r="K36" s="107">
        <f t="shared" si="3"/>
        <v>-67928.914519275597</v>
      </c>
      <c r="L36" s="107"/>
      <c r="M36" s="106">
        <f t="shared" si="1"/>
        <v>2.2420399884437964E-3</v>
      </c>
      <c r="N36" s="406">
        <f t="shared" si="2"/>
        <v>86634.133724677813</v>
      </c>
    </row>
    <row r="37" spans="2:14" ht="15.6">
      <c r="B37" s="343">
        <v>210006</v>
      </c>
      <c r="C37" s="405" t="s">
        <v>299</v>
      </c>
      <c r="D37" s="303">
        <f>VLOOKUP(B37,Revenue!$A$2:$C$47,3,0)</f>
        <v>47089618.293410309</v>
      </c>
      <c r="E37" s="94">
        <f>VLOOKUP(B37,'3.MHAC Modeling Results'!$B$6:$L$51,6,FALSE)</f>
        <v>-1.7647058823529148E-3</v>
      </c>
      <c r="F37" s="94">
        <f>VLOOKUP(B37,'3.MHAC Modeling Results'!$B$6:$L$51,10,FALSE)</f>
        <v>3.3333333333333479E-4</v>
      </c>
      <c r="G37" s="94">
        <f>VLOOKUP(B37,'Appendix2QBR Modeling Results'!$B$4:$G$46,5,FALSE)</f>
        <v>7.579026482161016E-3</v>
      </c>
      <c r="H37" s="94">
        <f>VLOOKUP(B37,'Appendix1.RRIP Modeling Results'!$A$4:$O$49,14,FALSE)</f>
        <v>-4.1670450221117789E-3</v>
      </c>
      <c r="I37" s="414"/>
      <c r="J37" s="416">
        <f t="shared" si="0"/>
        <v>1.6472755776963223E-3</v>
      </c>
      <c r="K37" s="107">
        <f t="shared" si="3"/>
        <v>77569.57817777677</v>
      </c>
      <c r="L37" s="107"/>
      <c r="M37" s="106">
        <f t="shared" si="1"/>
        <v>3.745314793382571E-3</v>
      </c>
      <c r="N37" s="406">
        <f t="shared" si="2"/>
        <v>176365.44400904817</v>
      </c>
    </row>
    <row r="38" spans="2:14" ht="15.6">
      <c r="B38" s="343">
        <v>210029</v>
      </c>
      <c r="C38" s="405" t="s">
        <v>307</v>
      </c>
      <c r="D38" s="303">
        <f>VLOOKUP(B38,Revenue!$A$2:$C$47,3,0)</f>
        <v>356396901.46731883</v>
      </c>
      <c r="E38" s="94">
        <f>VLOOKUP(B38,'3.MHAC Modeling Results'!$B$6:$L$51,6,FALSE)</f>
        <v>0</v>
      </c>
      <c r="F38" s="94">
        <f>VLOOKUP(B38,'3.MHAC Modeling Results'!$B$6:$L$51,10,FALSE)</f>
        <v>3.3333333333333331E-3</v>
      </c>
      <c r="G38" s="94">
        <f>VLOOKUP(B38,'Appendix2QBR Modeling Results'!$B$4:$G$46,5,FALSE)</f>
        <v>-7.5142125452941893E-3</v>
      </c>
      <c r="H38" s="94">
        <f>VLOOKUP(B38,'Appendix1.RRIP Modeling Results'!$A$4:$O$49,14,FALSE)</f>
        <v>1.7282582010807682E-3</v>
      </c>
      <c r="I38" s="414"/>
      <c r="J38" s="416">
        <f t="shared" si="0"/>
        <v>-5.7859543442134211E-3</v>
      </c>
      <c r="K38" s="107">
        <f t="shared" si="3"/>
        <v>-2062096.2003090361</v>
      </c>
      <c r="L38" s="107"/>
      <c r="M38" s="106">
        <f t="shared" si="1"/>
        <v>-2.4526210108800879E-3</v>
      </c>
      <c r="N38" s="406">
        <f t="shared" si="2"/>
        <v>-874106.52875130659</v>
      </c>
    </row>
    <row r="39" spans="2:14" ht="15.6">
      <c r="B39" s="343">
        <v>210038</v>
      </c>
      <c r="C39" s="405" t="s">
        <v>298</v>
      </c>
      <c r="D39" s="303">
        <f>VLOOKUP(B39,Revenue!$A$2:$C$47,3,0)</f>
        <v>133787810.98689511</v>
      </c>
      <c r="E39" s="94">
        <f>VLOOKUP(B39,'3.MHAC Modeling Results'!$B$6:$L$51,6,FALSE)</f>
        <v>-4.4117647058823269E-3</v>
      </c>
      <c r="F39" s="94">
        <f>VLOOKUP(B39,'3.MHAC Modeling Results'!$B$6:$L$51,10,FALSE)</f>
        <v>0</v>
      </c>
      <c r="G39" s="94">
        <f>VLOOKUP(B39,'Appendix2QBR Modeling Results'!$B$4:$G$46,5,FALSE)</f>
        <v>8.9482293646933955E-4</v>
      </c>
      <c r="H39" s="94">
        <f>VLOOKUP(B39,'Appendix1.RRIP Modeling Results'!$A$4:$O$49,14,FALSE)</f>
        <v>2.7823808989519598E-3</v>
      </c>
      <c r="I39" s="414"/>
      <c r="J39" s="416">
        <f t="shared" si="0"/>
        <v>-7.3456087046102746E-4</v>
      </c>
      <c r="K39" s="107">
        <f t="shared" si="3"/>
        <v>-98275.290895609083</v>
      </c>
      <c r="L39" s="107"/>
      <c r="M39" s="106">
        <f t="shared" si="1"/>
        <v>3.6772038354212994E-3</v>
      </c>
      <c r="N39" s="406">
        <f t="shared" si="2"/>
        <v>491965.05169363058</v>
      </c>
    </row>
    <row r="40" spans="2:14" ht="15.6">
      <c r="B40" s="343">
        <v>210008</v>
      </c>
      <c r="C40" s="405" t="s">
        <v>292</v>
      </c>
      <c r="D40" s="303">
        <f>VLOOKUP(B40,Revenue!$A$2:$C$47,3,0)</f>
        <v>233163593.66479388</v>
      </c>
      <c r="E40" s="94">
        <f>VLOOKUP(B40,'3.MHAC Modeling Results'!$B$6:$L$51,6,FALSE)</f>
        <v>-9.7058823529411579E-3</v>
      </c>
      <c r="F40" s="94">
        <f>VLOOKUP(B40,'3.MHAC Modeling Results'!$B$6:$L$51,10,FALSE)</f>
        <v>0</v>
      </c>
      <c r="G40" s="94">
        <f>VLOOKUP(B40,'Appendix2QBR Modeling Results'!$B$4:$G$46,5,FALSE)</f>
        <v>6.7263510028442147E-3</v>
      </c>
      <c r="H40" s="94">
        <f>VLOOKUP(B40,'Appendix1.RRIP Modeling Results'!$A$4:$O$49,14,FALSE)</f>
        <v>4.6840011439999536E-3</v>
      </c>
      <c r="I40" s="414"/>
      <c r="J40" s="416">
        <f t="shared" si="0"/>
        <v>1.7044697939030103E-3</v>
      </c>
      <c r="K40" s="107">
        <f t="shared" si="3"/>
        <v>397420.30243951647</v>
      </c>
      <c r="L40" s="107"/>
      <c r="M40" s="106">
        <f t="shared" si="1"/>
        <v>1.1410352146844167E-2</v>
      </c>
      <c r="N40" s="406">
        <f t="shared" si="2"/>
        <v>2660478.7115389821</v>
      </c>
    </row>
    <row r="41" spans="2:14" ht="15.6">
      <c r="B41" s="343">
        <v>210027</v>
      </c>
      <c r="C41" s="405" t="s">
        <v>294</v>
      </c>
      <c r="D41" s="303">
        <f>VLOOKUP(B41,Revenue!$A$2:$C$47,3,0)</f>
        <v>184484265.97300443</v>
      </c>
      <c r="E41" s="94">
        <f>VLOOKUP(B41,'3.MHAC Modeling Results'!$B$6:$L$51,6,FALSE)</f>
        <v>-8.8235294117646884E-3</v>
      </c>
      <c r="F41" s="94">
        <f>VLOOKUP(B41,'3.MHAC Modeling Results'!$B$6:$L$51,10,FALSE)</f>
        <v>0</v>
      </c>
      <c r="G41" s="94">
        <f>VLOOKUP(B41,'Appendix2QBR Modeling Results'!$B$4:$G$46,5,FALSE)</f>
        <v>5.9999705262537397E-3</v>
      </c>
      <c r="H41" s="94">
        <f>VLOOKUP(B41,'Appendix1.RRIP Modeling Results'!$A$4:$O$49,14,FALSE)</f>
        <v>-1.0005702647017871E-3</v>
      </c>
      <c r="I41" s="414"/>
      <c r="J41" s="416">
        <f t="shared" si="0"/>
        <v>-3.8241291502127358E-3</v>
      </c>
      <c r="K41" s="107">
        <f t="shared" si="3"/>
        <v>-705491.65926296578</v>
      </c>
      <c r="L41" s="107"/>
      <c r="M41" s="106">
        <f t="shared" si="1"/>
        <v>4.999400261551953E-3</v>
      </c>
      <c r="N41" s="406">
        <f t="shared" si="2"/>
        <v>922310.68755765841</v>
      </c>
    </row>
    <row r="42" spans="2:14" ht="15.6">
      <c r="B42" s="343">
        <v>210045</v>
      </c>
      <c r="C42" s="405" t="s">
        <v>314</v>
      </c>
      <c r="D42" s="303">
        <f>VLOOKUP(B42,Revenue!$A$2:$C$47,3,0)</f>
        <v>3734618.2392469109</v>
      </c>
      <c r="E42" s="94">
        <f>VLOOKUP(B42,'3.MHAC Modeling Results'!$B$6:$L$51,6,FALSE)</f>
        <v>0</v>
      </c>
      <c r="F42" s="94">
        <f>VLOOKUP(B42,'3.MHAC Modeling Results'!$B$6:$L$51,10,FALSE)</f>
        <v>0.01</v>
      </c>
      <c r="G42" s="94">
        <v>0</v>
      </c>
      <c r="H42" s="94">
        <f>VLOOKUP(B42,'Appendix1.RRIP Modeling Results'!$A$4:$O$49,14,FALSE)</f>
        <v>0.01</v>
      </c>
      <c r="I42" s="414"/>
      <c r="J42" s="416">
        <f t="shared" si="0"/>
        <v>0.01</v>
      </c>
      <c r="K42" s="107">
        <f t="shared" si="3"/>
        <v>37346.182392469113</v>
      </c>
      <c r="L42" s="107"/>
      <c r="M42" s="106">
        <f t="shared" si="1"/>
        <v>0.02</v>
      </c>
      <c r="N42" s="406">
        <f t="shared" si="2"/>
        <v>74692.364784938225</v>
      </c>
    </row>
    <row r="43" spans="2:14" ht="15.6">
      <c r="B43" s="343">
        <v>210056</v>
      </c>
      <c r="C43" s="405" t="s">
        <v>306</v>
      </c>
      <c r="D43" s="303">
        <f>VLOOKUP(B43,Revenue!$A$2:$C$47,3,0)</f>
        <v>180861011.49427712</v>
      </c>
      <c r="E43" s="94">
        <f>VLOOKUP(B43,'3.MHAC Modeling Results'!$B$6:$L$51,6,FALSE)</f>
        <v>0</v>
      </c>
      <c r="F43" s="94">
        <f>VLOOKUP(B43,'3.MHAC Modeling Results'!$B$6:$L$51,10,FALSE)</f>
        <v>2.3333333333333322E-3</v>
      </c>
      <c r="G43" s="94">
        <f>VLOOKUP(B43,'Appendix2QBR Modeling Results'!$B$4:$G$46,5,FALSE)</f>
        <v>-1.1384912918273905E-3</v>
      </c>
      <c r="H43" s="94">
        <f>VLOOKUP(B43,'Appendix1.RRIP Modeling Results'!$A$4:$O$49,14,FALSE)</f>
        <v>1.2456510079503845E-3</v>
      </c>
      <c r="I43" s="414"/>
      <c r="J43" s="416">
        <f t="shared" si="0"/>
        <v>1.0715971612299392E-4</v>
      </c>
      <c r="K43" s="107">
        <f t="shared" si="3"/>
        <v>19381.014649444278</v>
      </c>
      <c r="L43" s="107"/>
      <c r="M43" s="106">
        <f t="shared" si="1"/>
        <v>2.4404930494563264E-3</v>
      </c>
      <c r="N43" s="406">
        <f t="shared" si="2"/>
        <v>441390.04146942409</v>
      </c>
    </row>
    <row r="44" spans="2:14" ht="15.6">
      <c r="B44" s="343">
        <v>210039</v>
      </c>
      <c r="C44" s="405" t="s">
        <v>303</v>
      </c>
      <c r="D44" s="303">
        <f>VLOOKUP(B44,Revenue!$A$2:$C$47,3,0)</f>
        <v>67385286.839919657</v>
      </c>
      <c r="E44" s="94">
        <f>VLOOKUP(B44,'3.MHAC Modeling Results'!$B$6:$L$51,6,FALSE)</f>
        <v>0</v>
      </c>
      <c r="F44" s="94">
        <f>VLOOKUP(B44,'3.MHAC Modeling Results'!$B$6:$L$51,10,FALSE)</f>
        <v>1.6666666666666687E-3</v>
      </c>
      <c r="G44" s="94">
        <f>VLOOKUP(B44,'Appendix2QBR Modeling Results'!$B$4:$G$46,5,FALSE)</f>
        <v>2.3947418836671244E-3</v>
      </c>
      <c r="H44" s="94">
        <f>VLOOKUP(B44,'Appendix1.RRIP Modeling Results'!$A$4:$O$49,14,FALSE)</f>
        <v>9.2302411204301608E-3</v>
      </c>
      <c r="I44" s="414"/>
      <c r="J44" s="416">
        <f t="shared" si="0"/>
        <v>1.1624983004097285E-2</v>
      </c>
      <c r="K44" s="107">
        <f t="shared" si="3"/>
        <v>783352.81424028648</v>
      </c>
      <c r="L44" s="107"/>
      <c r="M44" s="106">
        <f t="shared" si="1"/>
        <v>1.3291649670763954E-2</v>
      </c>
      <c r="N44" s="406">
        <f t="shared" si="2"/>
        <v>895661.62564015272</v>
      </c>
    </row>
    <row r="45" spans="2:14" ht="15.6">
      <c r="B45" s="343">
        <v>210030</v>
      </c>
      <c r="C45" s="405" t="s">
        <v>313</v>
      </c>
      <c r="D45" s="303">
        <f>VLOOKUP(B45,Revenue!$A$2:$C$47,3,0)</f>
        <v>29416674.305924561</v>
      </c>
      <c r="E45" s="94">
        <f>VLOOKUP(B45,'3.MHAC Modeling Results'!$B$6:$L$51,6,FALSE)</f>
        <v>0</v>
      </c>
      <c r="F45" s="94">
        <f>VLOOKUP(B45,'3.MHAC Modeling Results'!$B$6:$L$51,10,FALSE)</f>
        <v>0.01</v>
      </c>
      <c r="G45" s="94">
        <f>VLOOKUP(B45,'Appendix2QBR Modeling Results'!$B$4:$G$46,5,FALSE)</f>
        <v>4.1316297507994725E-3</v>
      </c>
      <c r="H45" s="94">
        <f>VLOOKUP(B45,'Appendix1.RRIP Modeling Results'!$A$4:$O$49,14,FALSE)</f>
        <v>8.519219186762338E-3</v>
      </c>
      <c r="I45" s="414"/>
      <c r="J45" s="416">
        <f t="shared" si="0"/>
        <v>1.265084893756181E-2</v>
      </c>
      <c r="K45" s="107">
        <f t="shared" si="3"/>
        <v>372145.90288970753</v>
      </c>
      <c r="L45" s="107"/>
      <c r="M45" s="106">
        <f t="shared" si="1"/>
        <v>2.2650848937561811E-2</v>
      </c>
      <c r="N45" s="406">
        <f t="shared" si="2"/>
        <v>666312.64594895311</v>
      </c>
    </row>
    <row r="46" spans="2:14" ht="15.6">
      <c r="B46" s="343">
        <v>210058</v>
      </c>
      <c r="C46" s="405" t="s">
        <v>301</v>
      </c>
      <c r="D46" s="303">
        <f>VLOOKUP(B46,Revenue!$A$2:$C$47,3,0)</f>
        <v>69104845.787293941</v>
      </c>
      <c r="E46" s="94">
        <f>VLOOKUP(B46,'3.MHAC Modeling Results'!$B$6:$L$51,6,FALSE)</f>
        <v>-1.7647058823529148E-3</v>
      </c>
      <c r="F46" s="94">
        <f>VLOOKUP(B46,'3.MHAC Modeling Results'!$B$6:$L$51,10,FALSE)</f>
        <v>1.0000000000000009E-3</v>
      </c>
      <c r="G46" s="94">
        <v>0</v>
      </c>
      <c r="H46" s="94">
        <f>VLOOKUP(B46,'Appendix1.RRIP Modeling Results'!$A$4:$O$49,14,FALSE)</f>
        <v>-1.5927733885840814E-3</v>
      </c>
      <c r="I46" s="414"/>
      <c r="J46" s="416">
        <f t="shared" si="0"/>
        <v>-3.3574792709369959E-3</v>
      </c>
      <c r="K46" s="107">
        <f>J46*D46</f>
        <v>-232018.08725213719</v>
      </c>
      <c r="L46" s="107"/>
      <c r="M46" s="106">
        <f t="shared" si="1"/>
        <v>-5.9277338858408049E-4</v>
      </c>
      <c r="N46" s="406">
        <f t="shared" si="2"/>
        <v>-40963.513604914551</v>
      </c>
    </row>
    <row r="47" spans="2:14" ht="15.6">
      <c r="B47" s="343">
        <v>210017</v>
      </c>
      <c r="C47" s="405" t="s">
        <v>305</v>
      </c>
      <c r="D47" s="303">
        <f>VLOOKUP(B47,Revenue!$A$2:$C$47,3,0)</f>
        <v>18724073.644907132</v>
      </c>
      <c r="E47" s="94">
        <f>VLOOKUP(B47,'3.MHAC Modeling Results'!$B$6:$L$51,6,FALSE)</f>
        <v>0</v>
      </c>
      <c r="F47" s="94">
        <f>VLOOKUP(B47,'3.MHAC Modeling Results'!$B$6:$L$51,10,FALSE)</f>
        <v>2.3333333333333322E-3</v>
      </c>
      <c r="G47" s="94">
        <f>VLOOKUP(B47,'Appendix2QBR Modeling Results'!$B$4:$G$46,5,FALSE)</f>
        <v>6.7895721885730294E-3</v>
      </c>
      <c r="H47" s="94">
        <f>VLOOKUP(B47,'Appendix1.RRIP Modeling Results'!$A$4:$O$49,14,FALSE)</f>
        <v>2.2900974747206231E-3</v>
      </c>
      <c r="I47" s="414"/>
      <c r="J47" s="416">
        <f t="shared" si="0"/>
        <v>9.0796696632936529E-3</v>
      </c>
      <c r="K47" s="107">
        <f t="shared" si="3"/>
        <v>170008.40344693951</v>
      </c>
      <c r="L47" s="107"/>
      <c r="M47" s="106">
        <f t="shared" si="1"/>
        <v>1.1413002996626986E-2</v>
      </c>
      <c r="N47" s="406">
        <f t="shared" si="2"/>
        <v>213697.90861838945</v>
      </c>
    </row>
    <row r="48" spans="2:14" ht="16.2" thickBot="1">
      <c r="B48" s="407">
        <v>210028</v>
      </c>
      <c r="C48" s="408" t="s">
        <v>308</v>
      </c>
      <c r="D48" s="409">
        <f>VLOOKUP(B48,Revenue!$A$2:$C$47,3,0)</f>
        <v>69520305.288439929</v>
      </c>
      <c r="E48" s="410">
        <f>VLOOKUP(B48,'3.MHAC Modeling Results'!$B$6:$L$51,6,FALSE)</f>
        <v>0</v>
      </c>
      <c r="F48" s="410">
        <f>VLOOKUP(B48,'3.MHAC Modeling Results'!$B$6:$L$51,10,FALSE)</f>
        <v>3.6666666666666662E-3</v>
      </c>
      <c r="G48" s="410">
        <f>VLOOKUP(B48,'Appendix2QBR Modeling Results'!$B$4:$G$46,5,FALSE)</f>
        <v>0.01</v>
      </c>
      <c r="H48" s="410">
        <f>VLOOKUP(B48,'Appendix1.RRIP Modeling Results'!$A$4:$O$49,14,FALSE)</f>
        <v>0.01</v>
      </c>
      <c r="I48" s="415"/>
      <c r="J48" s="417">
        <f t="shared" si="0"/>
        <v>0.02</v>
      </c>
      <c r="K48" s="412">
        <f t="shared" si="3"/>
        <v>1390406.1057687986</v>
      </c>
      <c r="L48" s="412"/>
      <c r="M48" s="411">
        <f t="shared" si="1"/>
        <v>2.3666666666666669E-2</v>
      </c>
      <c r="N48" s="413">
        <f t="shared" si="2"/>
        <v>1645313.8918264119</v>
      </c>
    </row>
    <row r="49" spans="2:14" ht="16.2" thickBot="1">
      <c r="B49" s="439" t="s">
        <v>151</v>
      </c>
      <c r="C49" s="440"/>
      <c r="D49" s="441">
        <f>SUM(D3:D48)</f>
        <v>8961031432.2934799</v>
      </c>
    </row>
    <row r="50" spans="2:14" ht="15" customHeight="1">
      <c r="H50" s="475" t="s">
        <v>169</v>
      </c>
      <c r="I50" s="476"/>
      <c r="J50" s="476"/>
      <c r="K50" s="433">
        <f>SUM(K3:K48)</f>
        <v>-133316390.51234889</v>
      </c>
      <c r="L50" s="433"/>
      <c r="M50" s="340"/>
      <c r="N50" s="434">
        <f>SUM(N3:N48)</f>
        <v>-23330783.074641336</v>
      </c>
    </row>
    <row r="51" spans="2:14" ht="15" customHeight="1">
      <c r="H51" s="477" t="s">
        <v>175</v>
      </c>
      <c r="I51" s="478"/>
      <c r="J51" s="478"/>
      <c r="K51" s="92">
        <f>MIN(J3:J48)</f>
        <v>-4.4291082660146461E-2</v>
      </c>
      <c r="L51" s="92"/>
      <c r="M51" s="253"/>
      <c r="N51" s="435">
        <f>MIN(M3:M48)</f>
        <v>-2.5467553248381763E-2</v>
      </c>
    </row>
    <row r="52" spans="2:14" ht="15" customHeight="1">
      <c r="H52" s="477" t="s">
        <v>170</v>
      </c>
      <c r="I52" s="478"/>
      <c r="J52" s="478"/>
      <c r="K52" s="92">
        <f>K50/$D$49</f>
        <v>-1.4877348831955607E-2</v>
      </c>
      <c r="L52" s="92"/>
      <c r="M52" s="253"/>
      <c r="N52" s="435">
        <f>N50/$D$49</f>
        <v>-2.6035823276506546E-3</v>
      </c>
    </row>
    <row r="53" spans="2:14" ht="15" customHeight="1" thickBot="1">
      <c r="H53" s="479" t="s">
        <v>171</v>
      </c>
      <c r="I53" s="480"/>
      <c r="J53" s="480"/>
      <c r="K53" s="436">
        <f>K52*60%</f>
        <v>-8.9264092991733646E-3</v>
      </c>
      <c r="L53" s="436"/>
      <c r="M53" s="437"/>
      <c r="N53" s="438">
        <f>N52*60%</f>
        <v>-1.5621493965903928E-3</v>
      </c>
    </row>
  </sheetData>
  <sortState ref="B3:H52">
    <sortCondition ref="B3"/>
  </sortState>
  <mergeCells count="4">
    <mergeCell ref="H50:J50"/>
    <mergeCell ref="H51:J51"/>
    <mergeCell ref="H52:J52"/>
    <mergeCell ref="H53:J53"/>
  </mergeCells>
  <printOptions horizontalCentered="1" verticalCentered="1"/>
  <pageMargins left="0.2" right="0.2" top="0.25" bottom="0.25" header="0.3" footer="0.3"/>
  <pageSetup scale="59" orientation="landscape" r:id="rId1"/>
  <headerFooter>
    <oddFooter>&amp;CHSCRC Work Group Meeting
Feb 2, 2015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workbookViewId="0"/>
  </sheetViews>
  <sheetFormatPr defaultRowHeight="14.4"/>
  <cols>
    <col min="2" max="2" width="55.109375" customWidth="1"/>
    <col min="3" max="3" width="21.6640625" style="11" customWidth="1"/>
    <col min="4" max="4" width="14.109375" customWidth="1"/>
    <col min="5" max="5" width="8.109375" style="11" customWidth="1"/>
    <col min="6" max="6" width="29.109375" customWidth="1"/>
    <col min="7" max="7" width="10.33203125" style="11" customWidth="1"/>
    <col min="8" max="8" width="18.88671875" customWidth="1"/>
    <col min="9" max="9" width="10.44140625" style="11" customWidth="1"/>
    <col min="10" max="10" width="19.33203125" customWidth="1"/>
    <col min="11" max="11" width="13.109375" customWidth="1"/>
    <col min="18" max="19" width="12.6640625" bestFit="1" customWidth="1"/>
  </cols>
  <sheetData>
    <row r="1" spans="1:20" ht="78" customHeight="1" thickBot="1">
      <c r="A1" s="18" t="s">
        <v>0</v>
      </c>
      <c r="B1" s="17"/>
      <c r="C1" s="16" t="s">
        <v>94</v>
      </c>
      <c r="D1" s="16" t="s">
        <v>95</v>
      </c>
      <c r="E1" s="16" t="s">
        <v>132</v>
      </c>
      <c r="F1" s="16" t="s">
        <v>124</v>
      </c>
      <c r="G1" s="37" t="s">
        <v>133</v>
      </c>
      <c r="H1" s="37" t="s">
        <v>97</v>
      </c>
      <c r="I1" s="46" t="s">
        <v>134</v>
      </c>
      <c r="J1" s="39" t="s">
        <v>98</v>
      </c>
      <c r="K1" s="39" t="s">
        <v>131</v>
      </c>
      <c r="M1" s="46" t="s">
        <v>129</v>
      </c>
      <c r="N1" s="46" t="s">
        <v>127</v>
      </c>
      <c r="O1" s="46" t="s">
        <v>126</v>
      </c>
      <c r="P1" s="46" t="s">
        <v>128</v>
      </c>
      <c r="Q1" s="46" t="s">
        <v>130</v>
      </c>
      <c r="R1" s="46" t="s">
        <v>127</v>
      </c>
      <c r="S1" s="46" t="s">
        <v>126</v>
      </c>
      <c r="T1" s="46" t="s">
        <v>128</v>
      </c>
    </row>
    <row r="2" spans="1:20" ht="18">
      <c r="A2" s="44">
        <v>210062</v>
      </c>
      <c r="B2" s="1" t="s">
        <v>2</v>
      </c>
      <c r="C2" s="6">
        <f>VLOOKUP(A2,Revenue!$A$2:$C$47,3,0)</f>
        <v>163208213.46317798</v>
      </c>
      <c r="D2" s="6" t="str">
        <f>IFERROR(VLOOKUP(A2,#REF!,10,0),"")</f>
        <v/>
      </c>
      <c r="E2" s="49" t="str">
        <f>IFERROR(VLOOKUP(A2,#REF!,14,0),"")</f>
        <v/>
      </c>
      <c r="F2" s="7">
        <f>VLOOKUP(A2,'3.MHAC Modeling Results'!$B$6:$L$51,8,0)</f>
        <v>-1415465.9835754922</v>
      </c>
      <c r="G2" s="50">
        <f>F2/C2</f>
        <v>-8.6727619495377949E-3</v>
      </c>
      <c r="H2" s="38" t="e">
        <f>VLOOKUP(A2,#REF!,20,0)</f>
        <v>#REF!</v>
      </c>
      <c r="I2" s="50" t="e">
        <f>VLOOKUP(A2,#REF!,19,0)</f>
        <v>#REF!</v>
      </c>
      <c r="J2" s="40" t="e">
        <f t="shared" ref="J2:J47" si="0">SUM(D2:H2)</f>
        <v>#REF!</v>
      </c>
      <c r="K2" s="41" t="e">
        <f t="shared" ref="K2:K48" si="1">J2/C2</f>
        <v>#REF!</v>
      </c>
      <c r="N2" s="47" t="str">
        <f>IFERROR(ABS(E2),"")</f>
        <v/>
      </c>
      <c r="O2" s="47">
        <f>ABS(G2)</f>
        <v>8.6727619495377949E-3</v>
      </c>
      <c r="P2" s="47" t="e">
        <f>ABS(I2)</f>
        <v>#REF!</v>
      </c>
      <c r="R2" s="5" t="str">
        <f>IFERROR(ABS(D2),"")</f>
        <v/>
      </c>
      <c r="S2" s="5">
        <f>ABS(F2)</f>
        <v>1415465.9835754922</v>
      </c>
      <c r="T2" s="5" t="e">
        <f>ABS(H2)</f>
        <v>#REF!</v>
      </c>
    </row>
    <row r="3" spans="1:20" ht="18">
      <c r="A3" s="14">
        <v>210019</v>
      </c>
      <c r="B3" s="2" t="s">
        <v>6</v>
      </c>
      <c r="C3" s="6">
        <f>VLOOKUP(A3,Revenue!$A$2:$C$47,3,0)</f>
        <v>233728496.38738936</v>
      </c>
      <c r="D3" s="6" t="str">
        <f>IFERROR(VLOOKUP(A3,#REF!,10,0),"")</f>
        <v/>
      </c>
      <c r="E3" s="49" t="str">
        <f>IFERROR(VLOOKUP(A3,#REF!,14,0),"")</f>
        <v/>
      </c>
      <c r="F3" s="7">
        <f>VLOOKUP(A3,'3.MHAC Modeling Results'!$B$6:$L$51,8,0)</f>
        <v>-2177225.062583176</v>
      </c>
      <c r="G3" s="50">
        <f t="shared" ref="G3:G46" si="2">F3/C3</f>
        <v>-9.3151887606146705E-3</v>
      </c>
      <c r="H3" s="38" t="e">
        <f>VLOOKUP(A3,#REF!,20,0)</f>
        <v>#REF!</v>
      </c>
      <c r="I3" s="50" t="e">
        <f>VLOOKUP(A3,#REF!,19,0)</f>
        <v>#REF!</v>
      </c>
      <c r="J3" s="40" t="e">
        <f t="shared" si="0"/>
        <v>#REF!</v>
      </c>
      <c r="K3" s="41" t="e">
        <f t="shared" si="1"/>
        <v>#REF!</v>
      </c>
      <c r="N3" s="47" t="str">
        <f t="shared" ref="N3:N47" si="3">IFERROR(ABS(E3),"")</f>
        <v/>
      </c>
      <c r="O3" s="47">
        <f t="shared" ref="O3:O47" si="4">ABS(G3)</f>
        <v>9.3151887606146705E-3</v>
      </c>
      <c r="P3" s="47" t="e">
        <f t="shared" ref="P3:P47" si="5">ABS(I3)</f>
        <v>#REF!</v>
      </c>
      <c r="R3" s="5" t="str">
        <f t="shared" ref="R3:R47" si="6">IFERROR(ABS(D3),"")</f>
        <v/>
      </c>
      <c r="S3" s="5">
        <f t="shared" ref="S3:S47" si="7">ABS(F3)</f>
        <v>2177225.062583176</v>
      </c>
      <c r="T3" s="5" t="e">
        <f t="shared" ref="T3:T47" si="8">ABS(H3)</f>
        <v>#REF!</v>
      </c>
    </row>
    <row r="4" spans="1:20" ht="18">
      <c r="A4" s="14">
        <v>210048</v>
      </c>
      <c r="B4" s="2" t="s">
        <v>4</v>
      </c>
      <c r="C4" s="6">
        <f>VLOOKUP(A4,Revenue!$A$2:$C$47,3,0)</f>
        <v>167386496.75761572</v>
      </c>
      <c r="D4" s="6" t="str">
        <f>IFERROR(VLOOKUP(A4,#REF!,10,0),"")</f>
        <v/>
      </c>
      <c r="E4" s="49" t="str">
        <f>IFERROR(VLOOKUP(A4,#REF!,14,0),"")</f>
        <v/>
      </c>
      <c r="F4" s="7">
        <f>VLOOKUP(A4,'3.MHAC Modeling Results'!$B$6:$L$51,8,0)</f>
        <v>-1290402.8799518945</v>
      </c>
      <c r="G4" s="50">
        <f t="shared" si="2"/>
        <v>-7.7091217329224859E-3</v>
      </c>
      <c r="H4" s="38" t="e">
        <f>VLOOKUP(A4,#REF!,20,0)</f>
        <v>#REF!</v>
      </c>
      <c r="I4" s="50" t="e">
        <f>VLOOKUP(A4,#REF!,19,0)</f>
        <v>#REF!</v>
      </c>
      <c r="J4" s="40" t="e">
        <f t="shared" si="0"/>
        <v>#REF!</v>
      </c>
      <c r="K4" s="41" t="e">
        <f t="shared" si="1"/>
        <v>#REF!</v>
      </c>
      <c r="N4" s="47" t="str">
        <f t="shared" si="3"/>
        <v/>
      </c>
      <c r="O4" s="47">
        <f t="shared" si="4"/>
        <v>7.7091217329224859E-3</v>
      </c>
      <c r="P4" s="47" t="e">
        <f t="shared" si="5"/>
        <v>#REF!</v>
      </c>
      <c r="R4" s="5" t="str">
        <f t="shared" si="6"/>
        <v/>
      </c>
      <c r="S4" s="5">
        <f t="shared" si="7"/>
        <v>1290402.8799518945</v>
      </c>
      <c r="T4" s="5" t="e">
        <f t="shared" si="8"/>
        <v>#REF!</v>
      </c>
    </row>
    <row r="5" spans="1:20" ht="18">
      <c r="A5" s="14">
        <v>210022</v>
      </c>
      <c r="B5" s="2" t="s">
        <v>11</v>
      </c>
      <c r="C5" s="6">
        <f>VLOOKUP(A5,Revenue!$A$2:$C$47,3,0)</f>
        <v>181410188.33315492</v>
      </c>
      <c r="D5" s="6" t="str">
        <f>IFERROR(VLOOKUP(A5,#REF!,10,0),"")</f>
        <v/>
      </c>
      <c r="E5" s="49" t="str">
        <f>IFERROR(VLOOKUP(A5,#REF!,14,0),"")</f>
        <v/>
      </c>
      <c r="F5" s="7">
        <f>VLOOKUP(A5,'3.MHAC Modeling Results'!$B$6:$L$51,8,0)</f>
        <v>-1631598.7630281334</v>
      </c>
      <c r="G5" s="50">
        <f t="shared" si="2"/>
        <v>-8.9939753550762336E-3</v>
      </c>
      <c r="H5" s="38" t="e">
        <f>VLOOKUP(A5,#REF!,20,0)</f>
        <v>#REF!</v>
      </c>
      <c r="I5" s="50" t="e">
        <f>VLOOKUP(A5,#REF!,19,0)</f>
        <v>#REF!</v>
      </c>
      <c r="J5" s="40" t="e">
        <f t="shared" si="0"/>
        <v>#REF!</v>
      </c>
      <c r="K5" s="41" t="e">
        <f t="shared" si="1"/>
        <v>#REF!</v>
      </c>
      <c r="N5" s="47" t="str">
        <f t="shared" si="3"/>
        <v/>
      </c>
      <c r="O5" s="47">
        <f t="shared" si="4"/>
        <v>8.9939753550762336E-3</v>
      </c>
      <c r="P5" s="47" t="e">
        <f t="shared" si="5"/>
        <v>#REF!</v>
      </c>
      <c r="R5" s="5" t="str">
        <f t="shared" si="6"/>
        <v/>
      </c>
      <c r="S5" s="5">
        <f t="shared" si="7"/>
        <v>1631598.7630281334</v>
      </c>
      <c r="T5" s="5" t="e">
        <f t="shared" si="8"/>
        <v>#REF!</v>
      </c>
    </row>
    <row r="6" spans="1:20" ht="18">
      <c r="A6" s="14">
        <v>210044</v>
      </c>
      <c r="B6" s="2" t="s">
        <v>7</v>
      </c>
      <c r="C6" s="6">
        <f>VLOOKUP(A6,Revenue!$A$2:$C$47,3,0)</f>
        <v>201533345.32362995</v>
      </c>
      <c r="D6" s="6" t="str">
        <f>IFERROR(VLOOKUP(A6,#REF!,10,0),"")</f>
        <v/>
      </c>
      <c r="E6" s="49" t="str">
        <f>IFERROR(VLOOKUP(A6,#REF!,14,0),"")</f>
        <v/>
      </c>
      <c r="F6" s="7">
        <f>VLOOKUP(A6,'3.MHAC Modeling Results'!$B$6:$L$51,8,0)</f>
        <v>-1553645.0923429676</v>
      </c>
      <c r="G6" s="50">
        <f t="shared" si="2"/>
        <v>-7.7091217329224851E-3</v>
      </c>
      <c r="H6" s="38" t="e">
        <f>VLOOKUP(A6,#REF!,20,0)</f>
        <v>#REF!</v>
      </c>
      <c r="I6" s="50" t="e">
        <f>VLOOKUP(A6,#REF!,19,0)</f>
        <v>#REF!</v>
      </c>
      <c r="J6" s="40" t="e">
        <f t="shared" si="0"/>
        <v>#REF!</v>
      </c>
      <c r="K6" s="41" t="e">
        <f t="shared" si="1"/>
        <v>#REF!</v>
      </c>
      <c r="N6" s="47" t="str">
        <f t="shared" si="3"/>
        <v/>
      </c>
      <c r="O6" s="47">
        <f t="shared" si="4"/>
        <v>7.7091217329224851E-3</v>
      </c>
      <c r="P6" s="47" t="e">
        <f t="shared" si="5"/>
        <v>#REF!</v>
      </c>
      <c r="R6" s="5" t="str">
        <f t="shared" si="6"/>
        <v/>
      </c>
      <c r="S6" s="5">
        <f t="shared" si="7"/>
        <v>1553645.0923429676</v>
      </c>
      <c r="T6" s="5" t="e">
        <f t="shared" si="8"/>
        <v>#REF!</v>
      </c>
    </row>
    <row r="7" spans="1:20" ht="18">
      <c r="A7" s="14">
        <v>210004</v>
      </c>
      <c r="B7" s="2" t="s">
        <v>21</v>
      </c>
      <c r="C7" s="6">
        <f>VLOOKUP(A7,Revenue!$A$2:$C$47,3,0)</f>
        <v>319596342.21781081</v>
      </c>
      <c r="D7" s="6" t="str">
        <f>IFERROR(VLOOKUP(A7,#REF!,10,0),"")</f>
        <v/>
      </c>
      <c r="E7" s="49" t="str">
        <f>IFERROR(VLOOKUP(A7,#REF!,14,0),"")</f>
        <v/>
      </c>
      <c r="F7" s="7">
        <f>VLOOKUP(A7,'3.MHAC Modeling Results'!$B$6:$L$51,8,0)</f>
        <v>-2977100.2549609113</v>
      </c>
      <c r="G7" s="50">
        <f t="shared" si="2"/>
        <v>-9.3151887606146705E-3</v>
      </c>
      <c r="H7" s="38" t="e">
        <f>VLOOKUP(A7,#REF!,20,0)</f>
        <v>#REF!</v>
      </c>
      <c r="I7" s="50" t="e">
        <f>VLOOKUP(A7,#REF!,19,0)</f>
        <v>#REF!</v>
      </c>
      <c r="J7" s="40" t="e">
        <f t="shared" si="0"/>
        <v>#REF!</v>
      </c>
      <c r="K7" s="41" t="e">
        <f t="shared" si="1"/>
        <v>#REF!</v>
      </c>
      <c r="N7" s="47" t="str">
        <f t="shared" si="3"/>
        <v/>
      </c>
      <c r="O7" s="47">
        <f t="shared" si="4"/>
        <v>9.3151887606146705E-3</v>
      </c>
      <c r="P7" s="47" t="e">
        <f t="shared" si="5"/>
        <v>#REF!</v>
      </c>
      <c r="R7" s="5" t="str">
        <f t="shared" si="6"/>
        <v/>
      </c>
      <c r="S7" s="5">
        <f t="shared" si="7"/>
        <v>2977100.2549609113</v>
      </c>
      <c r="T7" s="5" t="e">
        <f t="shared" si="8"/>
        <v>#REF!</v>
      </c>
    </row>
    <row r="8" spans="1:20" ht="18">
      <c r="A8" s="14">
        <v>210003</v>
      </c>
      <c r="B8" s="2" t="s">
        <v>3</v>
      </c>
      <c r="C8" s="6">
        <f>VLOOKUP(A8,Revenue!$A$2:$C$47,3,0)</f>
        <v>177243165.22063905</v>
      </c>
      <c r="D8" s="6" t="str">
        <f>IFERROR(VLOOKUP(A8,#REF!,10,0),"")</f>
        <v/>
      </c>
      <c r="E8" s="49" t="str">
        <f>IFERROR(VLOOKUP(A8,#REF!,14,0),"")</f>
        <v/>
      </c>
      <c r="F8" s="7">
        <f>VLOOKUP(A8,'3.MHAC Modeling Results'!$B$6:$L$51,8,0)</f>
        <v>0</v>
      </c>
      <c r="G8" s="50">
        <f t="shared" si="2"/>
        <v>0</v>
      </c>
      <c r="H8" s="38" t="e">
        <f>VLOOKUP(A8,#REF!,20,0)</f>
        <v>#REF!</v>
      </c>
      <c r="I8" s="50" t="e">
        <f>VLOOKUP(A8,#REF!,19,0)</f>
        <v>#REF!</v>
      </c>
      <c r="J8" s="40" t="e">
        <f t="shared" si="0"/>
        <v>#REF!</v>
      </c>
      <c r="K8" s="41" t="e">
        <f t="shared" si="1"/>
        <v>#REF!</v>
      </c>
      <c r="N8" s="47" t="str">
        <f t="shared" si="3"/>
        <v/>
      </c>
      <c r="O8" s="47">
        <f t="shared" si="4"/>
        <v>0</v>
      </c>
      <c r="P8" s="47" t="e">
        <f t="shared" si="5"/>
        <v>#REF!</v>
      </c>
      <c r="R8" s="5" t="str">
        <f t="shared" si="6"/>
        <v/>
      </c>
      <c r="S8" s="5">
        <f t="shared" si="7"/>
        <v>0</v>
      </c>
      <c r="T8" s="5" t="e">
        <f t="shared" si="8"/>
        <v>#REF!</v>
      </c>
    </row>
    <row r="9" spans="1:20" ht="18">
      <c r="A9" s="14">
        <v>210024</v>
      </c>
      <c r="B9" s="2" t="s">
        <v>19</v>
      </c>
      <c r="C9" s="6">
        <f>VLOOKUP(A9,Revenue!$A$2:$C$47,3,0)</f>
        <v>242505500.48554313</v>
      </c>
      <c r="D9" s="6" t="str">
        <f>IFERROR(VLOOKUP(A9,#REF!,10,0),"")</f>
        <v/>
      </c>
      <c r="E9" s="49" t="str">
        <f>IFERROR(VLOOKUP(A9,#REF!,14,0),"")</f>
        <v/>
      </c>
      <c r="F9" s="7">
        <f>VLOOKUP(A9,'3.MHAC Modeling Results'!$B$6:$L$51,8,0)</f>
        <v>-1713712.3888008161</v>
      </c>
      <c r="G9" s="50">
        <f t="shared" si="2"/>
        <v>-7.0666949218456112E-3</v>
      </c>
      <c r="H9" s="38" t="e">
        <f>VLOOKUP(A9,#REF!,20,0)</f>
        <v>#REF!</v>
      </c>
      <c r="I9" s="50" t="e">
        <f>VLOOKUP(A9,#REF!,19,0)</f>
        <v>#REF!</v>
      </c>
      <c r="J9" s="40" t="e">
        <f t="shared" si="0"/>
        <v>#REF!</v>
      </c>
      <c r="K9" s="41" t="e">
        <f t="shared" si="1"/>
        <v>#REF!</v>
      </c>
      <c r="N9" s="47" t="str">
        <f t="shared" si="3"/>
        <v/>
      </c>
      <c r="O9" s="47">
        <f t="shared" si="4"/>
        <v>7.0666949218456112E-3</v>
      </c>
      <c r="P9" s="47" t="e">
        <f t="shared" si="5"/>
        <v>#REF!</v>
      </c>
      <c r="R9" s="5" t="str">
        <f t="shared" si="6"/>
        <v/>
      </c>
      <c r="S9" s="5">
        <f t="shared" si="7"/>
        <v>1713712.3888008161</v>
      </c>
      <c r="T9" s="5" t="e">
        <f t="shared" si="8"/>
        <v>#REF!</v>
      </c>
    </row>
    <row r="10" spans="1:20" ht="18">
      <c r="A10" s="14">
        <v>210033</v>
      </c>
      <c r="B10" s="2" t="s">
        <v>20</v>
      </c>
      <c r="C10" s="6">
        <f>VLOOKUP(A10,Revenue!$A$2:$C$47,3,0)</f>
        <v>138209278.26224214</v>
      </c>
      <c r="D10" s="6" t="str">
        <f>IFERROR(VLOOKUP(A10,#REF!,10,0),"")</f>
        <v/>
      </c>
      <c r="E10" s="49" t="str">
        <f>IFERROR(VLOOKUP(A10,#REF!,14,0),"")</f>
        <v/>
      </c>
      <c r="F10" s="7">
        <f>VLOOKUP(A10,'3.MHAC Modeling Results'!$B$6:$L$51,8,0)</f>
        <v>-887893.45895248489</v>
      </c>
      <c r="G10" s="50">
        <f t="shared" si="2"/>
        <v>-6.4242681107687365E-3</v>
      </c>
      <c r="H10" s="38" t="e">
        <f>VLOOKUP(A10,#REF!,20,0)</f>
        <v>#REF!</v>
      </c>
      <c r="I10" s="50" t="e">
        <f>VLOOKUP(A10,#REF!,19,0)</f>
        <v>#REF!</v>
      </c>
      <c r="J10" s="40" t="e">
        <f t="shared" si="0"/>
        <v>#REF!</v>
      </c>
      <c r="K10" s="41" t="e">
        <f t="shared" si="1"/>
        <v>#REF!</v>
      </c>
      <c r="N10" s="47" t="str">
        <f t="shared" si="3"/>
        <v/>
      </c>
      <c r="O10" s="47">
        <f t="shared" si="4"/>
        <v>6.4242681107687365E-3</v>
      </c>
      <c r="P10" s="47" t="e">
        <f t="shared" si="5"/>
        <v>#REF!</v>
      </c>
      <c r="R10" s="5" t="str">
        <f t="shared" si="6"/>
        <v/>
      </c>
      <c r="S10" s="5">
        <f t="shared" si="7"/>
        <v>887893.45895248489</v>
      </c>
      <c r="T10" s="5" t="e">
        <f t="shared" si="8"/>
        <v>#REF!</v>
      </c>
    </row>
    <row r="11" spans="1:20" ht="18">
      <c r="A11" s="14">
        <v>210001</v>
      </c>
      <c r="B11" s="2" t="s">
        <v>12</v>
      </c>
      <c r="C11" s="6">
        <f>VLOOKUP(A11,Revenue!$A$2:$C$47,3,0)</f>
        <v>187434496.6631088</v>
      </c>
      <c r="D11" s="6" t="str">
        <f>IFERROR(VLOOKUP(A11,#REF!,10,0),"")</f>
        <v/>
      </c>
      <c r="E11" s="49" t="str">
        <f>IFERROR(VLOOKUP(A11,#REF!,14,0),"")</f>
        <v/>
      </c>
      <c r="F11" s="7">
        <f>VLOOKUP(A11,'3.MHAC Modeling Results'!$B$6:$L$51,8,0)</f>
        <v>-782684.14885101863</v>
      </c>
      <c r="G11" s="50">
        <f t="shared" si="2"/>
        <v>-4.1757742719996747E-3</v>
      </c>
      <c r="H11" s="38" t="e">
        <f>VLOOKUP(A11,#REF!,20,0)</f>
        <v>#REF!</v>
      </c>
      <c r="I11" s="50" t="e">
        <f>VLOOKUP(A11,#REF!,19,0)</f>
        <v>#REF!</v>
      </c>
      <c r="J11" s="40" t="e">
        <f t="shared" si="0"/>
        <v>#REF!</v>
      </c>
      <c r="K11" s="41" t="e">
        <f t="shared" si="1"/>
        <v>#REF!</v>
      </c>
      <c r="N11" s="47" t="str">
        <f t="shared" si="3"/>
        <v/>
      </c>
      <c r="O11" s="47">
        <f t="shared" si="4"/>
        <v>4.1757742719996747E-3</v>
      </c>
      <c r="P11" s="47" t="e">
        <f t="shared" si="5"/>
        <v>#REF!</v>
      </c>
      <c r="R11" s="5" t="str">
        <f t="shared" si="6"/>
        <v/>
      </c>
      <c r="S11" s="5">
        <f t="shared" si="7"/>
        <v>782684.14885101863</v>
      </c>
      <c r="T11" s="5" t="e">
        <f t="shared" si="8"/>
        <v>#REF!</v>
      </c>
    </row>
    <row r="12" spans="1:20" ht="18">
      <c r="A12" s="14">
        <v>210040</v>
      </c>
      <c r="B12" s="2" t="s">
        <v>13</v>
      </c>
      <c r="C12" s="6">
        <f>VLOOKUP(A12,Revenue!$A$2:$C$47,3,0)</f>
        <v>142186717.48751882</v>
      </c>
      <c r="D12" s="6" t="str">
        <f>IFERROR(VLOOKUP(A12,#REF!,10,0),"")</f>
        <v/>
      </c>
      <c r="E12" s="49" t="str">
        <f>IFERROR(VLOOKUP(A12,#REF!,14,0),"")</f>
        <v/>
      </c>
      <c r="F12" s="7">
        <f>VLOOKUP(A12,'3.MHAC Modeling Results'!$B$6:$L$51,8,0)</f>
        <v>-685084.1961974625</v>
      </c>
      <c r="G12" s="50">
        <f t="shared" si="2"/>
        <v>-4.8182010830765494E-3</v>
      </c>
      <c r="H12" s="38" t="e">
        <f>VLOOKUP(A12,#REF!,20,0)</f>
        <v>#REF!</v>
      </c>
      <c r="I12" s="50" t="e">
        <f>VLOOKUP(A12,#REF!,19,0)</f>
        <v>#REF!</v>
      </c>
      <c r="J12" s="40" t="e">
        <f t="shared" si="0"/>
        <v>#REF!</v>
      </c>
      <c r="K12" s="41" t="e">
        <f t="shared" si="1"/>
        <v>#REF!</v>
      </c>
      <c r="N12" s="47" t="str">
        <f t="shared" si="3"/>
        <v/>
      </c>
      <c r="O12" s="47">
        <f t="shared" si="4"/>
        <v>4.8182010830765494E-3</v>
      </c>
      <c r="P12" s="47" t="e">
        <f t="shared" si="5"/>
        <v>#REF!</v>
      </c>
      <c r="R12" s="5" t="str">
        <f t="shared" si="6"/>
        <v/>
      </c>
      <c r="S12" s="5">
        <f t="shared" si="7"/>
        <v>685084.1961974625</v>
      </c>
      <c r="T12" s="5" t="e">
        <f t="shared" si="8"/>
        <v>#REF!</v>
      </c>
    </row>
    <row r="13" spans="1:20" ht="18">
      <c r="A13" s="14">
        <v>210016</v>
      </c>
      <c r="B13" s="2" t="s">
        <v>18</v>
      </c>
      <c r="C13" s="6">
        <f>VLOOKUP(A13,Revenue!$A$2:$C$47,3,0)</f>
        <v>161698669.47905135</v>
      </c>
      <c r="D13" s="6" t="str">
        <f>IFERROR(VLOOKUP(A13,#REF!,10,0),"")</f>
        <v/>
      </c>
      <c r="E13" s="49" t="str">
        <f>IFERROR(VLOOKUP(A13,#REF!,14,0),"")</f>
        <v/>
      </c>
      <c r="F13" s="7">
        <f>VLOOKUP(A13,'3.MHAC Modeling Results'!$B$6:$L$51,8,0)</f>
        <v>-779096.70441600215</v>
      </c>
      <c r="G13" s="50">
        <f t="shared" si="2"/>
        <v>-4.8182010830765494E-3</v>
      </c>
      <c r="H13" s="38" t="e">
        <f>VLOOKUP(A13,#REF!,20,0)</f>
        <v>#REF!</v>
      </c>
      <c r="I13" s="50" t="e">
        <f>VLOOKUP(A13,#REF!,19,0)</f>
        <v>#REF!</v>
      </c>
      <c r="J13" s="40" t="e">
        <f t="shared" si="0"/>
        <v>#REF!</v>
      </c>
      <c r="K13" s="41" t="e">
        <f t="shared" si="1"/>
        <v>#REF!</v>
      </c>
      <c r="N13" s="47" t="str">
        <f t="shared" si="3"/>
        <v/>
      </c>
      <c r="O13" s="47">
        <f t="shared" si="4"/>
        <v>4.8182010830765494E-3</v>
      </c>
      <c r="P13" s="47" t="e">
        <f t="shared" si="5"/>
        <v>#REF!</v>
      </c>
      <c r="R13" s="5" t="str">
        <f t="shared" si="6"/>
        <v/>
      </c>
      <c r="S13" s="5">
        <f t="shared" si="7"/>
        <v>779096.70441600215</v>
      </c>
      <c r="T13" s="5" t="e">
        <f t="shared" si="8"/>
        <v>#REF!</v>
      </c>
    </row>
    <row r="14" spans="1:20" ht="18">
      <c r="A14" s="14">
        <v>210055</v>
      </c>
      <c r="B14" s="2" t="s">
        <v>9</v>
      </c>
      <c r="C14" s="6">
        <f>VLOOKUP(A14,Revenue!$A$2:$C$47,3,0)</f>
        <v>77501975.342135206</v>
      </c>
      <c r="D14" s="6" t="str">
        <f>IFERROR(VLOOKUP(A14,#REF!,10,0),"")</f>
        <v/>
      </c>
      <c r="E14" s="49" t="str">
        <f>IFERROR(VLOOKUP(A14,#REF!,14,0),"")</f>
        <v/>
      </c>
      <c r="F14" s="7">
        <f>VLOOKUP(A14,'3.MHAC Modeling Results'!$B$6:$L$51,8,0)</f>
        <v>-248946.73435603169</v>
      </c>
      <c r="G14" s="50">
        <f t="shared" si="2"/>
        <v>-3.2121340553843635E-3</v>
      </c>
      <c r="H14" s="38" t="e">
        <f>VLOOKUP(A14,#REF!,20,0)</f>
        <v>#REF!</v>
      </c>
      <c r="I14" s="50" t="e">
        <f>VLOOKUP(A14,#REF!,19,0)</f>
        <v>#REF!</v>
      </c>
      <c r="J14" s="40" t="e">
        <f t="shared" si="0"/>
        <v>#REF!</v>
      </c>
      <c r="K14" s="41" t="e">
        <f t="shared" si="1"/>
        <v>#REF!</v>
      </c>
      <c r="N14" s="47" t="str">
        <f t="shared" si="3"/>
        <v/>
      </c>
      <c r="O14" s="47">
        <f t="shared" si="4"/>
        <v>3.2121340553843635E-3</v>
      </c>
      <c r="P14" s="47" t="e">
        <f t="shared" si="5"/>
        <v>#REF!</v>
      </c>
      <c r="R14" s="5" t="str">
        <f t="shared" si="6"/>
        <v/>
      </c>
      <c r="S14" s="5">
        <f t="shared" si="7"/>
        <v>248946.73435603169</v>
      </c>
      <c r="T14" s="5" t="e">
        <f t="shared" si="8"/>
        <v>#REF!</v>
      </c>
    </row>
    <row r="15" spans="1:20" ht="18">
      <c r="A15" s="14">
        <v>210002</v>
      </c>
      <c r="B15" s="2" t="s">
        <v>29</v>
      </c>
      <c r="C15" s="6">
        <f>VLOOKUP(A15,Revenue!$A$2:$C$47,3,0)</f>
        <v>863843448.60398436</v>
      </c>
      <c r="D15" s="6" t="str">
        <f>IFERROR(VLOOKUP(A15,#REF!,10,0),"")</f>
        <v/>
      </c>
      <c r="E15" s="49" t="str">
        <f>IFERROR(VLOOKUP(A15,#REF!,14,0),"")</f>
        <v/>
      </c>
      <c r="F15" s="7">
        <f>VLOOKUP(A15,'3.MHAC Modeling Results'!$B$6:$L$51,8,0)</f>
        <v>-6104518.1115193758</v>
      </c>
      <c r="G15" s="50">
        <f t="shared" si="2"/>
        <v>-7.0666949218456104E-3</v>
      </c>
      <c r="H15" s="38" t="e">
        <f>VLOOKUP(A15,#REF!,20,0)</f>
        <v>#REF!</v>
      </c>
      <c r="I15" s="50" t="e">
        <f>VLOOKUP(A15,#REF!,19,0)</f>
        <v>#REF!</v>
      </c>
      <c r="J15" s="40" t="e">
        <f t="shared" si="0"/>
        <v>#REF!</v>
      </c>
      <c r="K15" s="41" t="e">
        <f t="shared" si="1"/>
        <v>#REF!</v>
      </c>
      <c r="N15" s="47" t="str">
        <f t="shared" si="3"/>
        <v/>
      </c>
      <c r="O15" s="47">
        <f t="shared" si="4"/>
        <v>7.0666949218456104E-3</v>
      </c>
      <c r="P15" s="47" t="e">
        <f t="shared" si="5"/>
        <v>#REF!</v>
      </c>
      <c r="R15" s="5" t="str">
        <f t="shared" si="6"/>
        <v/>
      </c>
      <c r="S15" s="5">
        <f t="shared" si="7"/>
        <v>6104518.1115193758</v>
      </c>
      <c r="T15" s="5" t="e">
        <f t="shared" si="8"/>
        <v>#REF!</v>
      </c>
    </row>
    <row r="16" spans="1:20" ht="18">
      <c r="A16" s="14">
        <v>210018</v>
      </c>
      <c r="B16" s="2" t="s">
        <v>15</v>
      </c>
      <c r="C16" s="6">
        <f>VLOOKUP(A16,Revenue!$A$2:$C$47,3,0)</f>
        <v>87652208.15841648</v>
      </c>
      <c r="D16" s="6" t="str">
        <f>IFERROR(VLOOKUP(A16,#REF!,10,0),"")</f>
        <v/>
      </c>
      <c r="E16" s="49" t="str">
        <f>IFERROR(VLOOKUP(A16,#REF!,14,0),"")</f>
        <v/>
      </c>
      <c r="F16" s="7">
        <f>VLOOKUP(A16,'3.MHAC Modeling Results'!$B$6:$L$51,8,0)</f>
        <v>-337860.77142634662</v>
      </c>
      <c r="G16" s="50">
        <f t="shared" si="2"/>
        <v>-3.8545608664612378E-3</v>
      </c>
      <c r="H16" s="38" t="e">
        <f>VLOOKUP(A16,#REF!,20,0)</f>
        <v>#REF!</v>
      </c>
      <c r="I16" s="50" t="e">
        <f>VLOOKUP(A16,#REF!,19,0)</f>
        <v>#REF!</v>
      </c>
      <c r="J16" s="40" t="e">
        <f t="shared" si="0"/>
        <v>#REF!</v>
      </c>
      <c r="K16" s="41" t="e">
        <f t="shared" si="1"/>
        <v>#REF!</v>
      </c>
      <c r="N16" s="47" t="str">
        <f t="shared" si="3"/>
        <v/>
      </c>
      <c r="O16" s="47">
        <f t="shared" si="4"/>
        <v>3.8545608664612378E-3</v>
      </c>
      <c r="P16" s="47" t="e">
        <f t="shared" si="5"/>
        <v>#REF!</v>
      </c>
      <c r="R16" s="5" t="str">
        <f t="shared" si="6"/>
        <v/>
      </c>
      <c r="S16" s="5">
        <f t="shared" si="7"/>
        <v>337860.77142634662</v>
      </c>
      <c r="T16" s="5" t="e">
        <f t="shared" si="8"/>
        <v>#REF!</v>
      </c>
    </row>
    <row r="17" spans="1:20" ht="18">
      <c r="A17" s="14">
        <v>210011</v>
      </c>
      <c r="B17" s="2" t="s">
        <v>16</v>
      </c>
      <c r="C17" s="6">
        <f>VLOOKUP(A17,Revenue!$A$2:$C$47,3,0)</f>
        <v>239121555.83864471</v>
      </c>
      <c r="D17" s="6" t="str">
        <f>IFERROR(VLOOKUP(A17,#REF!,10,0),"")</f>
        <v/>
      </c>
      <c r="E17" s="49" t="str">
        <f>IFERROR(VLOOKUP(A17,#REF!,14,0),"")</f>
        <v/>
      </c>
      <c r="F17" s="7">
        <f>VLOOKUP(A17,'3.MHAC Modeling Results'!$B$6:$L$51,8,0)</f>
        <v>-921708.59146296571</v>
      </c>
      <c r="G17" s="50">
        <f t="shared" si="2"/>
        <v>-3.8545608664612382E-3</v>
      </c>
      <c r="H17" s="38" t="e">
        <f>VLOOKUP(A17,#REF!,20,0)</f>
        <v>#REF!</v>
      </c>
      <c r="I17" s="50" t="e">
        <f>VLOOKUP(A17,#REF!,19,0)</f>
        <v>#REF!</v>
      </c>
      <c r="J17" s="40" t="e">
        <f t="shared" si="0"/>
        <v>#REF!</v>
      </c>
      <c r="K17" s="41" t="e">
        <f t="shared" si="1"/>
        <v>#REF!</v>
      </c>
      <c r="N17" s="47" t="str">
        <f t="shared" si="3"/>
        <v/>
      </c>
      <c r="O17" s="47">
        <f t="shared" si="4"/>
        <v>3.8545608664612382E-3</v>
      </c>
      <c r="P17" s="47" t="e">
        <f t="shared" si="5"/>
        <v>#REF!</v>
      </c>
      <c r="R17" s="5" t="str">
        <f t="shared" si="6"/>
        <v/>
      </c>
      <c r="S17" s="5">
        <f t="shared" si="7"/>
        <v>921708.59146296571</v>
      </c>
      <c r="T17" s="5" t="e">
        <f t="shared" si="8"/>
        <v>#REF!</v>
      </c>
    </row>
    <row r="18" spans="1:20" ht="18">
      <c r="A18" s="14">
        <v>210015</v>
      </c>
      <c r="B18" s="2" t="s">
        <v>17</v>
      </c>
      <c r="C18" s="6">
        <f>VLOOKUP(A18,Revenue!$A$2:$C$47,3,0)</f>
        <v>285691170.35922825</v>
      </c>
      <c r="D18" s="6" t="str">
        <f>IFERROR(VLOOKUP(A18,#REF!,10,0),"")</f>
        <v/>
      </c>
      <c r="E18" s="49" t="str">
        <f>IFERROR(VLOOKUP(A18,#REF!,14,0),"")</f>
        <v/>
      </c>
      <c r="F18" s="7">
        <f>VLOOKUP(A18,'3.MHAC Modeling Results'!$B$6:$L$51,8,0)</f>
        <v>-917678.33763349301</v>
      </c>
      <c r="G18" s="50">
        <f t="shared" si="2"/>
        <v>-3.2121340553843639E-3</v>
      </c>
      <c r="H18" s="38" t="e">
        <f>VLOOKUP(A18,#REF!,20,0)</f>
        <v>#REF!</v>
      </c>
      <c r="I18" s="50" t="e">
        <f>VLOOKUP(A18,#REF!,19,0)</f>
        <v>#REF!</v>
      </c>
      <c r="J18" s="40" t="e">
        <f t="shared" si="0"/>
        <v>#REF!</v>
      </c>
      <c r="K18" s="41" t="e">
        <f t="shared" si="1"/>
        <v>#REF!</v>
      </c>
      <c r="N18" s="47" t="str">
        <f t="shared" si="3"/>
        <v/>
      </c>
      <c r="O18" s="47">
        <f t="shared" si="4"/>
        <v>3.2121340553843639E-3</v>
      </c>
      <c r="P18" s="47" t="e">
        <f t="shared" si="5"/>
        <v>#REF!</v>
      </c>
      <c r="R18" s="5" t="str">
        <f t="shared" si="6"/>
        <v/>
      </c>
      <c r="S18" s="5">
        <f t="shared" si="7"/>
        <v>917678.33763349301</v>
      </c>
      <c r="T18" s="5" t="e">
        <f t="shared" si="8"/>
        <v>#REF!</v>
      </c>
    </row>
    <row r="19" spans="1:20" ht="18">
      <c r="A19" s="14">
        <v>210043</v>
      </c>
      <c r="B19" s="2" t="s">
        <v>32</v>
      </c>
      <c r="C19" s="6">
        <f>VLOOKUP(A19,Revenue!$A$2:$C$47,3,0)</f>
        <v>223155125.99975017</v>
      </c>
      <c r="D19" s="6" t="str">
        <f>IFERROR(VLOOKUP(A19,#REF!,10,0),"")</f>
        <v/>
      </c>
      <c r="E19" s="49" t="str">
        <f>IFERROR(VLOOKUP(A19,#REF!,14,0),"")</f>
        <v/>
      </c>
      <c r="F19" s="7">
        <f>VLOOKUP(A19,'3.MHAC Modeling Results'!$B$6:$L$51,8,0)</f>
        <v>-1361927.9417290357</v>
      </c>
      <c r="G19" s="50">
        <f t="shared" si="2"/>
        <v>-6.1030547052302996E-3</v>
      </c>
      <c r="H19" s="38" t="e">
        <f>VLOOKUP(A19,#REF!,20,0)</f>
        <v>#REF!</v>
      </c>
      <c r="I19" s="50" t="e">
        <f>VLOOKUP(A19,#REF!,19,0)</f>
        <v>#REF!</v>
      </c>
      <c r="J19" s="40" t="e">
        <f t="shared" si="0"/>
        <v>#REF!</v>
      </c>
      <c r="K19" s="41" t="e">
        <f t="shared" si="1"/>
        <v>#REF!</v>
      </c>
      <c r="N19" s="47" t="str">
        <f t="shared" si="3"/>
        <v/>
      </c>
      <c r="O19" s="47">
        <f t="shared" si="4"/>
        <v>6.1030547052302996E-3</v>
      </c>
      <c r="P19" s="47" t="e">
        <f t="shared" si="5"/>
        <v>#REF!</v>
      </c>
      <c r="R19" s="5" t="str">
        <f t="shared" si="6"/>
        <v/>
      </c>
      <c r="S19" s="5">
        <f t="shared" si="7"/>
        <v>1361927.9417290357</v>
      </c>
      <c r="T19" s="5" t="e">
        <f t="shared" si="8"/>
        <v>#REF!</v>
      </c>
    </row>
    <row r="20" spans="1:20" ht="18">
      <c r="A20" s="14">
        <v>210057</v>
      </c>
      <c r="B20" s="2" t="s">
        <v>14</v>
      </c>
      <c r="C20" s="6">
        <f>VLOOKUP(A20,Revenue!$A$2:$C$47,3,0)</f>
        <v>228731774.96088892</v>
      </c>
      <c r="D20" s="6" t="str">
        <f>IFERROR(VLOOKUP(A20,#REF!,10,0),"")</f>
        <v/>
      </c>
      <c r="E20" s="49" t="str">
        <f>IFERROR(VLOOKUP(A20,#REF!,14,0),"")</f>
        <v/>
      </c>
      <c r="F20" s="7">
        <f>VLOOKUP(A20,'3.MHAC Modeling Results'!$B$6:$L$51,8,0)</f>
        <v>-440830.27434022923</v>
      </c>
      <c r="G20" s="50">
        <f t="shared" si="2"/>
        <v>-1.9272804332306137E-3</v>
      </c>
      <c r="H20" s="38" t="e">
        <f>VLOOKUP(A20,#REF!,20,0)</f>
        <v>#REF!</v>
      </c>
      <c r="I20" s="50" t="e">
        <f>VLOOKUP(A20,#REF!,19,0)</f>
        <v>#REF!</v>
      </c>
      <c r="J20" s="40" t="e">
        <f t="shared" si="0"/>
        <v>#REF!</v>
      </c>
      <c r="K20" s="41" t="e">
        <f t="shared" si="1"/>
        <v>#REF!</v>
      </c>
      <c r="N20" s="47" t="str">
        <f t="shared" si="3"/>
        <v/>
      </c>
      <c r="O20" s="47">
        <f t="shared" si="4"/>
        <v>1.9272804332306137E-3</v>
      </c>
      <c r="P20" s="47" t="e">
        <f t="shared" si="5"/>
        <v>#REF!</v>
      </c>
      <c r="R20" s="5" t="str">
        <f t="shared" si="6"/>
        <v/>
      </c>
      <c r="S20" s="5">
        <f t="shared" si="7"/>
        <v>440830.27434022923</v>
      </c>
      <c r="T20" s="5" t="e">
        <f t="shared" si="8"/>
        <v>#REF!</v>
      </c>
    </row>
    <row r="21" spans="1:20" ht="18">
      <c r="A21" s="14">
        <v>210063</v>
      </c>
      <c r="B21" s="2" t="s">
        <v>96</v>
      </c>
      <c r="C21" s="6">
        <f>VLOOKUP(A21,Revenue!$A$2:$C$47,3,0)</f>
        <v>216335127.85977465</v>
      </c>
      <c r="D21" s="6" t="str">
        <f>IFERROR(VLOOKUP(A21,#REF!,10,0),"")</f>
        <v/>
      </c>
      <c r="E21" s="49" t="str">
        <f>IFERROR(VLOOKUP(A21,#REF!,14,0),"")</f>
        <v/>
      </c>
      <c r="F21" s="7">
        <f>VLOOKUP(A21,'3.MHAC Modeling Results'!$B$6:$L$51,8,0)</f>
        <v>-972856.40420403879</v>
      </c>
      <c r="G21" s="50">
        <f t="shared" si="2"/>
        <v>-4.4969876775381133E-3</v>
      </c>
      <c r="H21" s="38" t="e">
        <f>VLOOKUP(A21,#REF!,20,0)</f>
        <v>#REF!</v>
      </c>
      <c r="I21" s="50" t="e">
        <f>VLOOKUP(A21,#REF!,19,0)</f>
        <v>#REF!</v>
      </c>
      <c r="J21" s="40" t="e">
        <f t="shared" si="0"/>
        <v>#REF!</v>
      </c>
      <c r="K21" s="41" t="e">
        <f t="shared" si="1"/>
        <v>#REF!</v>
      </c>
      <c r="N21" s="47" t="str">
        <f t="shared" si="3"/>
        <v/>
      </c>
      <c r="O21" s="47">
        <f t="shared" si="4"/>
        <v>4.4969876775381133E-3</v>
      </c>
      <c r="P21" s="47" t="e">
        <f t="shared" si="5"/>
        <v>#REF!</v>
      </c>
      <c r="R21" s="5" t="str">
        <f t="shared" si="6"/>
        <v/>
      </c>
      <c r="S21" s="5">
        <f t="shared" si="7"/>
        <v>972856.40420403879</v>
      </c>
      <c r="T21" s="5" t="e">
        <f t="shared" si="8"/>
        <v>#REF!</v>
      </c>
    </row>
    <row r="22" spans="1:20" ht="18">
      <c r="A22" s="14">
        <v>210013</v>
      </c>
      <c r="B22" s="2" t="s">
        <v>5</v>
      </c>
      <c r="C22" s="6">
        <f>VLOOKUP(A22,Revenue!$A$2:$C$47,3,0)</f>
        <v>78212787.330636472</v>
      </c>
      <c r="D22" s="6" t="str">
        <f>IFERROR(VLOOKUP(A22,#REF!,10,0),"")</f>
        <v/>
      </c>
      <c r="E22" s="49" t="str">
        <f>IFERROR(VLOOKUP(A22,#REF!,14,0),"")</f>
        <v/>
      </c>
      <c r="F22" s="7">
        <f>VLOOKUP(A22,'3.MHAC Modeling Results'!$B$6:$L$51,8,0)</f>
        <v>0</v>
      </c>
      <c r="G22" s="50">
        <f t="shared" si="2"/>
        <v>0</v>
      </c>
      <c r="H22" s="38" t="e">
        <f>VLOOKUP(A22,#REF!,20,0)</f>
        <v>#REF!</v>
      </c>
      <c r="I22" s="50" t="e">
        <f>VLOOKUP(A22,#REF!,19,0)</f>
        <v>#REF!</v>
      </c>
      <c r="J22" s="40" t="e">
        <f t="shared" si="0"/>
        <v>#REF!</v>
      </c>
      <c r="K22" s="41" t="e">
        <f t="shared" si="1"/>
        <v>#REF!</v>
      </c>
      <c r="N22" s="47" t="str">
        <f t="shared" si="3"/>
        <v/>
      </c>
      <c r="O22" s="47">
        <f t="shared" si="4"/>
        <v>0</v>
      </c>
      <c r="P22" s="47" t="e">
        <f t="shared" si="5"/>
        <v>#REF!</v>
      </c>
      <c r="R22" s="5" t="str">
        <f t="shared" si="6"/>
        <v/>
      </c>
      <c r="S22" s="5">
        <f t="shared" si="7"/>
        <v>0</v>
      </c>
      <c r="T22" s="5" t="e">
        <f t="shared" si="8"/>
        <v>#REF!</v>
      </c>
    </row>
    <row r="23" spans="1:20" ht="18">
      <c r="A23" s="14">
        <v>210012</v>
      </c>
      <c r="B23" s="2" t="s">
        <v>24</v>
      </c>
      <c r="C23" s="6">
        <f>VLOOKUP(A23,Revenue!$A$2:$C$47,3,0)</f>
        <v>429154678.73181057</v>
      </c>
      <c r="D23" s="6" t="str">
        <f>IFERROR(VLOOKUP(A23,#REF!,10,0),"")</f>
        <v/>
      </c>
      <c r="E23" s="49" t="str">
        <f>IFERROR(VLOOKUP(A23,#REF!,14,0),"")</f>
        <v/>
      </c>
      <c r="F23" s="7">
        <f>VLOOKUP(A23,'3.MHAC Modeling Results'!$B$6:$L$51,8,0)</f>
        <v>-1929903.3020147798</v>
      </c>
      <c r="G23" s="50">
        <f t="shared" si="2"/>
        <v>-4.4969876775381125E-3</v>
      </c>
      <c r="H23" s="38" t="e">
        <f>VLOOKUP(A23,#REF!,20,0)</f>
        <v>#REF!</v>
      </c>
      <c r="I23" s="50" t="e">
        <f>VLOOKUP(A23,#REF!,19,0)</f>
        <v>#REF!</v>
      </c>
      <c r="J23" s="40" t="e">
        <f t="shared" si="0"/>
        <v>#REF!</v>
      </c>
      <c r="K23" s="41" t="e">
        <f t="shared" si="1"/>
        <v>#REF!</v>
      </c>
      <c r="N23" s="47" t="str">
        <f t="shared" si="3"/>
        <v/>
      </c>
      <c r="O23" s="47">
        <f t="shared" si="4"/>
        <v>4.4969876775381125E-3</v>
      </c>
      <c r="P23" s="47" t="e">
        <f t="shared" si="5"/>
        <v>#REF!</v>
      </c>
      <c r="R23" s="5" t="str">
        <f t="shared" si="6"/>
        <v/>
      </c>
      <c r="S23" s="5">
        <f t="shared" si="7"/>
        <v>1929903.3020147798</v>
      </c>
      <c r="T23" s="5" t="e">
        <f t="shared" si="8"/>
        <v>#REF!</v>
      </c>
    </row>
    <row r="24" spans="1:20" ht="18">
      <c r="A24" s="14">
        <v>210029</v>
      </c>
      <c r="B24" s="2" t="s">
        <v>8</v>
      </c>
      <c r="C24" s="6">
        <f>VLOOKUP(A24,Revenue!$A$2:$C$47,3,0)</f>
        <v>356396901.46731883</v>
      </c>
      <c r="D24" s="6" t="str">
        <f>IFERROR(VLOOKUP(A24,#REF!,10,0),"")</f>
        <v/>
      </c>
      <c r="E24" s="49" t="str">
        <f>IFERROR(VLOOKUP(A24,#REF!,14,0),"")</f>
        <v/>
      </c>
      <c r="F24" s="7">
        <f>VLOOKUP(A24,'3.MHAC Modeling Results'!$B$6:$L$51,8,0)</f>
        <v>0</v>
      </c>
      <c r="G24" s="50">
        <f t="shared" si="2"/>
        <v>0</v>
      </c>
      <c r="H24" s="38" t="e">
        <f>VLOOKUP(A24,#REF!,20,0)</f>
        <v>#REF!</v>
      </c>
      <c r="I24" s="50" t="e">
        <f>VLOOKUP(A24,#REF!,19,0)</f>
        <v>#REF!</v>
      </c>
      <c r="J24" s="40" t="e">
        <f t="shared" si="0"/>
        <v>#REF!</v>
      </c>
      <c r="K24" s="41" t="e">
        <f t="shared" si="1"/>
        <v>#REF!</v>
      </c>
      <c r="N24" s="47" t="str">
        <f t="shared" si="3"/>
        <v/>
      </c>
      <c r="O24" s="47">
        <f t="shared" si="4"/>
        <v>0</v>
      </c>
      <c r="P24" s="47" t="e">
        <f t="shared" si="5"/>
        <v>#REF!</v>
      </c>
      <c r="R24" s="5" t="str">
        <f t="shared" si="6"/>
        <v/>
      </c>
      <c r="S24" s="5">
        <f t="shared" si="7"/>
        <v>0</v>
      </c>
      <c r="T24" s="5" t="e">
        <f t="shared" si="8"/>
        <v>#REF!</v>
      </c>
    </row>
    <row r="25" spans="1:20" ht="18">
      <c r="A25" s="14">
        <v>210034</v>
      </c>
      <c r="B25" s="2" t="s">
        <v>27</v>
      </c>
      <c r="C25" s="6">
        <f>VLOOKUP(A25,Revenue!$A$2:$C$47,3,0)</f>
        <v>124002219.66514386</v>
      </c>
      <c r="D25" s="6" t="str">
        <f>IFERROR(VLOOKUP(A25,#REF!,10,0),"")</f>
        <v/>
      </c>
      <c r="E25" s="49" t="str">
        <f>IFERROR(VLOOKUP(A25,#REF!,14,0),"")</f>
        <v/>
      </c>
      <c r="F25" s="7">
        <f>VLOOKUP(A25,'3.MHAC Modeling Results'!$B$6:$L$51,8,0)</f>
        <v>-557636.45382152626</v>
      </c>
      <c r="G25" s="50">
        <f t="shared" si="2"/>
        <v>-4.4969876775381133E-3</v>
      </c>
      <c r="H25" s="38" t="e">
        <f>VLOOKUP(A25,#REF!,20,0)</f>
        <v>#REF!</v>
      </c>
      <c r="I25" s="50" t="e">
        <f>VLOOKUP(A25,#REF!,19,0)</f>
        <v>#REF!</v>
      </c>
      <c r="J25" s="40" t="e">
        <f t="shared" si="0"/>
        <v>#REF!</v>
      </c>
      <c r="K25" s="41" t="e">
        <f t="shared" si="1"/>
        <v>#REF!</v>
      </c>
      <c r="N25" s="47" t="str">
        <f t="shared" si="3"/>
        <v/>
      </c>
      <c r="O25" s="47">
        <f t="shared" si="4"/>
        <v>4.4969876775381133E-3</v>
      </c>
      <c r="P25" s="47" t="e">
        <f t="shared" si="5"/>
        <v>#REF!</v>
      </c>
      <c r="R25" s="5" t="str">
        <f t="shared" si="6"/>
        <v/>
      </c>
      <c r="S25" s="5">
        <f t="shared" si="7"/>
        <v>557636.45382152626</v>
      </c>
      <c r="T25" s="5" t="e">
        <f t="shared" si="8"/>
        <v>#REF!</v>
      </c>
    </row>
    <row r="26" spans="1:20" ht="18">
      <c r="A26" s="14">
        <v>210060</v>
      </c>
      <c r="B26" s="2" t="s">
        <v>10</v>
      </c>
      <c r="C26" s="6">
        <f>VLOOKUP(A26,Revenue!$A$2:$C$47,3,0)</f>
        <v>17776133.449990414</v>
      </c>
      <c r="D26" s="6" t="str">
        <f>IFERROR(VLOOKUP(A26,#REF!,10,0),"")</f>
        <v/>
      </c>
      <c r="E26" s="49" t="str">
        <f>IFERROR(VLOOKUP(A26,#REF!,14,0),"")</f>
        <v/>
      </c>
      <c r="F26" s="7">
        <f>VLOOKUP(A26,'3.MHAC Modeling Results'!$B$6:$L$51,8,0)</f>
        <v>0</v>
      </c>
      <c r="G26" s="50">
        <f t="shared" si="2"/>
        <v>0</v>
      </c>
      <c r="H26" s="38" t="e">
        <f>VLOOKUP(A26,#REF!,20,0)</f>
        <v>#REF!</v>
      </c>
      <c r="I26" s="50" t="e">
        <f>VLOOKUP(A26,#REF!,19,0)</f>
        <v>#REF!</v>
      </c>
      <c r="J26" s="40" t="e">
        <f t="shared" si="0"/>
        <v>#REF!</v>
      </c>
      <c r="K26" s="41" t="e">
        <f t="shared" si="1"/>
        <v>#REF!</v>
      </c>
      <c r="N26" s="47" t="str">
        <f t="shared" si="3"/>
        <v/>
      </c>
      <c r="O26" s="47">
        <f t="shared" si="4"/>
        <v>0</v>
      </c>
      <c r="P26" s="47" t="e">
        <f t="shared" si="5"/>
        <v>#REF!</v>
      </c>
      <c r="R26" s="5" t="str">
        <f t="shared" si="6"/>
        <v/>
      </c>
      <c r="S26" s="5">
        <f t="shared" si="7"/>
        <v>0</v>
      </c>
      <c r="T26" s="5" t="e">
        <f t="shared" si="8"/>
        <v>#REF!</v>
      </c>
    </row>
    <row r="27" spans="1:20" ht="18">
      <c r="A27" s="14">
        <v>210049</v>
      </c>
      <c r="B27" s="2" t="s">
        <v>31</v>
      </c>
      <c r="C27" s="6">
        <f>VLOOKUP(A27,Revenue!$A$2:$C$47,3,0)</f>
        <v>148917095.66517001</v>
      </c>
      <c r="D27" s="6" t="str">
        <f>IFERROR(VLOOKUP(A27,#REF!,10,0),"")</f>
        <v/>
      </c>
      <c r="E27" s="49" t="str">
        <f>IFERROR(VLOOKUP(A27,#REF!,14,0),"")</f>
        <v/>
      </c>
      <c r="F27" s="7">
        <f>VLOOKUP(A27,'3.MHAC Modeling Results'!$B$6:$L$51,8,0)</f>
        <v>-669678.3441810339</v>
      </c>
      <c r="G27" s="50">
        <f t="shared" si="2"/>
        <v>-4.4969876775381133E-3</v>
      </c>
      <c r="H27" s="38" t="e">
        <f>VLOOKUP(A27,#REF!,20,0)</f>
        <v>#REF!</v>
      </c>
      <c r="I27" s="50" t="e">
        <f>VLOOKUP(A27,#REF!,19,0)</f>
        <v>#REF!</v>
      </c>
      <c r="J27" s="40" t="e">
        <f t="shared" si="0"/>
        <v>#REF!</v>
      </c>
      <c r="K27" s="41" t="e">
        <f t="shared" si="1"/>
        <v>#REF!</v>
      </c>
      <c r="N27" s="47" t="str">
        <f t="shared" si="3"/>
        <v/>
      </c>
      <c r="O27" s="47">
        <f t="shared" si="4"/>
        <v>4.4969876775381133E-3</v>
      </c>
      <c r="P27" s="47" t="e">
        <f t="shared" si="5"/>
        <v>#REF!</v>
      </c>
      <c r="R27" s="5" t="str">
        <f t="shared" si="6"/>
        <v/>
      </c>
      <c r="S27" s="5">
        <f t="shared" si="7"/>
        <v>669678.3441810339</v>
      </c>
      <c r="T27" s="5" t="e">
        <f t="shared" si="8"/>
        <v>#REF!</v>
      </c>
    </row>
    <row r="28" spans="1:20" ht="18">
      <c r="A28" s="14">
        <v>210009</v>
      </c>
      <c r="B28" s="2" t="s">
        <v>42</v>
      </c>
      <c r="C28" s="6">
        <f>VLOOKUP(A28,Revenue!$A$2:$C$47,3,0)</f>
        <v>1292515919.3162181</v>
      </c>
      <c r="D28" s="6" t="str">
        <f>IFERROR(VLOOKUP(A28,#REF!,10,0),"")</f>
        <v/>
      </c>
      <c r="E28" s="49" t="str">
        <f>IFERROR(VLOOKUP(A28,#REF!,14,0),"")</f>
        <v/>
      </c>
      <c r="F28" s="7">
        <f>VLOOKUP(A28,'3.MHAC Modeling Results'!$B$6:$L$51,8,0)</f>
        <v>-9133815.6834365297</v>
      </c>
      <c r="G28" s="50">
        <f t="shared" si="2"/>
        <v>-7.0666949218456104E-3</v>
      </c>
      <c r="H28" s="38" t="e">
        <f>VLOOKUP(A28,#REF!,20,0)</f>
        <v>#REF!</v>
      </c>
      <c r="I28" s="50" t="e">
        <f>VLOOKUP(A28,#REF!,19,0)</f>
        <v>#REF!</v>
      </c>
      <c r="J28" s="40" t="e">
        <f t="shared" si="0"/>
        <v>#REF!</v>
      </c>
      <c r="K28" s="41" t="e">
        <f t="shared" si="1"/>
        <v>#REF!</v>
      </c>
      <c r="N28" s="47" t="str">
        <f t="shared" si="3"/>
        <v/>
      </c>
      <c r="O28" s="47">
        <f t="shared" si="4"/>
        <v>7.0666949218456104E-3</v>
      </c>
      <c r="P28" s="47" t="e">
        <f t="shared" si="5"/>
        <v>#REF!</v>
      </c>
      <c r="R28" s="5" t="str">
        <f t="shared" si="6"/>
        <v/>
      </c>
      <c r="S28" s="5">
        <f t="shared" si="7"/>
        <v>9133815.6834365297</v>
      </c>
      <c r="T28" s="5" t="e">
        <f t="shared" si="8"/>
        <v>#REF!</v>
      </c>
    </row>
    <row r="29" spans="1:20" ht="18">
      <c r="A29" s="14">
        <v>210051</v>
      </c>
      <c r="B29" s="2" t="s">
        <v>36</v>
      </c>
      <c r="C29" s="6">
        <f>VLOOKUP(A29,Revenue!$A$2:$C$47,3,0)</f>
        <v>136225390.68992713</v>
      </c>
      <c r="D29" s="6" t="str">
        <f>IFERROR(VLOOKUP(A29,#REF!,10,0),"")</f>
        <v/>
      </c>
      <c r="E29" s="49" t="str">
        <f>IFERROR(VLOOKUP(A29,#REF!,14,0),"")</f>
        <v/>
      </c>
      <c r="F29" s="7">
        <f>VLOOKUP(A29,'3.MHAC Modeling Results'!$B$6:$L$51,8,0)</f>
        <v>-743876.16829336435</v>
      </c>
      <c r="G29" s="50">
        <f t="shared" si="2"/>
        <v>-5.4606278941534249E-3</v>
      </c>
      <c r="H29" s="38" t="e">
        <f>VLOOKUP(A29,#REF!,20,0)</f>
        <v>#REF!</v>
      </c>
      <c r="I29" s="50" t="e">
        <f>VLOOKUP(A29,#REF!,19,0)</f>
        <v>#REF!</v>
      </c>
      <c r="J29" s="40" t="e">
        <f t="shared" si="0"/>
        <v>#REF!</v>
      </c>
      <c r="K29" s="41" t="e">
        <f t="shared" si="1"/>
        <v>#REF!</v>
      </c>
      <c r="N29" s="47" t="str">
        <f t="shared" si="3"/>
        <v/>
      </c>
      <c r="O29" s="47">
        <f t="shared" si="4"/>
        <v>5.4606278941534249E-3</v>
      </c>
      <c r="P29" s="47" t="e">
        <f t="shared" si="5"/>
        <v>#REF!</v>
      </c>
      <c r="R29" s="5" t="str">
        <f t="shared" si="6"/>
        <v/>
      </c>
      <c r="S29" s="5">
        <f t="shared" si="7"/>
        <v>743876.16829336435</v>
      </c>
      <c r="T29" s="5" t="e">
        <f t="shared" si="8"/>
        <v>#REF!</v>
      </c>
    </row>
    <row r="30" spans="1:20" ht="18">
      <c r="A30" s="14">
        <v>210005</v>
      </c>
      <c r="B30" s="2" t="s">
        <v>33</v>
      </c>
      <c r="C30" s="6">
        <f>VLOOKUP(A30,Revenue!$A$2:$C$47,3,0)</f>
        <v>189480762.70820984</v>
      </c>
      <c r="D30" s="6" t="str">
        <f>IFERROR(VLOOKUP(A30,#REF!,10,0),"")</f>
        <v/>
      </c>
      <c r="E30" s="49" t="str">
        <f>IFERROR(VLOOKUP(A30,#REF!,14,0),"")</f>
        <v/>
      </c>
      <c r="F30" s="7">
        <f>VLOOKUP(A30,'3.MHAC Modeling Results'!$B$6:$L$51,8,0)</f>
        <v>-791228.89395581803</v>
      </c>
      <c r="G30" s="50">
        <f t="shared" si="2"/>
        <v>-4.1757742719996747E-3</v>
      </c>
      <c r="H30" s="38" t="e">
        <f>VLOOKUP(A30,#REF!,20,0)</f>
        <v>#REF!</v>
      </c>
      <c r="I30" s="50" t="e">
        <f>VLOOKUP(A30,#REF!,19,0)</f>
        <v>#REF!</v>
      </c>
      <c r="J30" s="40" t="e">
        <f t="shared" si="0"/>
        <v>#REF!</v>
      </c>
      <c r="K30" s="41" t="e">
        <f t="shared" si="1"/>
        <v>#REF!</v>
      </c>
      <c r="N30" s="47" t="str">
        <f t="shared" si="3"/>
        <v/>
      </c>
      <c r="O30" s="47">
        <f t="shared" si="4"/>
        <v>4.1757742719996747E-3</v>
      </c>
      <c r="P30" s="47" t="e">
        <f t="shared" si="5"/>
        <v>#REF!</v>
      </c>
      <c r="R30" s="5" t="str">
        <f t="shared" si="6"/>
        <v/>
      </c>
      <c r="S30" s="5">
        <f t="shared" si="7"/>
        <v>791228.89395581803</v>
      </c>
      <c r="T30" s="5" t="e">
        <f t="shared" si="8"/>
        <v>#REF!</v>
      </c>
    </row>
    <row r="31" spans="1:20" ht="18">
      <c r="A31" s="14">
        <v>210037</v>
      </c>
      <c r="B31" s="2" t="s">
        <v>34</v>
      </c>
      <c r="C31" s="6">
        <f>VLOOKUP(A31,Revenue!$A$2:$C$47,3,0)</f>
        <v>94828131.850859523</v>
      </c>
      <c r="D31" s="6" t="str">
        <f>IFERROR(VLOOKUP(A31,#REF!,10,0),"")</f>
        <v/>
      </c>
      <c r="E31" s="49" t="str">
        <f>IFERROR(VLOOKUP(A31,#REF!,14,0),"")</f>
        <v/>
      </c>
      <c r="F31" s="7">
        <f>VLOOKUP(A31,'3.MHAC Modeling Results'!$B$6:$L$51,8,0)</f>
        <v>-91380.201517986599</v>
      </c>
      <c r="G31" s="50">
        <f t="shared" si="2"/>
        <v>-9.6364021661530109E-4</v>
      </c>
      <c r="H31" s="38" t="e">
        <f>VLOOKUP(A31,#REF!,20,0)</f>
        <v>#REF!</v>
      </c>
      <c r="I31" s="50" t="e">
        <f>VLOOKUP(A31,#REF!,19,0)</f>
        <v>#REF!</v>
      </c>
      <c r="J31" s="40" t="e">
        <f t="shared" si="0"/>
        <v>#REF!</v>
      </c>
      <c r="K31" s="41" t="e">
        <f t="shared" si="1"/>
        <v>#REF!</v>
      </c>
      <c r="N31" s="47" t="str">
        <f t="shared" si="3"/>
        <v/>
      </c>
      <c r="O31" s="47">
        <f t="shared" si="4"/>
        <v>9.6364021661530109E-4</v>
      </c>
      <c r="P31" s="47" t="e">
        <f t="shared" si="5"/>
        <v>#REF!</v>
      </c>
      <c r="R31" s="5" t="str">
        <f t="shared" si="6"/>
        <v/>
      </c>
      <c r="S31" s="5">
        <f t="shared" si="7"/>
        <v>91380.201517986599</v>
      </c>
      <c r="T31" s="5" t="e">
        <f t="shared" si="8"/>
        <v>#REF!</v>
      </c>
    </row>
    <row r="32" spans="1:20" ht="18">
      <c r="A32" s="14">
        <v>210023</v>
      </c>
      <c r="B32" s="2" t="s">
        <v>40</v>
      </c>
      <c r="C32" s="6">
        <f>VLOOKUP(A32,Revenue!$A$2:$C$47,3,0)</f>
        <v>310117074.81392145</v>
      </c>
      <c r="D32" s="6" t="str">
        <f>IFERROR(VLOOKUP(A32,#REF!,10,0),"")</f>
        <v/>
      </c>
      <c r="E32" s="49" t="str">
        <f>IFERROR(VLOOKUP(A32,#REF!,14,0),"")</f>
        <v/>
      </c>
      <c r="F32" s="7">
        <f>VLOOKUP(A32,'3.MHAC Modeling Results'!$B$6:$L$51,8,0)</f>
        <v>-1892661.47261536</v>
      </c>
      <c r="G32" s="50">
        <f t="shared" si="2"/>
        <v>-6.1030547052302996E-3</v>
      </c>
      <c r="H32" s="38" t="e">
        <f>VLOOKUP(A32,#REF!,20,0)</f>
        <v>#REF!</v>
      </c>
      <c r="I32" s="50" t="e">
        <f>VLOOKUP(A32,#REF!,19,0)</f>
        <v>#REF!</v>
      </c>
      <c r="J32" s="40" t="e">
        <f t="shared" si="0"/>
        <v>#REF!</v>
      </c>
      <c r="K32" s="41" t="e">
        <f t="shared" si="1"/>
        <v>#REF!</v>
      </c>
      <c r="N32" s="47" t="str">
        <f t="shared" si="3"/>
        <v/>
      </c>
      <c r="O32" s="47">
        <f t="shared" si="4"/>
        <v>6.1030547052302996E-3</v>
      </c>
      <c r="P32" s="47" t="e">
        <f t="shared" si="5"/>
        <v>#REF!</v>
      </c>
      <c r="R32" s="5" t="str">
        <f t="shared" si="6"/>
        <v/>
      </c>
      <c r="S32" s="5">
        <f t="shared" si="7"/>
        <v>1892661.47261536</v>
      </c>
      <c r="T32" s="5" t="e">
        <f t="shared" si="8"/>
        <v>#REF!</v>
      </c>
    </row>
    <row r="33" spans="1:20" ht="18">
      <c r="A33" s="14">
        <v>210010</v>
      </c>
      <c r="B33" s="2" t="s">
        <v>43</v>
      </c>
      <c r="C33" s="6">
        <f>VLOOKUP(A33,Revenue!$A$2:$C$47,3,0)</f>
        <v>25127934.983499374</v>
      </c>
      <c r="D33" s="6" t="str">
        <f>IFERROR(VLOOKUP(A33,#REF!,10,0),"")</f>
        <v/>
      </c>
      <c r="E33" s="49" t="str">
        <f>IFERROR(VLOOKUP(A33,#REF!,14,0),"")</f>
        <v/>
      </c>
      <c r="F33" s="7">
        <f>VLOOKUP(A33,'3.MHAC Modeling Results'!$B$6:$L$51,8,0)</f>
        <v>-88785.725272180731</v>
      </c>
      <c r="G33" s="50">
        <f t="shared" si="2"/>
        <v>-3.5333474609228008E-3</v>
      </c>
      <c r="H33" s="38" t="e">
        <f>VLOOKUP(A33,#REF!,20,0)</f>
        <v>#REF!</v>
      </c>
      <c r="I33" s="50" t="e">
        <f>VLOOKUP(A33,#REF!,19,0)</f>
        <v>#REF!</v>
      </c>
      <c r="J33" s="40" t="e">
        <f t="shared" si="0"/>
        <v>#REF!</v>
      </c>
      <c r="K33" s="41" t="e">
        <f t="shared" si="1"/>
        <v>#REF!</v>
      </c>
      <c r="N33" s="47" t="str">
        <f t="shared" si="3"/>
        <v/>
      </c>
      <c r="O33" s="47">
        <f t="shared" si="4"/>
        <v>3.5333474609228008E-3</v>
      </c>
      <c r="P33" s="47" t="e">
        <f t="shared" si="5"/>
        <v>#REF!</v>
      </c>
      <c r="R33" s="5" t="str">
        <f t="shared" si="6"/>
        <v/>
      </c>
      <c r="S33" s="5">
        <f t="shared" si="7"/>
        <v>88785.725272180731</v>
      </c>
      <c r="T33" s="5" t="e">
        <f t="shared" si="8"/>
        <v>#REF!</v>
      </c>
    </row>
    <row r="34" spans="1:20" ht="18">
      <c r="A34" s="14">
        <v>210038</v>
      </c>
      <c r="B34" s="2" t="s">
        <v>25</v>
      </c>
      <c r="C34" s="6">
        <f>VLOOKUP(A34,Revenue!$A$2:$C$47,3,0)</f>
        <v>133787810.98689511</v>
      </c>
      <c r="D34" s="6" t="str">
        <f>IFERROR(VLOOKUP(A34,#REF!,10,0),"")</f>
        <v/>
      </c>
      <c r="E34" s="49" t="str">
        <f>IFERROR(VLOOKUP(A34,#REF!,14,0),"")</f>
        <v/>
      </c>
      <c r="F34" s="7">
        <f>VLOOKUP(A34,'3.MHAC Modeling Results'!$B$6:$L$51,8,0)</f>
        <v>-214872.19193316525</v>
      </c>
      <c r="G34" s="50">
        <f t="shared" si="2"/>
        <v>-1.6060670276921757E-3</v>
      </c>
      <c r="H34" s="38" t="e">
        <f>VLOOKUP(A34,#REF!,20,0)</f>
        <v>#REF!</v>
      </c>
      <c r="I34" s="50" t="e">
        <f>VLOOKUP(A34,#REF!,19,0)</f>
        <v>#REF!</v>
      </c>
      <c r="J34" s="40" t="e">
        <f t="shared" si="0"/>
        <v>#REF!</v>
      </c>
      <c r="K34" s="41" t="e">
        <f t="shared" si="1"/>
        <v>#REF!</v>
      </c>
      <c r="N34" s="47" t="str">
        <f t="shared" si="3"/>
        <v/>
      </c>
      <c r="O34" s="47">
        <f t="shared" si="4"/>
        <v>1.6060670276921757E-3</v>
      </c>
      <c r="P34" s="47" t="e">
        <f t="shared" si="5"/>
        <v>#REF!</v>
      </c>
      <c r="R34" s="5" t="str">
        <f t="shared" si="6"/>
        <v/>
      </c>
      <c r="S34" s="5">
        <f t="shared" si="7"/>
        <v>214872.19193316525</v>
      </c>
      <c r="T34" s="5" t="e">
        <f t="shared" si="8"/>
        <v>#REF!</v>
      </c>
    </row>
    <row r="35" spans="1:20" ht="18">
      <c r="A35" s="14">
        <v>210058</v>
      </c>
      <c r="B35" s="2" t="s">
        <v>88</v>
      </c>
      <c r="C35" s="6">
        <f>VLOOKUP(A35,Revenue!$A$2:$C$47,3,0)</f>
        <v>69104845.787293941</v>
      </c>
      <c r="D35" s="6" t="str">
        <f>IFERROR(VLOOKUP(A35,#REF!,10,0),"")</f>
        <v/>
      </c>
      <c r="E35" s="49" t="str">
        <f>IFERROR(VLOOKUP(A35,#REF!,14,0),"")</f>
        <v/>
      </c>
      <c r="F35" s="7">
        <f>VLOOKUP(A35,'3.MHAC Modeling Results'!$B$6:$L$51,8,0)</f>
        <v>-44394.805709089735</v>
      </c>
      <c r="G35" s="50">
        <f t="shared" si="2"/>
        <v>-6.4242681107686439E-4</v>
      </c>
      <c r="H35" s="38" t="e">
        <f>VLOOKUP(A35,#REF!,20,0)</f>
        <v>#REF!</v>
      </c>
      <c r="I35" s="50" t="e">
        <f>VLOOKUP(A35,#REF!,19,0)</f>
        <v>#REF!</v>
      </c>
      <c r="J35" s="40" t="e">
        <f t="shared" si="0"/>
        <v>#REF!</v>
      </c>
      <c r="K35" s="41" t="e">
        <f t="shared" si="1"/>
        <v>#REF!</v>
      </c>
      <c r="N35" s="47" t="str">
        <f t="shared" si="3"/>
        <v/>
      </c>
      <c r="O35" s="47">
        <f t="shared" si="4"/>
        <v>6.4242681107686439E-4</v>
      </c>
      <c r="P35" s="47" t="e">
        <f t="shared" si="5"/>
        <v>#REF!</v>
      </c>
      <c r="R35" s="5" t="str">
        <f t="shared" si="6"/>
        <v/>
      </c>
      <c r="S35" s="5">
        <f t="shared" si="7"/>
        <v>44394.805709089735</v>
      </c>
      <c r="T35" s="5" t="e">
        <f t="shared" si="8"/>
        <v>#REF!</v>
      </c>
    </row>
    <row r="36" spans="1:20" s="11" customFormat="1" ht="18">
      <c r="A36" s="14">
        <v>210056</v>
      </c>
      <c r="B36" s="2" t="s">
        <v>22</v>
      </c>
      <c r="C36" s="6">
        <f>VLOOKUP(A36,Revenue!$A$2:$C$47,3,0)</f>
        <v>180861011.49427712</v>
      </c>
      <c r="D36" s="6" t="str">
        <f>IFERROR(VLOOKUP(A36,#REF!,10,0),"")</f>
        <v/>
      </c>
      <c r="E36" s="49" t="str">
        <f>IFERROR(VLOOKUP(A36,#REF!,14,0),"")</f>
        <v/>
      </c>
      <c r="F36" s="7">
        <f>VLOOKUP(A36,'3.MHAC Modeling Results'!$B$6:$L$51,8,0)</f>
        <v>0</v>
      </c>
      <c r="G36" s="50">
        <f t="shared" si="2"/>
        <v>0</v>
      </c>
      <c r="H36" s="38" t="e">
        <f>VLOOKUP(A36,#REF!,20,0)</f>
        <v>#REF!</v>
      </c>
      <c r="I36" s="50" t="e">
        <f>VLOOKUP(A36,#REF!,19,0)</f>
        <v>#REF!</v>
      </c>
      <c r="J36" s="40" t="e">
        <f t="shared" si="0"/>
        <v>#REF!</v>
      </c>
      <c r="K36" s="41" t="e">
        <f t="shared" si="1"/>
        <v>#REF!</v>
      </c>
      <c r="N36" s="47" t="str">
        <f t="shared" si="3"/>
        <v/>
      </c>
      <c r="O36" s="47">
        <f t="shared" si="4"/>
        <v>0</v>
      </c>
      <c r="P36" s="47" t="e">
        <f t="shared" si="5"/>
        <v>#REF!</v>
      </c>
      <c r="R36" s="5" t="str">
        <f t="shared" si="6"/>
        <v/>
      </c>
      <c r="S36" s="5">
        <f t="shared" si="7"/>
        <v>0</v>
      </c>
      <c r="T36" s="5" t="e">
        <f t="shared" si="8"/>
        <v>#REF!</v>
      </c>
    </row>
    <row r="37" spans="1:20" ht="18">
      <c r="A37" s="14">
        <v>210027</v>
      </c>
      <c r="B37" s="2" t="s">
        <v>37</v>
      </c>
      <c r="C37" s="6">
        <f>VLOOKUP(A37,Revenue!$A$2:$C$47,3,0)</f>
        <v>184484265.97300443</v>
      </c>
      <c r="D37" s="6" t="str">
        <f>IFERROR(VLOOKUP(A37,#REF!,10,0),"")</f>
        <v/>
      </c>
      <c r="E37" s="49" t="str">
        <f>IFERROR(VLOOKUP(A37,#REF!,14,0),"")</f>
        <v/>
      </c>
      <c r="F37" s="7">
        <f>VLOOKUP(A37,'3.MHAC Modeling Results'!$B$6:$L$51,8,0)</f>
        <v>-592588.19341447426</v>
      </c>
      <c r="G37" s="50">
        <f t="shared" si="2"/>
        <v>-3.2121340553843635E-3</v>
      </c>
      <c r="H37" s="38" t="e">
        <f>VLOOKUP(A37,#REF!,20,0)</f>
        <v>#REF!</v>
      </c>
      <c r="I37" s="50" t="e">
        <f>VLOOKUP(A37,#REF!,19,0)</f>
        <v>#REF!</v>
      </c>
      <c r="J37" s="40" t="e">
        <f t="shared" si="0"/>
        <v>#REF!</v>
      </c>
      <c r="K37" s="41" t="e">
        <f t="shared" si="1"/>
        <v>#REF!</v>
      </c>
      <c r="N37" s="47" t="str">
        <f t="shared" si="3"/>
        <v/>
      </c>
      <c r="O37" s="47">
        <f t="shared" si="4"/>
        <v>3.2121340553843635E-3</v>
      </c>
      <c r="P37" s="47" t="e">
        <f t="shared" si="5"/>
        <v>#REF!</v>
      </c>
      <c r="R37" s="5" t="str">
        <f t="shared" si="6"/>
        <v/>
      </c>
      <c r="S37" s="5">
        <f t="shared" si="7"/>
        <v>592588.19341447426</v>
      </c>
      <c r="T37" s="5" t="e">
        <f t="shared" si="8"/>
        <v>#REF!</v>
      </c>
    </row>
    <row r="38" spans="1:20" ht="18">
      <c r="A38" s="14">
        <v>210061</v>
      </c>
      <c r="B38" s="2" t="s">
        <v>23</v>
      </c>
      <c r="C38" s="6">
        <f>VLOOKUP(A38,Revenue!$A$2:$C$47,3,0)</f>
        <v>38640762.060988352</v>
      </c>
      <c r="D38" s="6" t="str">
        <f>IFERROR(VLOOKUP(A38,#REF!,10,0),"")</f>
        <v/>
      </c>
      <c r="E38" s="49" t="str">
        <f>IFERROR(VLOOKUP(A38,#REF!,14,0),"")</f>
        <v/>
      </c>
      <c r="F38" s="7">
        <f>VLOOKUP(A38,'3.MHAC Modeling Results'!$B$6:$L$51,8,0)</f>
        <v>0</v>
      </c>
      <c r="G38" s="50">
        <f t="shared" si="2"/>
        <v>0</v>
      </c>
      <c r="H38" s="38" t="e">
        <f>VLOOKUP(A38,#REF!,20,0)</f>
        <v>#REF!</v>
      </c>
      <c r="I38" s="50" t="e">
        <f>VLOOKUP(A38,#REF!,19,0)</f>
        <v>#REF!</v>
      </c>
      <c r="J38" s="40" t="e">
        <f t="shared" si="0"/>
        <v>#REF!</v>
      </c>
      <c r="K38" s="41" t="e">
        <f t="shared" si="1"/>
        <v>#REF!</v>
      </c>
      <c r="N38" s="47" t="str">
        <f t="shared" si="3"/>
        <v/>
      </c>
      <c r="O38" s="47">
        <f t="shared" si="4"/>
        <v>0</v>
      </c>
      <c r="P38" s="47" t="e">
        <f t="shared" si="5"/>
        <v>#REF!</v>
      </c>
      <c r="R38" s="5" t="str">
        <f t="shared" si="6"/>
        <v/>
      </c>
      <c r="S38" s="5">
        <f t="shared" si="7"/>
        <v>0</v>
      </c>
      <c r="T38" s="5" t="e">
        <f t="shared" si="8"/>
        <v>#REF!</v>
      </c>
    </row>
    <row r="39" spans="1:20" ht="18">
      <c r="A39" s="14">
        <v>210045</v>
      </c>
      <c r="B39" s="2" t="s">
        <v>81</v>
      </c>
      <c r="C39" s="6">
        <f>VLOOKUP(A39,Revenue!$A$2:$C$47,3,0)</f>
        <v>3734618.2392469109</v>
      </c>
      <c r="D39" s="6" t="str">
        <f>IFERROR(VLOOKUP(A39,#REF!,10,0),"")</f>
        <v/>
      </c>
      <c r="E39" s="49" t="str">
        <f>IFERROR(VLOOKUP(A39,#REF!,14,0),"")</f>
        <v/>
      </c>
      <c r="F39" s="7">
        <f>VLOOKUP(A39,'3.MHAC Modeling Results'!$B$6:$L$51,8,0)</f>
        <v>0</v>
      </c>
      <c r="G39" s="50">
        <f t="shared" si="2"/>
        <v>0</v>
      </c>
      <c r="H39" s="38" t="e">
        <f>VLOOKUP(A39,#REF!,20,0)</f>
        <v>#REF!</v>
      </c>
      <c r="I39" s="50" t="e">
        <f>VLOOKUP(A39,#REF!,19,0)</f>
        <v>#REF!</v>
      </c>
      <c r="J39" s="40" t="e">
        <f t="shared" si="0"/>
        <v>#REF!</v>
      </c>
      <c r="K39" s="41" t="e">
        <f t="shared" si="1"/>
        <v>#REF!</v>
      </c>
      <c r="N39" s="47" t="str">
        <f t="shared" si="3"/>
        <v/>
      </c>
      <c r="O39" s="47">
        <f t="shared" si="4"/>
        <v>0</v>
      </c>
      <c r="P39" s="47" t="e">
        <f t="shared" si="5"/>
        <v>#REF!</v>
      </c>
      <c r="R39" s="5" t="str">
        <f t="shared" si="6"/>
        <v/>
      </c>
      <c r="S39" s="5">
        <f t="shared" si="7"/>
        <v>0</v>
      </c>
      <c r="T39" s="5" t="e">
        <f t="shared" si="8"/>
        <v>#REF!</v>
      </c>
    </row>
    <row r="40" spans="1:20" ht="18">
      <c r="A40" s="14">
        <v>210008</v>
      </c>
      <c r="B40" s="2" t="s">
        <v>38</v>
      </c>
      <c r="C40" s="6">
        <f>VLOOKUP(A40,Revenue!$A$2:$C$47,3,0)</f>
        <v>233163593.66479388</v>
      </c>
      <c r="D40" s="6" t="str">
        <f>IFERROR(VLOOKUP(A40,#REF!,10,0),"")</f>
        <v/>
      </c>
      <c r="E40" s="49" t="str">
        <f>IFERROR(VLOOKUP(A40,#REF!,14,0),"")</f>
        <v/>
      </c>
      <c r="F40" s="7">
        <f>VLOOKUP(A40,'3.MHAC Modeling Results'!$B$6:$L$51,8,0)</f>
        <v>-823847.99165513506</v>
      </c>
      <c r="G40" s="50">
        <f t="shared" si="2"/>
        <v>-3.5333474609228008E-3</v>
      </c>
      <c r="H40" s="38" t="e">
        <f>VLOOKUP(A40,#REF!,20,0)</f>
        <v>#REF!</v>
      </c>
      <c r="I40" s="50" t="e">
        <f>VLOOKUP(A40,#REF!,19,0)</f>
        <v>#REF!</v>
      </c>
      <c r="J40" s="40" t="e">
        <f t="shared" si="0"/>
        <v>#REF!</v>
      </c>
      <c r="K40" s="41" t="e">
        <f t="shared" si="1"/>
        <v>#REF!</v>
      </c>
      <c r="N40" s="47" t="str">
        <f t="shared" si="3"/>
        <v/>
      </c>
      <c r="O40" s="47">
        <f t="shared" si="4"/>
        <v>3.5333474609228008E-3</v>
      </c>
      <c r="P40" s="47" t="e">
        <f t="shared" si="5"/>
        <v>#REF!</v>
      </c>
      <c r="R40" s="5" t="str">
        <f t="shared" si="6"/>
        <v/>
      </c>
      <c r="S40" s="5">
        <f t="shared" si="7"/>
        <v>823847.99165513506</v>
      </c>
      <c r="T40" s="5" t="e">
        <f t="shared" si="8"/>
        <v>#REF!</v>
      </c>
    </row>
    <row r="41" spans="1:20" ht="18">
      <c r="A41" s="14">
        <v>210035</v>
      </c>
      <c r="B41" s="2" t="s">
        <v>26</v>
      </c>
      <c r="C41" s="6">
        <f>VLOOKUP(A41,Revenue!$A$2:$C$47,3,0)</f>
        <v>76338049.290417254</v>
      </c>
      <c r="D41" s="6" t="str">
        <f>IFERROR(VLOOKUP(A41,#REF!,10,0),"")</f>
        <v/>
      </c>
      <c r="E41" s="49" t="str">
        <f>IFERROR(VLOOKUP(A41,#REF!,14,0),"")</f>
        <v/>
      </c>
      <c r="F41" s="7">
        <f>VLOOKUP(A41,'3.MHAC Modeling Results'!$B$6:$L$51,8,0)</f>
        <v>0</v>
      </c>
      <c r="G41" s="50">
        <f t="shared" si="2"/>
        <v>0</v>
      </c>
      <c r="H41" s="38" t="e">
        <f>VLOOKUP(A41,#REF!,20,0)</f>
        <v>#REF!</v>
      </c>
      <c r="I41" s="50" t="e">
        <f>VLOOKUP(A41,#REF!,19,0)</f>
        <v>#REF!</v>
      </c>
      <c r="J41" s="40" t="e">
        <f t="shared" si="0"/>
        <v>#REF!</v>
      </c>
      <c r="K41" s="41" t="e">
        <f t="shared" si="1"/>
        <v>#REF!</v>
      </c>
      <c r="N41" s="47" t="str">
        <f t="shared" si="3"/>
        <v/>
      </c>
      <c r="O41" s="47">
        <f t="shared" si="4"/>
        <v>0</v>
      </c>
      <c r="P41" s="47" t="e">
        <f t="shared" si="5"/>
        <v>#REF!</v>
      </c>
      <c r="R41" s="5" t="str">
        <f t="shared" si="6"/>
        <v/>
      </c>
      <c r="S41" s="5">
        <f t="shared" si="7"/>
        <v>0</v>
      </c>
      <c r="T41" s="5" t="e">
        <f t="shared" si="8"/>
        <v>#REF!</v>
      </c>
    </row>
    <row r="42" spans="1:20" ht="18">
      <c r="A42" s="14">
        <v>210032</v>
      </c>
      <c r="B42" s="2" t="s">
        <v>28</v>
      </c>
      <c r="C42" s="6">
        <f>VLOOKUP(A42,Revenue!$A$2:$C$47,3,0)</f>
        <v>67852188.547545061</v>
      </c>
      <c r="D42" s="6" t="str">
        <f>IFERROR(VLOOKUP(A42,#REF!,10,0),"")</f>
        <v/>
      </c>
      <c r="E42" s="49" t="str">
        <f>IFERROR(VLOOKUP(A42,#REF!,14,0),"")</f>
        <v/>
      </c>
      <c r="F42" s="7">
        <f>VLOOKUP(A42,'3.MHAC Modeling Results'!$B$6:$L$51,8,0)</f>
        <v>0</v>
      </c>
      <c r="G42" s="50">
        <f t="shared" si="2"/>
        <v>0</v>
      </c>
      <c r="H42" s="38" t="e">
        <f>VLOOKUP(A42,#REF!,20,0)</f>
        <v>#REF!</v>
      </c>
      <c r="I42" s="50" t="e">
        <f>VLOOKUP(A42,#REF!,19,0)</f>
        <v>#REF!</v>
      </c>
      <c r="J42" s="40" t="e">
        <f t="shared" si="0"/>
        <v>#REF!</v>
      </c>
      <c r="K42" s="41" t="e">
        <f t="shared" si="1"/>
        <v>#REF!</v>
      </c>
      <c r="N42" s="47" t="str">
        <f t="shared" si="3"/>
        <v/>
      </c>
      <c r="O42" s="47">
        <f t="shared" si="4"/>
        <v>0</v>
      </c>
      <c r="P42" s="47" t="e">
        <f t="shared" si="5"/>
        <v>#REF!</v>
      </c>
      <c r="R42" s="5" t="str">
        <f t="shared" si="6"/>
        <v/>
      </c>
      <c r="S42" s="5">
        <f t="shared" si="7"/>
        <v>0</v>
      </c>
      <c r="T42" s="5" t="e">
        <f t="shared" si="8"/>
        <v>#REF!</v>
      </c>
    </row>
    <row r="43" spans="1:20" s="11" customFormat="1" ht="18">
      <c r="A43" s="14">
        <v>210039</v>
      </c>
      <c r="B43" s="2" t="s">
        <v>30</v>
      </c>
      <c r="C43" s="6">
        <f>VLOOKUP(A43,Revenue!$A$2:$C$47,3,0)</f>
        <v>67385286.839919657</v>
      </c>
      <c r="D43" s="6" t="str">
        <f>IFERROR(VLOOKUP(A43,#REF!,10,0),"")</f>
        <v/>
      </c>
      <c r="E43" s="49" t="str">
        <f>IFERROR(VLOOKUP(A43,#REF!,14,0),"")</f>
        <v/>
      </c>
      <c r="F43" s="7">
        <f>VLOOKUP(A43,'3.MHAC Modeling Results'!$B$6:$L$51,8,0)</f>
        <v>0</v>
      </c>
      <c r="G43" s="50">
        <f t="shared" si="2"/>
        <v>0</v>
      </c>
      <c r="H43" s="38" t="e">
        <f>VLOOKUP(A43,#REF!,20,0)</f>
        <v>#REF!</v>
      </c>
      <c r="I43" s="50" t="e">
        <f>VLOOKUP(A43,#REF!,19,0)</f>
        <v>#REF!</v>
      </c>
      <c r="J43" s="40" t="e">
        <f t="shared" si="0"/>
        <v>#REF!</v>
      </c>
      <c r="K43" s="41" t="e">
        <f t="shared" si="1"/>
        <v>#REF!</v>
      </c>
      <c r="N43" s="47" t="str">
        <f t="shared" si="3"/>
        <v/>
      </c>
      <c r="O43" s="47">
        <f t="shared" si="4"/>
        <v>0</v>
      </c>
      <c r="P43" s="47" t="e">
        <f t="shared" si="5"/>
        <v>#REF!</v>
      </c>
      <c r="R43" s="5" t="str">
        <f t="shared" si="6"/>
        <v/>
      </c>
      <c r="S43" s="5">
        <f t="shared" si="7"/>
        <v>0</v>
      </c>
      <c r="T43" s="5" t="e">
        <f t="shared" si="8"/>
        <v>#REF!</v>
      </c>
    </row>
    <row r="44" spans="1:20" ht="18">
      <c r="A44" s="14">
        <v>210030</v>
      </c>
      <c r="B44" s="2" t="s">
        <v>35</v>
      </c>
      <c r="C44" s="6">
        <f>VLOOKUP(A44,Revenue!$A$2:$C$47,3,0)</f>
        <v>29416674.305924561</v>
      </c>
      <c r="D44" s="6" t="str">
        <f>IFERROR(VLOOKUP(A44,#REF!,10,0),"")</f>
        <v/>
      </c>
      <c r="E44" s="49" t="str">
        <f>IFERROR(VLOOKUP(A44,#REF!,14,0),"")</f>
        <v/>
      </c>
      <c r="F44" s="7">
        <f>VLOOKUP(A44,'3.MHAC Modeling Results'!$B$6:$L$51,8,0)</f>
        <v>0</v>
      </c>
      <c r="G44" s="50">
        <f t="shared" si="2"/>
        <v>0</v>
      </c>
      <c r="H44" s="38" t="e">
        <f>VLOOKUP(A44,#REF!,20,0)</f>
        <v>#REF!</v>
      </c>
      <c r="I44" s="50" t="e">
        <f>VLOOKUP(A44,#REF!,19,0)</f>
        <v>#REF!</v>
      </c>
      <c r="J44" s="40" t="e">
        <f t="shared" si="0"/>
        <v>#REF!</v>
      </c>
      <c r="K44" s="41" t="e">
        <f t="shared" si="1"/>
        <v>#REF!</v>
      </c>
      <c r="N44" s="47" t="str">
        <f t="shared" si="3"/>
        <v/>
      </c>
      <c r="O44" s="47">
        <f t="shared" si="4"/>
        <v>0</v>
      </c>
      <c r="P44" s="47" t="e">
        <f t="shared" si="5"/>
        <v>#REF!</v>
      </c>
      <c r="R44" s="5" t="str">
        <f t="shared" si="6"/>
        <v/>
      </c>
      <c r="S44" s="5">
        <f t="shared" si="7"/>
        <v>0</v>
      </c>
      <c r="T44" s="5" t="e">
        <f t="shared" si="8"/>
        <v>#REF!</v>
      </c>
    </row>
    <row r="45" spans="1:20" ht="18">
      <c r="A45" s="14">
        <v>210006</v>
      </c>
      <c r="B45" s="2" t="s">
        <v>41</v>
      </c>
      <c r="C45" s="6">
        <f>VLOOKUP(A45,Revenue!$A$2:$C$47,3,0)</f>
        <v>47089618.293410309</v>
      </c>
      <c r="D45" s="6" t="str">
        <f>IFERROR(VLOOKUP(A45,#REF!,10,0),"")</f>
        <v/>
      </c>
      <c r="E45" s="49" t="str">
        <f>IFERROR(VLOOKUP(A45,#REF!,14,0),"")</f>
        <v/>
      </c>
      <c r="F45" s="7">
        <f>VLOOKUP(A45,'3.MHAC Modeling Results'!$B$6:$L$51,8,0)</f>
        <v>-30251.633315062361</v>
      </c>
      <c r="G45" s="50">
        <f t="shared" si="2"/>
        <v>-6.4242681107686439E-4</v>
      </c>
      <c r="H45" s="38" t="e">
        <f>VLOOKUP(A45,#REF!,20,0)</f>
        <v>#REF!</v>
      </c>
      <c r="I45" s="50" t="e">
        <f>VLOOKUP(A45,#REF!,19,0)</f>
        <v>#REF!</v>
      </c>
      <c r="J45" s="40" t="e">
        <f t="shared" si="0"/>
        <v>#REF!</v>
      </c>
      <c r="K45" s="41" t="e">
        <f t="shared" si="1"/>
        <v>#REF!</v>
      </c>
      <c r="N45" s="47" t="str">
        <f t="shared" si="3"/>
        <v/>
      </c>
      <c r="O45" s="47">
        <f t="shared" si="4"/>
        <v>6.4242681107686439E-4</v>
      </c>
      <c r="P45" s="47" t="e">
        <f t="shared" si="5"/>
        <v>#REF!</v>
      </c>
      <c r="R45" s="5" t="str">
        <f t="shared" si="6"/>
        <v/>
      </c>
      <c r="S45" s="5">
        <f t="shared" si="7"/>
        <v>30251.633315062361</v>
      </c>
      <c r="T45" s="5" t="e">
        <f t="shared" si="8"/>
        <v>#REF!</v>
      </c>
    </row>
    <row r="46" spans="1:20" ht="18">
      <c r="A46" s="14">
        <v>210017</v>
      </c>
      <c r="B46" s="2" t="s">
        <v>39</v>
      </c>
      <c r="C46" s="6">
        <f>VLOOKUP(A46,Revenue!$A$2:$C$47,3,0)</f>
        <v>18724073.644907132</v>
      </c>
      <c r="D46" s="6" t="str">
        <f>IFERROR(VLOOKUP(A46,#REF!,10,0),"")</f>
        <v/>
      </c>
      <c r="E46" s="49" t="str">
        <f>IFERROR(VLOOKUP(A46,#REF!,14,0),"")</f>
        <v/>
      </c>
      <c r="F46" s="7">
        <f>VLOOKUP(A46,'3.MHAC Modeling Results'!$B$6:$L$51,8,0)</f>
        <v>0</v>
      </c>
      <c r="G46" s="50">
        <f t="shared" si="2"/>
        <v>0</v>
      </c>
      <c r="H46" s="38" t="e">
        <f>VLOOKUP(A46,#REF!,20,0)</f>
        <v>#REF!</v>
      </c>
      <c r="I46" s="50" t="e">
        <f>VLOOKUP(A46,#REF!,19,0)</f>
        <v>#REF!</v>
      </c>
      <c r="J46" s="40" t="e">
        <f t="shared" si="0"/>
        <v>#REF!</v>
      </c>
      <c r="K46" s="41" t="e">
        <f t="shared" si="1"/>
        <v>#REF!</v>
      </c>
      <c r="N46" s="47" t="str">
        <f t="shared" si="3"/>
        <v/>
      </c>
      <c r="O46" s="47">
        <f t="shared" si="4"/>
        <v>0</v>
      </c>
      <c r="P46" s="47" t="e">
        <f t="shared" si="5"/>
        <v>#REF!</v>
      </c>
      <c r="R46" s="5" t="str">
        <f t="shared" si="6"/>
        <v/>
      </c>
      <c r="S46" s="5">
        <f t="shared" si="7"/>
        <v>0</v>
      </c>
      <c r="T46" s="5" t="e">
        <f t="shared" si="8"/>
        <v>#REF!</v>
      </c>
    </row>
    <row r="47" spans="1:20" s="11" customFormat="1" ht="18.600000000000001" thickBot="1">
      <c r="A47" s="15">
        <v>210028</v>
      </c>
      <c r="B47" s="3" t="s">
        <v>44</v>
      </c>
      <c r="C47" s="6">
        <f>VLOOKUP(A47,Revenue!$A$2:$C$47,3,0)</f>
        <v>69520305.288439929</v>
      </c>
      <c r="D47" s="6" t="str">
        <f>IFERROR(VLOOKUP(A47,#REF!,10,0),"")</f>
        <v/>
      </c>
      <c r="E47" s="49" t="str">
        <f>IFERROR(VLOOKUP(A47,#REF!,14,0),"")</f>
        <v/>
      </c>
      <c r="F47" s="7">
        <f>VLOOKUP(A47,'3.MHAC Modeling Results'!$B$6:$L$51,8,0)</f>
        <v>0</v>
      </c>
      <c r="G47" s="50">
        <f>VLOOKUP(A47,'3.MHAC Modeling Results'!$B$6:$L$51,6,0)</f>
        <v>0</v>
      </c>
      <c r="H47" s="38" t="e">
        <f>VLOOKUP(A47,#REF!,20,0)</f>
        <v>#REF!</v>
      </c>
      <c r="I47" s="50" t="e">
        <f>VLOOKUP(A47,#REF!,19,0)</f>
        <v>#REF!</v>
      </c>
      <c r="J47" s="40" t="e">
        <f t="shared" si="0"/>
        <v>#REF!</v>
      </c>
      <c r="K47" s="42" t="e">
        <f t="shared" si="1"/>
        <v>#REF!</v>
      </c>
      <c r="N47" s="47" t="str">
        <f t="shared" si="3"/>
        <v/>
      </c>
      <c r="O47" s="47">
        <f t="shared" si="4"/>
        <v>0</v>
      </c>
      <c r="P47" s="47" t="e">
        <f t="shared" si="5"/>
        <v>#REF!</v>
      </c>
      <c r="R47" s="5" t="str">
        <f t="shared" si="6"/>
        <v/>
      </c>
      <c r="S47" s="5">
        <f t="shared" si="7"/>
        <v>0</v>
      </c>
      <c r="T47" s="5" t="e">
        <f t="shared" si="8"/>
        <v>#REF!</v>
      </c>
    </row>
    <row r="48" spans="1:20" ht="18" thickBot="1">
      <c r="A48" s="8"/>
      <c r="B48" s="9" t="s">
        <v>45</v>
      </c>
      <c r="C48" s="36">
        <f>SUM(C2:C47)</f>
        <v>8961031432.2934761</v>
      </c>
      <c r="D48" s="4">
        <f>SUM(D2:D46)</f>
        <v>0</v>
      </c>
      <c r="E48" s="4"/>
      <c r="F48" s="4">
        <f>SUM(F2:F47)</f>
        <v>-44805157.161467373</v>
      </c>
      <c r="G48" s="48"/>
      <c r="H48" s="10" t="e">
        <f>SUM(H2:H47)</f>
        <v>#REF!</v>
      </c>
      <c r="I48" s="10"/>
      <c r="J48" s="10" t="e">
        <f>SUM(J2:J47)</f>
        <v>#REF!</v>
      </c>
      <c r="K48" s="43" t="e">
        <f t="shared" si="1"/>
        <v>#REF!</v>
      </c>
    </row>
  </sheetData>
  <sortState ref="A2:K47">
    <sortCondition ref="K2:K47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08DDD5-368C-4EE3-A80E-979468E75BEF}"/>
</file>

<file path=customXml/itemProps2.xml><?xml version="1.0" encoding="utf-8"?>
<ds:datastoreItem xmlns:ds="http://schemas.openxmlformats.org/officeDocument/2006/customXml" ds:itemID="{CD65CB0B-6B9F-4BA7-9436-5FCCBFEA2623}"/>
</file>

<file path=customXml/itemProps3.xml><?xml version="1.0" encoding="utf-8"?>
<ds:datastoreItem xmlns:ds="http://schemas.openxmlformats.org/officeDocument/2006/customXml" ds:itemID="{00FC6104-C89A-4CFD-9BCE-17CE66F74F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10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1.Readmission Scaling</vt:lpstr>
      <vt:lpstr>1.Aggregate Summary</vt:lpstr>
      <vt:lpstr>Appendix1.RRIP Modeling Results</vt:lpstr>
      <vt:lpstr>3.QBR Scaling </vt:lpstr>
      <vt:lpstr>Appendix2QBR Modeling Results</vt:lpstr>
      <vt:lpstr>5.MHAC Scaling</vt:lpstr>
      <vt:lpstr>3.MHAC Modeling Results</vt:lpstr>
      <vt:lpstr>4.Consolidated</vt:lpstr>
      <vt:lpstr>Summary Results for all 3 progr</vt:lpstr>
      <vt:lpstr>Revenue</vt:lpstr>
      <vt:lpstr>TwoScaleComparion</vt:lpstr>
      <vt:lpstr>'Appendix1.RRIP Modeling Results'!Print_Area</vt:lpstr>
      <vt:lpstr>'3.MHAC Modeling Results'!Print_Titles</vt:lpstr>
      <vt:lpstr>'4.Consolidated'!Print_Titles</vt:lpstr>
      <vt:lpstr>'Appendix2QBR Modeling Results'!Print_Titles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Elizabeth Haile</dc:creator>
  <cp:lastModifiedBy>Greg Reeves</cp:lastModifiedBy>
  <cp:lastPrinted>2015-02-27T21:39:22Z</cp:lastPrinted>
  <dcterms:created xsi:type="dcterms:W3CDTF">2015-01-15T15:13:06Z</dcterms:created>
  <dcterms:modified xsi:type="dcterms:W3CDTF">2015-03-05T00:42:10Z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