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andel\Downloads\"/>
    </mc:Choice>
  </mc:AlternateContent>
  <bookViews>
    <workbookView xWindow="0" yWindow="0" windowWidth="18954" windowHeight="6786" activeTab="2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Sheet1" sheetId="6" state="hidden" r:id="rId5"/>
    <sheet name="change log" sheetId="5" state="hidden" r:id="rId6"/>
  </sheets>
  <externalReferences>
    <externalReference r:id="rId7"/>
    <externalReference r:id="rId8"/>
    <externalReference r:id="rId9"/>
  </externalReferences>
  <definedNames>
    <definedName name="_xlnm._FilterDatabase" localSheetId="1" hidden="1">'Hospital PAU Savings'!$A$3:$WUM$51</definedName>
    <definedName name="_xlnm._FilterDatabase" localSheetId="4" hidden="1">Sheet1!$A$1:$D$1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Savings'!$A$1:$K$57</definedName>
    <definedName name="_xlnm.Print_Titles" localSheetId="1">'Hospital PAU Savings'!$2:$3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7" l="1"/>
  <c r="D52" i="7"/>
  <c r="G51" i="8" l="1"/>
  <c r="C4" i="2" l="1"/>
  <c r="F50" i="8" l="1"/>
  <c r="F38" i="8"/>
  <c r="F26" i="8"/>
  <c r="F22" i="8"/>
  <c r="F18" i="8"/>
  <c r="F14" i="8"/>
  <c r="F10" i="8"/>
  <c r="F6" i="8"/>
  <c r="F46" i="8"/>
  <c r="F42" i="8"/>
  <c r="F34" i="8"/>
  <c r="F30" i="8"/>
  <c r="F44" i="8"/>
  <c r="F36" i="8"/>
  <c r="F28" i="8"/>
  <c r="F20" i="8"/>
  <c r="F12" i="8"/>
  <c r="F4" i="8"/>
  <c r="F33" i="8"/>
  <c r="F25" i="8"/>
  <c r="F17" i="8"/>
  <c r="F9" i="8"/>
  <c r="F5" i="8"/>
  <c r="F45" i="8"/>
  <c r="F37" i="8"/>
  <c r="F29" i="8"/>
  <c r="F21" i="8"/>
  <c r="F13" i="8"/>
  <c r="F49" i="8"/>
  <c r="G40" i="8"/>
  <c r="G28" i="8"/>
  <c r="G16" i="8"/>
  <c r="G4" i="8"/>
  <c r="F3" i="8"/>
  <c r="F39" i="8"/>
  <c r="F27" i="8"/>
  <c r="F23" i="8"/>
  <c r="F19" i="8"/>
  <c r="F15" i="8"/>
  <c r="F11" i="8"/>
  <c r="F7" i="8"/>
  <c r="G47" i="8"/>
  <c r="G43" i="8"/>
  <c r="G39" i="8"/>
  <c r="G35" i="8"/>
  <c r="G31" i="8"/>
  <c r="G27" i="8"/>
  <c r="G23" i="8"/>
  <c r="G19" i="8"/>
  <c r="G15" i="8"/>
  <c r="G11" i="8"/>
  <c r="G7" i="8"/>
  <c r="G44" i="8"/>
  <c r="G32" i="8"/>
  <c r="G20" i="8"/>
  <c r="G8" i="8"/>
  <c r="F43" i="8"/>
  <c r="F31" i="8"/>
  <c r="G50" i="8"/>
  <c r="G46" i="8"/>
  <c r="G42" i="8"/>
  <c r="G38" i="8"/>
  <c r="G34" i="8"/>
  <c r="G30" i="8"/>
  <c r="G26" i="8"/>
  <c r="G22" i="8"/>
  <c r="G18" i="8"/>
  <c r="G14" i="8"/>
  <c r="G10" i="8"/>
  <c r="G6" i="8"/>
  <c r="G48" i="8"/>
  <c r="G36" i="8"/>
  <c r="G24" i="8"/>
  <c r="G12" i="8"/>
  <c r="F47" i="8"/>
  <c r="F35" i="8"/>
  <c r="G49" i="8"/>
  <c r="G45" i="8"/>
  <c r="G37" i="8"/>
  <c r="G33" i="8"/>
  <c r="G29" i="8"/>
  <c r="G25" i="8"/>
  <c r="G21" i="8"/>
  <c r="G17" i="8"/>
  <c r="G13" i="8"/>
  <c r="G9" i="8"/>
  <c r="G5" i="8"/>
  <c r="H52" i="8"/>
  <c r="F40" i="8"/>
  <c r="F32" i="8"/>
  <c r="F24" i="8"/>
  <c r="F16" i="8"/>
  <c r="F8" i="8"/>
  <c r="D52" i="8"/>
  <c r="G3" i="8"/>
  <c r="F48" i="8"/>
  <c r="E52" i="8"/>
  <c r="B17" i="2" s="1"/>
  <c r="C52" i="8"/>
  <c r="K52" i="8" l="1"/>
  <c r="G52" i="8"/>
  <c r="B16" i="2" s="1"/>
  <c r="B18" i="2" l="1"/>
  <c r="C17" i="2" s="1"/>
  <c r="D53" i="8"/>
  <c r="J52" i="8"/>
  <c r="C53" i="8"/>
  <c r="F52" i="8"/>
  <c r="C16" i="2" l="1"/>
  <c r="C5" i="2"/>
  <c r="I52" i="8"/>
  <c r="L52" i="8" s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0" i="2" l="1"/>
  <c r="M52" i="8"/>
  <c r="C18" i="2" l="1"/>
  <c r="C6" i="2"/>
  <c r="C53" i="7" l="1"/>
  <c r="C3" i="2" l="1"/>
  <c r="C11" i="2" l="1"/>
  <c r="C7" i="2"/>
  <c r="C8" i="2" s="1"/>
  <c r="D16" i="2" l="1"/>
  <c r="D17" i="2"/>
  <c r="C9" i="2"/>
  <c r="E17" i="2" l="1"/>
  <c r="E16" i="2"/>
  <c r="C12" i="2"/>
  <c r="D18" i="2" s="1"/>
  <c r="E18" i="2" l="1"/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3" i="7"/>
  <c r="H44" i="7"/>
  <c r="H45" i="7"/>
  <c r="H46" i="7"/>
  <c r="H47" i="7"/>
  <c r="H48" i="7"/>
  <c r="H49" i="7"/>
  <c r="H50" i="7"/>
  <c r="H51" i="7"/>
  <c r="H4" i="7"/>
  <c r="F43" i="10" l="1"/>
  <c r="D42" i="7" s="1"/>
  <c r="H53" i="7"/>
  <c r="I4" i="7" s="1"/>
  <c r="I49" i="7" l="1"/>
  <c r="J49" i="7" s="1"/>
  <c r="I53" i="7"/>
  <c r="I47" i="7"/>
  <c r="J47" i="7" s="1"/>
  <c r="I45" i="7"/>
  <c r="J45" i="7" s="1"/>
  <c r="I51" i="7"/>
  <c r="J51" i="7" s="1"/>
  <c r="I44" i="7"/>
  <c r="J44" i="7" s="1"/>
  <c r="I46" i="7"/>
  <c r="J46" i="7" s="1"/>
  <c r="I43" i="7"/>
  <c r="J43" i="7" s="1"/>
  <c r="I48" i="7"/>
  <c r="I50" i="7"/>
  <c r="J50" i="7" s="1"/>
  <c r="I10" i="7"/>
  <c r="J10" i="7" s="1"/>
  <c r="I26" i="7"/>
  <c r="J26" i="7" s="1"/>
  <c r="I7" i="7"/>
  <c r="J7" i="7" s="1"/>
  <c r="I23" i="7"/>
  <c r="I39" i="7"/>
  <c r="I20" i="7"/>
  <c r="J20" i="7" s="1"/>
  <c r="I36" i="7"/>
  <c r="I13" i="7"/>
  <c r="I29" i="7"/>
  <c r="J29" i="7" s="1"/>
  <c r="I14" i="7"/>
  <c r="J14" i="7" s="1"/>
  <c r="I30" i="7"/>
  <c r="I11" i="7"/>
  <c r="I27" i="7"/>
  <c r="J27" i="7" s="1"/>
  <c r="I8" i="7"/>
  <c r="J8" i="7" s="1"/>
  <c r="I24" i="7"/>
  <c r="J24" i="7" s="1"/>
  <c r="I40" i="7"/>
  <c r="J40" i="7" s="1"/>
  <c r="I17" i="7"/>
  <c r="J17" i="7" s="1"/>
  <c r="I33" i="7"/>
  <c r="J33" i="7" s="1"/>
  <c r="I18" i="7"/>
  <c r="I34" i="7"/>
  <c r="J34" i="7" s="1"/>
  <c r="I15" i="7"/>
  <c r="I31" i="7"/>
  <c r="J31" i="7" s="1"/>
  <c r="I12" i="7"/>
  <c r="J12" i="7" s="1"/>
  <c r="I28" i="7"/>
  <c r="I5" i="7"/>
  <c r="J5" i="7" s="1"/>
  <c r="I21" i="7"/>
  <c r="J21" i="7" s="1"/>
  <c r="I37" i="7"/>
  <c r="J37" i="7" s="1"/>
  <c r="I6" i="7"/>
  <c r="J6" i="7" s="1"/>
  <c r="I22" i="7"/>
  <c r="J22" i="7" s="1"/>
  <c r="I38" i="7"/>
  <c r="J38" i="7" s="1"/>
  <c r="I19" i="7"/>
  <c r="I35" i="7"/>
  <c r="J35" i="7" s="1"/>
  <c r="I16" i="7"/>
  <c r="J16" i="7" s="1"/>
  <c r="I32" i="7"/>
  <c r="J32" i="7" s="1"/>
  <c r="I9" i="7"/>
  <c r="J9" i="7" s="1"/>
  <c r="I25" i="7"/>
  <c r="J25" i="7" s="1"/>
  <c r="I41" i="7"/>
  <c r="J41" i="7"/>
  <c r="J19" i="7"/>
  <c r="J28" i="7"/>
  <c r="J39" i="7"/>
  <c r="J15" i="7"/>
  <c r="J36" i="7"/>
  <c r="J13" i="7"/>
  <c r="J4" i="7"/>
  <c r="J18" i="7"/>
  <c r="J23" i="7"/>
  <c r="J30" i="7"/>
  <c r="J11" i="7"/>
  <c r="J48" i="7"/>
  <c r="F40" i="10"/>
  <c r="D39" i="7" s="1"/>
  <c r="F11" i="10"/>
  <c r="D10" i="7" s="1"/>
  <c r="F46" i="10"/>
  <c r="D45" i="7" s="1"/>
  <c r="F51" i="10"/>
  <c r="D50" i="7" s="1"/>
  <c r="F38" i="10"/>
  <c r="D37" i="7" s="1"/>
  <c r="F28" i="10"/>
  <c r="D27" i="7" s="1"/>
  <c r="F35" i="10"/>
  <c r="D34" i="7" s="1"/>
  <c r="F5" i="10"/>
  <c r="D4" i="7" s="1"/>
  <c r="F23" i="10"/>
  <c r="D22" i="7" s="1"/>
  <c r="F33" i="10"/>
  <c r="F53" i="10"/>
  <c r="D53" i="7" s="1"/>
  <c r="F9" i="10"/>
  <c r="D8" i="7" s="1"/>
  <c r="F52" i="10"/>
  <c r="D51" i="7" s="1"/>
  <c r="F48" i="10"/>
  <c r="D47" i="7" s="1"/>
  <c r="F32" i="10"/>
  <c r="D31" i="7" s="1"/>
  <c r="F41" i="10"/>
  <c r="D40" i="7" s="1"/>
  <c r="F37" i="10"/>
  <c r="D36" i="7" s="1"/>
  <c r="F50" i="10"/>
  <c r="D49" i="7" s="1"/>
  <c r="F16" i="10"/>
  <c r="D15" i="7" s="1"/>
  <c r="F31" i="10"/>
  <c r="D30" i="7" s="1"/>
  <c r="F6" i="10"/>
  <c r="D5" i="7" s="1"/>
  <c r="F30" i="10"/>
  <c r="D29" i="7" s="1"/>
  <c r="F45" i="10"/>
  <c r="D44" i="7" s="1"/>
  <c r="F24" i="10"/>
  <c r="D23" i="7" s="1"/>
  <c r="F17" i="10"/>
  <c r="D16" i="7" s="1"/>
  <c r="F47" i="10"/>
  <c r="D46" i="7" s="1"/>
  <c r="F19" i="10"/>
  <c r="D18" i="7" s="1"/>
  <c r="F10" i="10"/>
  <c r="D9" i="7" s="1"/>
  <c r="F14" i="10"/>
  <c r="D13" i="7" s="1"/>
  <c r="F36" i="10"/>
  <c r="D35" i="7" s="1"/>
  <c r="F7" i="10"/>
  <c r="D6" i="7" s="1"/>
  <c r="F26" i="10"/>
  <c r="D25" i="7" s="1"/>
  <c r="F12" i="10"/>
  <c r="D11" i="7" s="1"/>
  <c r="F18" i="10"/>
  <c r="D17" i="7" s="1"/>
  <c r="F15" i="10"/>
  <c r="D14" i="7" s="1"/>
  <c r="F44" i="10"/>
  <c r="D43" i="7" s="1"/>
  <c r="F34" i="10"/>
  <c r="D33" i="7" s="1"/>
  <c r="F22" i="10"/>
  <c r="D21" i="7" s="1"/>
  <c r="F25" i="10"/>
  <c r="D24" i="7" s="1"/>
  <c r="F8" i="10"/>
  <c r="D7" i="7" s="1"/>
  <c r="F39" i="10"/>
  <c r="D38" i="7" s="1"/>
  <c r="F29" i="10"/>
  <c r="D28" i="7" s="1"/>
  <c r="F42" i="10"/>
  <c r="D41" i="7" s="1"/>
  <c r="F49" i="10"/>
  <c r="D48" i="7" s="1"/>
  <c r="F20" i="10"/>
  <c r="D19" i="7" s="1"/>
  <c r="F27" i="10"/>
  <c r="D26" i="7" s="1"/>
  <c r="F21" i="10"/>
  <c r="D20" i="7" s="1"/>
  <c r="E4" i="7" l="1"/>
  <c r="F4" i="7" s="1"/>
  <c r="E53" i="7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F13" i="10"/>
  <c r="D12" i="7" s="1"/>
  <c r="E12" i="7" s="1"/>
  <c r="F12" i="7" s="1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J53" i="7"/>
  <c r="K42" i="7" s="1"/>
  <c r="K36" i="7" l="1"/>
  <c r="K44" i="7"/>
  <c r="K13" i="7"/>
  <c r="K11" i="7"/>
  <c r="K5" i="7"/>
  <c r="K18" i="7"/>
  <c r="K24" i="7"/>
  <c r="K20" i="7"/>
  <c r="K31" i="7"/>
  <c r="K41" i="7"/>
  <c r="K22" i="7"/>
  <c r="K6" i="7"/>
  <c r="K47" i="7"/>
  <c r="K12" i="7"/>
  <c r="K46" i="7"/>
  <c r="K16" i="7"/>
  <c r="K25" i="7"/>
  <c r="K45" i="7"/>
  <c r="L45" i="7" s="1"/>
  <c r="M45" i="7" s="1"/>
  <c r="K14" i="7"/>
  <c r="K21" i="7"/>
  <c r="K15" i="7"/>
  <c r="K23" i="7"/>
  <c r="K9" i="7"/>
  <c r="K51" i="7"/>
  <c r="K48" i="7"/>
  <c r="K49" i="7"/>
  <c r="K10" i="7"/>
  <c r="K39" i="7"/>
  <c r="K29" i="7"/>
  <c r="K43" i="7"/>
  <c r="K8" i="7"/>
  <c r="K38" i="7"/>
  <c r="K40" i="7"/>
  <c r="K30" i="7"/>
  <c r="K19" i="7"/>
  <c r="K35" i="7"/>
  <c r="K28" i="7"/>
  <c r="K17" i="7"/>
  <c r="K27" i="7"/>
  <c r="K7" i="7"/>
  <c r="K50" i="7"/>
  <c r="K26" i="7"/>
  <c r="K33" i="7"/>
  <c r="K32" i="7"/>
  <c r="K34" i="7"/>
  <c r="K37" i="7"/>
  <c r="K4" i="7"/>
  <c r="F53" i="7"/>
  <c r="G42" i="7" l="1"/>
  <c r="G45" i="7"/>
  <c r="G50" i="7"/>
  <c r="L50" i="7" s="1"/>
  <c r="M50" i="7" s="1"/>
  <c r="G49" i="7"/>
  <c r="L49" i="7" s="1"/>
  <c r="M49" i="7" s="1"/>
  <c r="G46" i="7"/>
  <c r="L46" i="7" s="1"/>
  <c r="M46" i="7" s="1"/>
  <c r="G47" i="7"/>
  <c r="L47" i="7" s="1"/>
  <c r="M47" i="7" s="1"/>
  <c r="G51" i="7"/>
  <c r="L51" i="7" s="1"/>
  <c r="M51" i="7" s="1"/>
  <c r="G44" i="7"/>
  <c r="L44" i="7" s="1"/>
  <c r="M44" i="7" s="1"/>
  <c r="G43" i="7"/>
  <c r="L43" i="7" s="1"/>
  <c r="M43" i="7" s="1"/>
  <c r="G48" i="7"/>
  <c r="L48" i="7" s="1"/>
  <c r="M48" i="7" s="1"/>
  <c r="G4" i="7"/>
  <c r="L4" i="7" s="1"/>
  <c r="G7" i="7"/>
  <c r="L7" i="7" s="1"/>
  <c r="M7" i="7" s="1"/>
  <c r="G10" i="7"/>
  <c r="G34" i="7"/>
  <c r="L34" i="7" s="1"/>
  <c r="M34" i="7" s="1"/>
  <c r="G13" i="7"/>
  <c r="L13" i="7" s="1"/>
  <c r="M13" i="7" s="1"/>
  <c r="G17" i="7"/>
  <c r="L17" i="7" s="1"/>
  <c r="M17" i="7" s="1"/>
  <c r="G16" i="7"/>
  <c r="L16" i="7" s="1"/>
  <c r="M16" i="7" s="1"/>
  <c r="G39" i="7"/>
  <c r="L39" i="7" s="1"/>
  <c r="M39" i="7" s="1"/>
  <c r="G6" i="7"/>
  <c r="L6" i="7" s="1"/>
  <c r="M6" i="7" s="1"/>
  <c r="G29" i="7"/>
  <c r="L29" i="7" s="1"/>
  <c r="M29" i="7" s="1"/>
  <c r="G27" i="7"/>
  <c r="L27" i="7" s="1"/>
  <c r="M27" i="7" s="1"/>
  <c r="G14" i="7"/>
  <c r="L14" i="7" s="1"/>
  <c r="M14" i="7" s="1"/>
  <c r="G30" i="7"/>
  <c r="L30" i="7" s="1"/>
  <c r="M30" i="7" s="1"/>
  <c r="G31" i="7"/>
  <c r="L31" i="7" s="1"/>
  <c r="M31" i="7" s="1"/>
  <c r="G38" i="7"/>
  <c r="G37" i="7"/>
  <c r="L37" i="7" s="1"/>
  <c r="M37" i="7" s="1"/>
  <c r="G35" i="7"/>
  <c r="L35" i="7" s="1"/>
  <c r="M35" i="7" s="1"/>
  <c r="G41" i="7"/>
  <c r="L41" i="7" s="1"/>
  <c r="M41" i="7" s="1"/>
  <c r="G19" i="7"/>
  <c r="L19" i="7" s="1"/>
  <c r="M19" i="7" s="1"/>
  <c r="G33" i="7"/>
  <c r="L33" i="7" s="1"/>
  <c r="M33" i="7" s="1"/>
  <c r="G23" i="7"/>
  <c r="L23" i="7" s="1"/>
  <c r="M23" i="7" s="1"/>
  <c r="G15" i="7"/>
  <c r="L15" i="7" s="1"/>
  <c r="M15" i="7" s="1"/>
  <c r="G11" i="7"/>
  <c r="L11" i="7" s="1"/>
  <c r="M11" i="7" s="1"/>
  <c r="G20" i="7"/>
  <c r="L20" i="7" s="1"/>
  <c r="M20" i="7" s="1"/>
  <c r="G12" i="7"/>
  <c r="L12" i="7" s="1"/>
  <c r="M12" i="7" s="1"/>
  <c r="G28" i="7"/>
  <c r="L28" i="7" s="1"/>
  <c r="M28" i="7" s="1"/>
  <c r="G25" i="7"/>
  <c r="L25" i="7" s="1"/>
  <c r="M25" i="7" s="1"/>
  <c r="G22" i="7"/>
  <c r="L22" i="7" s="1"/>
  <c r="M22" i="7" s="1"/>
  <c r="G24" i="7"/>
  <c r="L24" i="7" s="1"/>
  <c r="M24" i="7" s="1"/>
  <c r="G5" i="7"/>
  <c r="L5" i="7" s="1"/>
  <c r="M5" i="7" s="1"/>
  <c r="G21" i="7"/>
  <c r="L21" i="7" s="1"/>
  <c r="M21" i="7" s="1"/>
  <c r="G26" i="7"/>
  <c r="L26" i="7" s="1"/>
  <c r="M26" i="7" s="1"/>
  <c r="G36" i="7"/>
  <c r="L36" i="7" s="1"/>
  <c r="M36" i="7" s="1"/>
  <c r="G40" i="7"/>
  <c r="L40" i="7" s="1"/>
  <c r="M40" i="7" s="1"/>
  <c r="G8" i="7"/>
  <c r="L8" i="7" s="1"/>
  <c r="M8" i="7" s="1"/>
  <c r="G32" i="7"/>
  <c r="L32" i="7" s="1"/>
  <c r="M32" i="7" s="1"/>
  <c r="G18" i="7"/>
  <c r="L18" i="7" s="1"/>
  <c r="M18" i="7" s="1"/>
  <c r="G9" i="7"/>
  <c r="L9" i="7" s="1"/>
  <c r="M9" i="7" s="1"/>
  <c r="L38" i="7"/>
  <c r="M38" i="7" s="1"/>
  <c r="L10" i="7"/>
  <c r="M10" i="7" s="1"/>
  <c r="K53" i="7"/>
  <c r="G53" i="7" l="1"/>
  <c r="M4" i="7"/>
  <c r="L53" i="7"/>
  <c r="M53" i="7" s="1"/>
</calcChain>
</file>

<file path=xl/sharedStrings.xml><?xml version="1.0" encoding="utf-8"?>
<sst xmlns="http://schemas.openxmlformats.org/spreadsheetml/2006/main" count="307" uniqueCount="210">
  <si>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</si>
  <si>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</si>
  <si>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</si>
  <si>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</si>
  <si>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</si>
  <si>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</si>
  <si>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</si>
  <si>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</si>
  <si>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</si>
  <si>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</si>
  <si>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</si>
  <si>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</si>
  <si>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</si>
  <si>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</si>
  <si>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</si>
  <si>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</si>
  <si>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</si>
  <si>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</si>
  <si>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</si>
  <si>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</si>
  <si>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</si>
  <si>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</si>
  <si>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</si>
  <si>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</si>
  <si>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</si>
  <si>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</si>
  <si>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</si>
  <si>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</si>
  <si>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</si>
  <si>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</si>
  <si>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</si>
  <si>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</si>
  <si>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</si>
  <si>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</si>
  <si>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</si>
  <si>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</si>
  <si>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</si>
  <si>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</si>
  <si>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</si>
  <si>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</si>
  <si>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</si>
  <si>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</si>
  <si>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</si>
  <si>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</si>
  <si>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</si>
  <si>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</si>
  <si>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</si>
  <si>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</si>
  <si>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</si>
  <si>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</si>
  <si>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</si>
  <si>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</si>
  <si>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</si>
  <si>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</si>
  <si>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</si>
  <si>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</si>
  <si>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</si>
  <si>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</si>
  <si>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</si>
  <si>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</si>
  <si>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</si>
  <si>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</si>
  <si>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</si>
  <si>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</si>
  <si>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</si>
  <si>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</si>
  <si>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 xml:space="preserve"> RY19 Estimated Permanent Total Revenue</t>
  </si>
  <si>
    <t>Total</t>
  </si>
  <si>
    <t>Required Percent reduction pau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</si>
  <si>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</si>
  <si>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</si>
  <si>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</si>
  <si>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</si>
  <si>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</si>
  <si>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</si>
  <si>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</si>
  <si>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</si>
  <si>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</si>
  <si>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</si>
  <si>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</si>
  <si>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</si>
  <si>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</si>
  <si>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</si>
  <si>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</si>
  <si>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</si>
  <si>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</si>
  <si>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</si>
  <si>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</si>
  <si>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</si>
  <si>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</si>
  <si>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</si>
  <si>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</si>
  <si>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</si>
  <si>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</si>
  <si>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</si>
  <si>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</si>
  <si>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</si>
  <si>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</si>
  <si>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</si>
  <si>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</si>
  <si>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</si>
  <si>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</si>
  <si>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</si>
  <si>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</si>
  <si>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</si>
  <si>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</si>
  <si>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</si>
  <si>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</si>
  <si>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</si>
  <si>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</si>
  <si>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</si>
  <si>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</si>
  <si>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</si>
  <si>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</si>
  <si>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</si>
  <si>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</si>
  <si>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</si>
  <si>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</si>
  <si>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</si>
  <si>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</si>
  <si>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</si>
  <si>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</si>
  <si>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</si>
  <si>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</si>
  <si>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</si>
  <si>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</si>
  <si>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</si>
  <si>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</si>
  <si>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</si>
  <si>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</si>
  <si>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</si>
  <si>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</si>
  <si>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</si>
  <si>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</si>
  <si>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</si>
  <si>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</si>
  <si>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</si>
  <si>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</si>
  <si>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</si>
  <si>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</si>
  <si>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</si>
  <si>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</si>
  <si>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</si>
  <si>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</si>
  <si>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</si>
  <si>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</si>
  <si>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</si>
  <si>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</si>
  <si>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</si>
  <si>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</si>
  <si>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</si>
  <si>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</si>
  <si>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</si>
  <si>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</si>
  <si>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</si>
  <si>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RY2021 CYTD2019 PAU Performance</t>
  </si>
  <si>
    <t>PQIs Charges</t>
  </si>
  <si>
    <t>non PQI or PDI Readmission Charges</t>
  </si>
  <si>
    <t>pdi charges</t>
  </si>
  <si>
    <t>PAU Readmissions Adjustment %</t>
  </si>
  <si>
    <t>PQI and PDI charges</t>
  </si>
  <si>
    <t xml:space="preserve">CY19 Readmissions % </t>
  </si>
  <si>
    <t>PAU reduction %</t>
  </si>
  <si>
    <t>Estimated non PQI RYTD2021 Readmission Performance %</t>
  </si>
  <si>
    <t>PAU reduction $</t>
  </si>
  <si>
    <t>Total experienced PAU $ CY 2019</t>
  </si>
  <si>
    <t>CY 19 Avoidable Admissions Performance</t>
  </si>
  <si>
    <t>Avoidable Admissions Reduction</t>
  </si>
  <si>
    <t>Avoidable Admission Adjustment $</t>
  </si>
  <si>
    <t>Avoidable Admissions Adjustment $(Normalized)</t>
  </si>
  <si>
    <t>Adjusted proposed required revenue reduction % (Rounded to four Decimal Points)</t>
  </si>
  <si>
    <t>RY21 Inflation Factor + Volume</t>
  </si>
  <si>
    <t>G = F*A</t>
  </si>
  <si>
    <t>H</t>
  </si>
  <si>
    <t>I=A*H</t>
  </si>
  <si>
    <t>J = G/I</t>
  </si>
  <si>
    <t>F = round(E,4)</t>
  </si>
  <si>
    <t>Updated 3/9/20</t>
  </si>
  <si>
    <t>Laurel</t>
  </si>
  <si>
    <t>% PQIPDI</t>
  </si>
  <si>
    <t>% Readmit</t>
  </si>
  <si>
    <t>UM-PG</t>
  </si>
  <si>
    <t>RY20 Total Approved Permanent Revenue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</si>
  <si>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</si>
  <si>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</si>
  <si>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</si>
  <si>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</si>
  <si>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</si>
  <si>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</si>
  <si>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</si>
  <si>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</si>
  <si>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</si>
  <si>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</si>
  <si>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</si>
  <si>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</si>
  <si>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PAU Revenue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</si>
  <si>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</si>
  <si>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</si>
  <si>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</si>
  <si>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</si>
  <si>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</si>
  <si>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</si>
  <si>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RY2021 PAU Savings Reductions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</si>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</sst>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##,###,###,###,###,###,##0"/>
    <numFmt numFmtId="166" formatCode="_(&quot;$&quot;* #,##0_);_(&quot;$&quot;* \(#,##0\);_(&quot;$&quot;* &quot;-&quot;??_);_(@_)"/>
    <numFmt numFmtId="167" formatCode="0.00000%"/>
    <numFmt numFmtId="168" formatCode="0.000%"/>
    <numFmt numFmtId="169" formatCode="0.0000%"/>
    <numFmt numFmtId="170" formatCode="&quot;$&quot;#,##0.00"/>
    <numFmt numFmtId="171" formatCode="_(* #,##0_);_(* \(#,##0\);_(* &quot;-&quot;??_);_(@_)"/>
    <numFmt numFmtId="172" formatCode="0.0%"/>
    <numFmt numFmtId="173" formatCode="0.0"/>
    <numFmt numFmtId="174" formatCode="0.0000000%"/>
    <numFmt numFmtId="175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0" fontId="0" fillId="0" borderId="0" xfId="2" applyNumberFormat="1" applyFont="1"/>
    <xf numFmtId="168" fontId="0" fillId="0" borderId="0" xfId="2" applyNumberFormat="1" applyFont="1"/>
    <xf numFmtId="0" fontId="8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 applyFont="1"/>
    <xf numFmtId="8" fontId="0" fillId="0" borderId="0" xfId="0" applyNumberFormat="1" applyFont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/>
    <xf numFmtId="0" fontId="15" fillId="0" borderId="0" xfId="0" applyFont="1" applyFill="1"/>
    <xf numFmtId="0" fontId="14" fillId="0" borderId="0" xfId="0" applyFont="1" applyBorder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5" fillId="0" borderId="0" xfId="0" applyNumberFormat="1" applyFont="1"/>
    <xf numFmtId="169" fontId="15" fillId="0" borderId="0" xfId="2" applyNumberFormat="1" applyFont="1" applyAlignment="1">
      <alignment horizontal="right"/>
    </xf>
    <xf numFmtId="0" fontId="0" fillId="0" borderId="0" xfId="0"/>
    <xf numFmtId="164" fontId="0" fillId="0" borderId="0" xfId="0" applyNumberFormat="1" applyFon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64" fontId="9" fillId="0" borderId="4" xfId="0" applyNumberFormat="1" applyFont="1" applyBorder="1" applyAlignment="1">
      <alignment horizontal="right"/>
    </xf>
    <xf numFmtId="10" fontId="8" fillId="0" borderId="4" xfId="3" applyNumberFormat="1" applyFont="1" applyFill="1" applyBorder="1" applyAlignment="1">
      <alignment horizontal="right"/>
    </xf>
    <xf numFmtId="10" fontId="9" fillId="5" borderId="4" xfId="2" applyNumberFormat="1" applyFont="1" applyFill="1" applyBorder="1" applyAlignment="1">
      <alignment horizontal="right"/>
    </xf>
    <xf numFmtId="0" fontId="17" fillId="0" borderId="2" xfId="0" applyFont="1" applyBorder="1"/>
    <xf numFmtId="0" fontId="17" fillId="0" borderId="2" xfId="0" applyFont="1" applyFill="1" applyBorder="1"/>
    <xf numFmtId="0" fontId="17" fillId="0" borderId="0" xfId="0" applyFont="1" applyFill="1" applyBorder="1"/>
    <xf numFmtId="164" fontId="9" fillId="0" borderId="0" xfId="0" applyNumberFormat="1" applyFont="1" applyBorder="1" applyAlignment="1">
      <alignment horizontal="right"/>
    </xf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Fill="1" applyBorder="1" applyAlignment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8" fillId="0" borderId="2" xfId="0" applyFont="1" applyFill="1" applyBorder="1"/>
    <xf numFmtId="14" fontId="8" fillId="0" borderId="2" xfId="0" applyNumberFormat="1" applyFont="1" applyFill="1" applyBorder="1"/>
    <xf numFmtId="0" fontId="20" fillId="6" borderId="2" xfId="0" applyFont="1" applyFill="1" applyBorder="1"/>
    <xf numFmtId="0" fontId="8" fillId="0" borderId="2" xfId="0" applyFont="1" applyBorder="1" applyAlignment="1">
      <alignment wrapText="1"/>
    </xf>
    <xf numFmtId="0" fontId="6" fillId="4" borderId="2" xfId="0" applyFont="1" applyFill="1" applyBorder="1"/>
    <xf numFmtId="0" fontId="7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7" fontId="7" fillId="0" borderId="2" xfId="2" applyNumberFormat="1" applyFont="1" applyBorder="1" applyAlignment="1">
      <alignment vertical="center"/>
    </xf>
    <xf numFmtId="0" fontId="7" fillId="0" borderId="2" xfId="0" applyFont="1" applyBorder="1"/>
    <xf numFmtId="164" fontId="7" fillId="0" borderId="2" xfId="1" applyNumberFormat="1" applyFont="1" applyBorder="1"/>
    <xf numFmtId="3" fontId="23" fillId="0" borderId="2" xfId="0" applyNumberFormat="1" applyFont="1" applyBorder="1"/>
    <xf numFmtId="10" fontId="23" fillId="0" borderId="2" xfId="2" applyNumberFormat="1" applyFont="1" applyBorder="1"/>
    <xf numFmtId="0" fontId="7" fillId="0" borderId="0" xfId="0" applyFont="1"/>
    <xf numFmtId="0" fontId="6" fillId="4" borderId="2" xfId="0" applyFont="1" applyFill="1" applyBorder="1" applyAlignment="1">
      <alignment horizontal="right"/>
    </xf>
    <xf numFmtId="0" fontId="7" fillId="0" borderId="2" xfId="0" applyFont="1" applyFill="1" applyBorder="1"/>
    <xf numFmtId="0" fontId="6" fillId="0" borderId="2" xfId="0" applyFont="1" applyFill="1" applyBorder="1"/>
    <xf numFmtId="0" fontId="6" fillId="0" borderId="2" xfId="0" applyFont="1" applyBorder="1"/>
    <xf numFmtId="170" fontId="0" fillId="0" borderId="0" xfId="4" applyNumberFormat="1" applyFont="1"/>
    <xf numFmtId="171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0" fillId="0" borderId="0" xfId="1" applyFont="1"/>
    <xf numFmtId="172" fontId="0" fillId="0" borderId="0" xfId="2" applyNumberFormat="1" applyFont="1"/>
    <xf numFmtId="0" fontId="0" fillId="7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6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6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170" fontId="15" fillId="0" borderId="0" xfId="0" applyNumberFormat="1" applyFont="1" applyAlignment="1">
      <alignment horizontal="right"/>
    </xf>
    <xf numFmtId="164" fontId="15" fillId="0" borderId="0" xfId="0" applyNumberFormat="1" applyFont="1" applyBorder="1"/>
    <xf numFmtId="165" fontId="4" fillId="3" borderId="2" xfId="0" applyNumberFormat="1" applyFont="1" applyFill="1" applyBorder="1" applyAlignment="1" applyProtection="1">
      <alignment horizontal="right" wrapText="1"/>
    </xf>
    <xf numFmtId="43" fontId="0" fillId="0" borderId="0" xfId="4" applyFont="1"/>
    <xf numFmtId="168" fontId="24" fillId="0" borderId="0" xfId="2" applyNumberFormat="1" applyFont="1"/>
    <xf numFmtId="0" fontId="24" fillId="0" borderId="0" xfId="0" applyFont="1"/>
    <xf numFmtId="171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Border="1" applyAlignment="1">
      <alignment wrapText="1"/>
    </xf>
    <xf numFmtId="10" fontId="15" fillId="0" borderId="2" xfId="2" applyNumberFormat="1" applyFont="1" applyBorder="1"/>
    <xf numFmtId="173" fontId="9" fillId="0" borderId="4" xfId="0" applyNumberFormat="1" applyFont="1" applyBorder="1" applyAlignment="1">
      <alignment horizontal="right"/>
    </xf>
    <xf numFmtId="174" fontId="6" fillId="0" borderId="2" xfId="0" applyNumberFormat="1" applyFont="1" applyBorder="1"/>
    <xf numFmtId="0" fontId="7" fillId="0" borderId="2" xfId="0" applyFont="1" applyFill="1" applyBorder="1" applyAlignment="1">
      <alignment vertical="center" wrapText="1"/>
    </xf>
    <xf numFmtId="10" fontId="7" fillId="0" borderId="2" xfId="0" applyNumberFormat="1" applyFont="1" applyBorder="1"/>
    <xf numFmtId="10" fontId="6" fillId="0" borderId="2" xfId="0" applyNumberFormat="1" applyFont="1" applyBorder="1"/>
    <xf numFmtId="44" fontId="0" fillId="0" borderId="2" xfId="0" applyNumberFormat="1" applyBorder="1"/>
    <xf numFmtId="172" fontId="0" fillId="0" borderId="2" xfId="2" applyNumberFormat="1" applyFont="1" applyBorder="1"/>
    <xf numFmtId="166" fontId="0" fillId="0" borderId="2" xfId="1" applyNumberFormat="1" applyFont="1" applyBorder="1"/>
    <xf numFmtId="0" fontId="24" fillId="0" borderId="7" xfId="0" applyFont="1" applyFill="1" applyBorder="1"/>
    <xf numFmtId="172" fontId="24" fillId="8" borderId="2" xfId="2" applyNumberFormat="1" applyFont="1" applyFill="1" applyBorder="1"/>
    <xf numFmtId="0" fontId="0" fillId="0" borderId="6" xfId="0" applyBorder="1"/>
    <xf numFmtId="10" fontId="24" fillId="8" borderId="2" xfId="2" applyNumberFormat="1" applyFont="1" applyFill="1" applyBorder="1"/>
    <xf numFmtId="10" fontId="15" fillId="0" borderId="2" xfId="0" applyNumberFormat="1" applyFont="1" applyBorder="1"/>
    <xf numFmtId="0" fontId="18" fillId="9" borderId="2" xfId="0" applyFont="1" applyFill="1" applyBorder="1" applyAlignment="1">
      <alignment wrapText="1"/>
    </xf>
    <xf numFmtId="164" fontId="19" fillId="9" borderId="2" xfId="0" applyNumberFormat="1" applyFont="1" applyFill="1" applyBorder="1" applyAlignment="1">
      <alignment horizontal="right" wrapText="1"/>
    </xf>
    <xf numFmtId="164" fontId="19" fillId="9" borderId="2" xfId="4" applyNumberFormat="1" applyFont="1" applyFill="1" applyBorder="1" applyAlignment="1">
      <alignment horizontal="right" wrapText="1"/>
    </xf>
    <xf numFmtId="10" fontId="14" fillId="9" borderId="2" xfId="2" applyNumberFormat="1" applyFont="1" applyFill="1" applyBorder="1"/>
    <xf numFmtId="0" fontId="15" fillId="0" borderId="0" xfId="0" applyFont="1" applyFill="1" applyBorder="1" applyAlignment="1">
      <alignment wrapText="1"/>
    </xf>
    <xf numFmtId="164" fontId="15" fillId="0" borderId="0" xfId="4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/>
    <xf numFmtId="173" fontId="5" fillId="10" borderId="4" xfId="0" applyNumberFormat="1" applyFont="1" applyFill="1" applyBorder="1" applyAlignment="1">
      <alignment horizontal="right"/>
    </xf>
    <xf numFmtId="10" fontId="20" fillId="10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10" borderId="2" xfId="0" applyNumberFormat="1" applyFont="1" applyFill="1" applyBorder="1" applyAlignment="1">
      <alignment horizontal="right" wrapText="1"/>
    </xf>
    <xf numFmtId="10" fontId="20" fillId="10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10" fontId="0" fillId="7" borderId="0" xfId="2" applyNumberFormat="1" applyFont="1" applyFill="1"/>
    <xf numFmtId="0" fontId="0" fillId="10" borderId="2" xfId="0" applyFill="1" applyBorder="1"/>
    <xf numFmtId="166" fontId="0" fillId="10" borderId="2" xfId="1" applyNumberFormat="1" applyFont="1" applyFill="1" applyBorder="1"/>
    <xf numFmtId="166" fontId="0" fillId="10" borderId="2" xfId="0" applyNumberFormat="1" applyFill="1" applyBorder="1"/>
    <xf numFmtId="165" fontId="5" fillId="10" borderId="2" xfId="0" applyNumberFormat="1" applyFont="1" applyFill="1" applyBorder="1" applyAlignment="1" applyProtection="1">
      <alignment horizontal="right" wrapText="1"/>
    </xf>
    <xf numFmtId="2" fontId="0" fillId="0" borderId="2" xfId="0" applyNumberFormat="1" applyBorder="1"/>
    <xf numFmtId="172" fontId="15" fillId="0" borderId="0" xfId="2" applyNumberFormat="1" applyFont="1" applyAlignment="1">
      <alignment horizontal="right"/>
    </xf>
    <xf numFmtId="0" fontId="6" fillId="4" borderId="2" xfId="0" applyFont="1" applyFill="1" applyBorder="1" applyAlignment="1">
      <alignment wrapText="1"/>
    </xf>
    <xf numFmtId="175" fontId="0" fillId="0" borderId="2" xfId="2" applyNumberFormat="1" applyFont="1" applyBorder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sas\methodology\CPBM\Quality\SCALING\RY%202018\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Quality Program Totals"/>
      <sheetName val="b.Consolidated"/>
      <sheetName val="Source Revenue"/>
      <sheetName val="Source Medicaid"/>
      <sheetName val="CMS VBP"/>
      <sheetName val="CMS Readmissions"/>
      <sheetName val="CMS HAC"/>
      <sheetName val="Source MHAC"/>
      <sheetName val="1.MHAC Scaling"/>
      <sheetName val="2.MHAC Modeling Results"/>
      <sheetName val="Source Readmission"/>
      <sheetName val="3.Readmission Scaling"/>
      <sheetName val="4.RRIP Modeling Results"/>
      <sheetName val="6.QBR Modeling Results"/>
      <sheetName val="RY17 QBR"/>
      <sheetName val="Source  PAU%"/>
      <sheetName val="7a.Savings"/>
      <sheetName val="7. PAU Savings to Use"/>
      <sheetName val="7. PAU Savings Compare Methods"/>
      <sheetName val="SourceCMMI CY13 - CY15 MayRPT"/>
    </sheetNames>
    <sheetDataSet>
      <sheetData sheetId="0"/>
      <sheetData sheetId="1"/>
      <sheetData sheetId="2"/>
      <sheetData sheetId="3">
        <row r="52">
          <cell r="C52">
            <v>15753659372.135414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2">
          <cell r="D52">
            <v>0.32197272727272719</v>
          </cell>
        </row>
        <row r="57">
          <cell r="B57">
            <v>0.10979999999999999</v>
          </cell>
          <cell r="C57">
            <v>-0.02</v>
          </cell>
        </row>
        <row r="58">
          <cell r="B58">
            <v>0.60029999999999994</v>
          </cell>
          <cell r="C58">
            <v>0.01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>
            <v>0</v>
          </cell>
          <cell r="C10">
            <v>0</v>
          </cell>
          <cell r="D10">
            <v>0</v>
          </cell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>
            <v>0</v>
          </cell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>
            <v>0</v>
          </cell>
          <cell r="C43">
            <v>0</v>
          </cell>
          <cell r="D43">
            <v>0</v>
          </cell>
          <cell r="E43">
            <v>210058</v>
          </cell>
          <cell r="F43">
            <v>0</v>
          </cell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18"/>
  <sheetViews>
    <sheetView workbookViewId="0">
      <selection activeCell="C13" sqref="C13"/>
    </sheetView>
  </sheetViews>
  <sheetFormatPr defaultColWidth="8.83984375" defaultRowHeight="14.4" x14ac:dyDescent="0.55000000000000004"/>
  <cols>
    <col min="1" max="1" width="52.68359375" style="9" customWidth="1"/>
    <col min="2" max="3" width="19.26171875" style="9" customWidth="1"/>
    <col min="4" max="4" width="22.26171875" style="9" bestFit="1" customWidth="1"/>
    <col min="5" max="5" width="15.26171875" style="9" bestFit="1" customWidth="1"/>
    <col min="6" max="6" width="16" style="9" bestFit="1" customWidth="1"/>
    <col min="7" max="16384" width="8.83984375" style="9"/>
  </cols>
  <sheetData>
    <row r="2" spans="1:6" ht="15.6" x14ac:dyDescent="0.6">
      <c r="A2" s="47" t="s">
        <v>187</v>
      </c>
      <c r="B2" s="47" t="s">
        <v>50</v>
      </c>
      <c r="C2" s="58"/>
    </row>
    <row r="3" spans="1:6" ht="15" customHeight="1" x14ac:dyDescent="0.6">
      <c r="A3" s="95" t="s">
        <v>182</v>
      </c>
      <c r="B3" s="49" t="s">
        <v>51</v>
      </c>
      <c r="C3" s="55">
        <f>'Hospital PAU Savings'!C53</f>
        <v>17695722212.307617</v>
      </c>
      <c r="D3" s="88"/>
      <c r="F3" s="73"/>
    </row>
    <row r="4" spans="1:6" ht="15" customHeight="1" x14ac:dyDescent="0.6">
      <c r="A4" s="95" t="s">
        <v>171</v>
      </c>
      <c r="B4" s="49" t="s">
        <v>53</v>
      </c>
      <c r="C4" s="56">
        <f>2.56%+0.16%</f>
        <v>2.7200000000000002E-2</v>
      </c>
      <c r="D4" s="88"/>
    </row>
    <row r="5" spans="1:6" ht="15" customHeight="1" x14ac:dyDescent="0.6">
      <c r="A5" s="48" t="s">
        <v>165</v>
      </c>
      <c r="B5" s="49" t="s">
        <v>62</v>
      </c>
      <c r="C5" s="55">
        <f>'Statewide PAU Revenue'!F52</f>
        <v>1862217148.4800007</v>
      </c>
      <c r="D5" s="88"/>
    </row>
    <row r="6" spans="1:6" ht="15.6" x14ac:dyDescent="0.6">
      <c r="A6" s="50" t="s">
        <v>64</v>
      </c>
      <c r="B6" s="39" t="s">
        <v>63</v>
      </c>
      <c r="C6" s="51">
        <f>-C4*C5</f>
        <v>-50652306.438656025</v>
      </c>
      <c r="D6" s="89"/>
      <c r="E6" s="4"/>
    </row>
    <row r="7" spans="1:6" ht="15.6" x14ac:dyDescent="0.6">
      <c r="A7" s="50" t="s">
        <v>52</v>
      </c>
      <c r="B7" s="39" t="s">
        <v>65</v>
      </c>
      <c r="C7" s="52">
        <f>C6/C3</f>
        <v>-2.8624040223363505E-3</v>
      </c>
      <c r="D7" s="23"/>
      <c r="E7" s="10"/>
    </row>
    <row r="8" spans="1:6" ht="15.6" x14ac:dyDescent="0.6">
      <c r="A8" s="60" t="s">
        <v>170</v>
      </c>
      <c r="B8" s="61" t="s">
        <v>176</v>
      </c>
      <c r="C8" s="94">
        <f>ROUND(C7,4)</f>
        <v>-2.8999999999999998E-3</v>
      </c>
      <c r="D8" s="87"/>
    </row>
    <row r="9" spans="1:6" ht="15.6" x14ac:dyDescent="0.6">
      <c r="A9" s="59" t="s">
        <v>194</v>
      </c>
      <c r="B9" s="53" t="s">
        <v>172</v>
      </c>
      <c r="C9" s="51">
        <f>C8*C3</f>
        <v>-51317594.415692084</v>
      </c>
      <c r="D9" s="5"/>
      <c r="E9" s="86"/>
    </row>
    <row r="10" spans="1:6" ht="15.6" x14ac:dyDescent="0.6">
      <c r="A10" s="50" t="s">
        <v>54</v>
      </c>
      <c r="B10" s="39" t="s">
        <v>173</v>
      </c>
      <c r="C10" s="96">
        <f>'Statewide PAU Revenue'!I52</f>
        <v>0.1048490119088199</v>
      </c>
    </row>
    <row r="11" spans="1:6" ht="15.6" x14ac:dyDescent="0.6">
      <c r="A11" s="50" t="s">
        <v>56</v>
      </c>
      <c r="B11" s="39" t="s">
        <v>174</v>
      </c>
      <c r="C11" s="54">
        <f>C3*C10</f>
        <v>1855378988.9734101</v>
      </c>
      <c r="D11" s="5"/>
    </row>
    <row r="12" spans="1:6" ht="15.6" x14ac:dyDescent="0.6">
      <c r="A12" s="60" t="s">
        <v>68</v>
      </c>
      <c r="B12" s="61" t="s">
        <v>175</v>
      </c>
      <c r="C12" s="97">
        <f>C9/C11</f>
        <v>-2.765882050011052E-2</v>
      </c>
      <c r="D12" s="62"/>
    </row>
    <row r="13" spans="1:6" ht="15.6" x14ac:dyDescent="0.6">
      <c r="A13" s="57"/>
      <c r="B13" s="62"/>
      <c r="C13" s="62"/>
      <c r="D13" s="62"/>
    </row>
    <row r="14" spans="1:6" ht="15.6" x14ac:dyDescent="0.6">
      <c r="A14" s="57"/>
      <c r="B14" s="62"/>
      <c r="C14" s="62"/>
      <c r="D14" s="62"/>
    </row>
    <row r="15" spans="1:6" ht="31.2" x14ac:dyDescent="0.6">
      <c r="A15" s="47" t="s">
        <v>188</v>
      </c>
      <c r="B15" s="47" t="s">
        <v>195</v>
      </c>
      <c r="C15" s="129" t="s">
        <v>208</v>
      </c>
      <c r="D15" s="47" t="s">
        <v>186</v>
      </c>
      <c r="E15" s="47" t="s">
        <v>185</v>
      </c>
    </row>
    <row r="16" spans="1:6" ht="15.6" x14ac:dyDescent="0.6">
      <c r="A16" s="41" t="s">
        <v>196</v>
      </c>
      <c r="B16" s="51">
        <f>'Statewide PAU Revenue'!G52</f>
        <v>807687805.78000009</v>
      </c>
      <c r="C16" s="105">
        <f>B16/B18</f>
        <v>0.43372375044406608</v>
      </c>
      <c r="D16" s="92">
        <f>C16*C8</f>
        <v>-1.2577988762877915E-3</v>
      </c>
      <c r="E16" s="51">
        <f>C16*C9</f>
        <v>-22257659.513741434</v>
      </c>
    </row>
    <row r="17" spans="1:5" ht="15.6" x14ac:dyDescent="0.6">
      <c r="A17" s="41" t="s">
        <v>184</v>
      </c>
      <c r="B17" s="51">
        <f>'Statewide PAU Revenue'!E52</f>
        <v>1054529342.7000003</v>
      </c>
      <c r="C17" s="105">
        <f>B17/B18</f>
        <v>0.56627624955593381</v>
      </c>
      <c r="D17" s="92">
        <f>C17*C8</f>
        <v>-1.6422011237122078E-3</v>
      </c>
      <c r="E17" s="51">
        <f>C17*C9</f>
        <v>-29059934.901950646</v>
      </c>
    </row>
    <row r="18" spans="1:5" ht="15.6" x14ac:dyDescent="0.6">
      <c r="A18" s="41" t="s">
        <v>67</v>
      </c>
      <c r="B18" s="51">
        <f>SUM(B16:B17)</f>
        <v>1862217148.4800005</v>
      </c>
      <c r="C18" s="105">
        <f>SUM(C16:C17)</f>
        <v>0.99999999999999989</v>
      </c>
      <c r="D18" s="105">
        <f>SUM(D16:D17)</f>
        <v>-2.8999999999999994E-3</v>
      </c>
      <c r="E18" s="51">
        <f>SUM(E16:E17)</f>
        <v>-51317594.415692076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UM62"/>
  <sheetViews>
    <sheetView zoomScale="72" zoomScaleNormal="8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M6" sqref="M6"/>
    </sheetView>
  </sheetViews>
  <sheetFormatPr defaultColWidth="9.26171875" defaultRowHeight="13.8" x14ac:dyDescent="0.45"/>
  <cols>
    <col min="1" max="1" width="11" style="11" customWidth="1"/>
    <col min="2" max="2" width="13.83984375" style="11" customWidth="1"/>
    <col min="3" max="3" width="18.15625" style="11" customWidth="1"/>
    <col min="4" max="4" width="17.83984375" style="11" customWidth="1"/>
    <col min="5" max="5" width="23" style="14" customWidth="1"/>
    <col min="6" max="6" width="18.68359375" style="14" customWidth="1"/>
    <col min="7" max="7" width="22.15625" style="11" customWidth="1"/>
    <col min="8" max="8" width="14.41796875" style="14" customWidth="1"/>
    <col min="9" max="10" width="16.15625" style="11" customWidth="1"/>
    <col min="11" max="11" width="15.83984375" style="67" bestFit="1" customWidth="1"/>
    <col min="12" max="12" width="14.83984375" style="12" customWidth="1"/>
    <col min="13" max="13" width="12.26171875" style="12" customWidth="1"/>
    <col min="14" max="16" width="9.26171875" style="12"/>
    <col min="17" max="225" width="9.26171875" style="11"/>
    <col min="226" max="226" width="11.68359375" style="11" customWidth="1"/>
    <col min="227" max="227" width="28.26171875" style="11" customWidth="1"/>
    <col min="228" max="228" width="25.68359375" style="11" customWidth="1"/>
    <col min="229" max="229" width="16" style="11" customWidth="1"/>
    <col min="230" max="230" width="16.68359375" style="11" customWidth="1"/>
    <col min="231" max="231" width="13.41796875" style="11" customWidth="1"/>
    <col min="232" max="232" width="14.26171875" style="11" customWidth="1"/>
    <col min="233" max="233" width="18.26171875" style="11" customWidth="1"/>
    <col min="234" max="234" width="17.41796875" style="11" bestFit="1" customWidth="1"/>
    <col min="235" max="235" width="18.26171875" style="11" bestFit="1" customWidth="1"/>
    <col min="236" max="481" width="9.26171875" style="11"/>
    <col min="482" max="482" width="11.68359375" style="11" customWidth="1"/>
    <col min="483" max="483" width="28.26171875" style="11" customWidth="1"/>
    <col min="484" max="484" width="25.68359375" style="11" customWidth="1"/>
    <col min="485" max="485" width="16" style="11" customWidth="1"/>
    <col min="486" max="486" width="16.68359375" style="11" customWidth="1"/>
    <col min="487" max="487" width="13.41796875" style="11" customWidth="1"/>
    <col min="488" max="488" width="14.26171875" style="11" customWidth="1"/>
    <col min="489" max="489" width="18.26171875" style="11" customWidth="1"/>
    <col min="490" max="490" width="17.41796875" style="11" bestFit="1" customWidth="1"/>
    <col min="491" max="491" width="18.26171875" style="11" bestFit="1" customWidth="1"/>
    <col min="492" max="737" width="9.26171875" style="11"/>
    <col min="738" max="738" width="11.68359375" style="11" customWidth="1"/>
    <col min="739" max="739" width="28.26171875" style="11" customWidth="1"/>
    <col min="740" max="740" width="25.68359375" style="11" customWidth="1"/>
    <col min="741" max="741" width="16" style="11" customWidth="1"/>
    <col min="742" max="742" width="16.68359375" style="11" customWidth="1"/>
    <col min="743" max="743" width="13.41796875" style="11" customWidth="1"/>
    <col min="744" max="744" width="14.26171875" style="11" customWidth="1"/>
    <col min="745" max="745" width="18.26171875" style="11" customWidth="1"/>
    <col min="746" max="746" width="17.41796875" style="11" bestFit="1" customWidth="1"/>
    <col min="747" max="747" width="18.26171875" style="11" bestFit="1" customWidth="1"/>
    <col min="748" max="993" width="9.26171875" style="11"/>
    <col min="994" max="994" width="11.68359375" style="11" customWidth="1"/>
    <col min="995" max="995" width="28.26171875" style="11" customWidth="1"/>
    <col min="996" max="996" width="25.68359375" style="11" customWidth="1"/>
    <col min="997" max="997" width="16" style="11" customWidth="1"/>
    <col min="998" max="998" width="16.68359375" style="11" customWidth="1"/>
    <col min="999" max="999" width="13.41796875" style="11" customWidth="1"/>
    <col min="1000" max="1000" width="14.26171875" style="11" customWidth="1"/>
    <col min="1001" max="1001" width="18.26171875" style="11" customWidth="1"/>
    <col min="1002" max="1002" width="17.41796875" style="11" bestFit="1" customWidth="1"/>
    <col min="1003" max="1003" width="18.26171875" style="11" bestFit="1" customWidth="1"/>
    <col min="1004" max="1249" width="9.26171875" style="11"/>
    <col min="1250" max="1250" width="11.68359375" style="11" customWidth="1"/>
    <col min="1251" max="1251" width="28.26171875" style="11" customWidth="1"/>
    <col min="1252" max="1252" width="25.68359375" style="11" customWidth="1"/>
    <col min="1253" max="1253" width="16" style="11" customWidth="1"/>
    <col min="1254" max="1254" width="16.68359375" style="11" customWidth="1"/>
    <col min="1255" max="1255" width="13.41796875" style="11" customWidth="1"/>
    <col min="1256" max="1256" width="14.26171875" style="11" customWidth="1"/>
    <col min="1257" max="1257" width="18.26171875" style="11" customWidth="1"/>
    <col min="1258" max="1258" width="17.41796875" style="11" bestFit="1" customWidth="1"/>
    <col min="1259" max="1259" width="18.26171875" style="11" bestFit="1" customWidth="1"/>
    <col min="1260" max="1505" width="9.26171875" style="11"/>
    <col min="1506" max="1506" width="11.68359375" style="11" customWidth="1"/>
    <col min="1507" max="1507" width="28.26171875" style="11" customWidth="1"/>
    <col min="1508" max="1508" width="25.68359375" style="11" customWidth="1"/>
    <col min="1509" max="1509" width="16" style="11" customWidth="1"/>
    <col min="1510" max="1510" width="16.68359375" style="11" customWidth="1"/>
    <col min="1511" max="1511" width="13.41796875" style="11" customWidth="1"/>
    <col min="1512" max="1512" width="14.26171875" style="11" customWidth="1"/>
    <col min="1513" max="1513" width="18.26171875" style="11" customWidth="1"/>
    <col min="1514" max="1514" width="17.41796875" style="11" bestFit="1" customWidth="1"/>
    <col min="1515" max="1515" width="18.26171875" style="11" bestFit="1" customWidth="1"/>
    <col min="1516" max="1761" width="9.26171875" style="11"/>
    <col min="1762" max="1762" width="11.68359375" style="11" customWidth="1"/>
    <col min="1763" max="1763" width="28.26171875" style="11" customWidth="1"/>
    <col min="1764" max="1764" width="25.68359375" style="11" customWidth="1"/>
    <col min="1765" max="1765" width="16" style="11" customWidth="1"/>
    <col min="1766" max="1766" width="16.68359375" style="11" customWidth="1"/>
    <col min="1767" max="1767" width="13.41796875" style="11" customWidth="1"/>
    <col min="1768" max="1768" width="14.26171875" style="11" customWidth="1"/>
    <col min="1769" max="1769" width="18.26171875" style="11" customWidth="1"/>
    <col min="1770" max="1770" width="17.41796875" style="11" bestFit="1" customWidth="1"/>
    <col min="1771" max="1771" width="18.26171875" style="11" bestFit="1" customWidth="1"/>
    <col min="1772" max="2017" width="9.26171875" style="11"/>
    <col min="2018" max="2018" width="11.68359375" style="11" customWidth="1"/>
    <col min="2019" max="2019" width="28.26171875" style="11" customWidth="1"/>
    <col min="2020" max="2020" width="25.68359375" style="11" customWidth="1"/>
    <col min="2021" max="2021" width="16" style="11" customWidth="1"/>
    <col min="2022" max="2022" width="16.68359375" style="11" customWidth="1"/>
    <col min="2023" max="2023" width="13.41796875" style="11" customWidth="1"/>
    <col min="2024" max="2024" width="14.26171875" style="11" customWidth="1"/>
    <col min="2025" max="2025" width="18.26171875" style="11" customWidth="1"/>
    <col min="2026" max="2026" width="17.41796875" style="11" bestFit="1" customWidth="1"/>
    <col min="2027" max="2027" width="18.26171875" style="11" bestFit="1" customWidth="1"/>
    <col min="2028" max="2273" width="9.26171875" style="11"/>
    <col min="2274" max="2274" width="11.68359375" style="11" customWidth="1"/>
    <col min="2275" max="2275" width="28.26171875" style="11" customWidth="1"/>
    <col min="2276" max="2276" width="25.68359375" style="11" customWidth="1"/>
    <col min="2277" max="2277" width="16" style="11" customWidth="1"/>
    <col min="2278" max="2278" width="16.68359375" style="11" customWidth="1"/>
    <col min="2279" max="2279" width="13.41796875" style="11" customWidth="1"/>
    <col min="2280" max="2280" width="14.26171875" style="11" customWidth="1"/>
    <col min="2281" max="2281" width="18.26171875" style="11" customWidth="1"/>
    <col min="2282" max="2282" width="17.41796875" style="11" bestFit="1" customWidth="1"/>
    <col min="2283" max="2283" width="18.26171875" style="11" bestFit="1" customWidth="1"/>
    <col min="2284" max="2529" width="9.26171875" style="11"/>
    <col min="2530" max="2530" width="11.68359375" style="11" customWidth="1"/>
    <col min="2531" max="2531" width="28.26171875" style="11" customWidth="1"/>
    <col min="2532" max="2532" width="25.68359375" style="11" customWidth="1"/>
    <col min="2533" max="2533" width="16" style="11" customWidth="1"/>
    <col min="2534" max="2534" width="16.68359375" style="11" customWidth="1"/>
    <col min="2535" max="2535" width="13.41796875" style="11" customWidth="1"/>
    <col min="2536" max="2536" width="14.26171875" style="11" customWidth="1"/>
    <col min="2537" max="2537" width="18.26171875" style="11" customWidth="1"/>
    <col min="2538" max="2538" width="17.41796875" style="11" bestFit="1" customWidth="1"/>
    <col min="2539" max="2539" width="18.26171875" style="11" bestFit="1" customWidth="1"/>
    <col min="2540" max="2785" width="9.26171875" style="11"/>
    <col min="2786" max="2786" width="11.68359375" style="11" customWidth="1"/>
    <col min="2787" max="2787" width="28.26171875" style="11" customWidth="1"/>
    <col min="2788" max="2788" width="25.68359375" style="11" customWidth="1"/>
    <col min="2789" max="2789" width="16" style="11" customWidth="1"/>
    <col min="2790" max="2790" width="16.68359375" style="11" customWidth="1"/>
    <col min="2791" max="2791" width="13.41796875" style="11" customWidth="1"/>
    <col min="2792" max="2792" width="14.26171875" style="11" customWidth="1"/>
    <col min="2793" max="2793" width="18.26171875" style="11" customWidth="1"/>
    <col min="2794" max="2794" width="17.41796875" style="11" bestFit="1" customWidth="1"/>
    <col min="2795" max="2795" width="18.26171875" style="11" bestFit="1" customWidth="1"/>
    <col min="2796" max="3041" width="9.26171875" style="11"/>
    <col min="3042" max="3042" width="11.68359375" style="11" customWidth="1"/>
    <col min="3043" max="3043" width="28.26171875" style="11" customWidth="1"/>
    <col min="3044" max="3044" width="25.68359375" style="11" customWidth="1"/>
    <col min="3045" max="3045" width="16" style="11" customWidth="1"/>
    <col min="3046" max="3046" width="16.68359375" style="11" customWidth="1"/>
    <col min="3047" max="3047" width="13.41796875" style="11" customWidth="1"/>
    <col min="3048" max="3048" width="14.26171875" style="11" customWidth="1"/>
    <col min="3049" max="3049" width="18.26171875" style="11" customWidth="1"/>
    <col min="3050" max="3050" width="17.41796875" style="11" bestFit="1" customWidth="1"/>
    <col min="3051" max="3051" width="18.26171875" style="11" bestFit="1" customWidth="1"/>
    <col min="3052" max="3297" width="9.26171875" style="11"/>
    <col min="3298" max="3298" width="11.68359375" style="11" customWidth="1"/>
    <col min="3299" max="3299" width="28.26171875" style="11" customWidth="1"/>
    <col min="3300" max="3300" width="25.68359375" style="11" customWidth="1"/>
    <col min="3301" max="3301" width="16" style="11" customWidth="1"/>
    <col min="3302" max="3302" width="16.68359375" style="11" customWidth="1"/>
    <col min="3303" max="3303" width="13.41796875" style="11" customWidth="1"/>
    <col min="3304" max="3304" width="14.26171875" style="11" customWidth="1"/>
    <col min="3305" max="3305" width="18.26171875" style="11" customWidth="1"/>
    <col min="3306" max="3306" width="17.41796875" style="11" bestFit="1" customWidth="1"/>
    <col min="3307" max="3307" width="18.26171875" style="11" bestFit="1" customWidth="1"/>
    <col min="3308" max="3553" width="9.26171875" style="11"/>
    <col min="3554" max="3554" width="11.68359375" style="11" customWidth="1"/>
    <col min="3555" max="3555" width="28.26171875" style="11" customWidth="1"/>
    <col min="3556" max="3556" width="25.68359375" style="11" customWidth="1"/>
    <col min="3557" max="3557" width="16" style="11" customWidth="1"/>
    <col min="3558" max="3558" width="16.68359375" style="11" customWidth="1"/>
    <col min="3559" max="3559" width="13.41796875" style="11" customWidth="1"/>
    <col min="3560" max="3560" width="14.26171875" style="11" customWidth="1"/>
    <col min="3561" max="3561" width="18.26171875" style="11" customWidth="1"/>
    <col min="3562" max="3562" width="17.41796875" style="11" bestFit="1" customWidth="1"/>
    <col min="3563" max="3563" width="18.26171875" style="11" bestFit="1" customWidth="1"/>
    <col min="3564" max="3809" width="9.26171875" style="11"/>
    <col min="3810" max="3810" width="11.68359375" style="11" customWidth="1"/>
    <col min="3811" max="3811" width="28.26171875" style="11" customWidth="1"/>
    <col min="3812" max="3812" width="25.68359375" style="11" customWidth="1"/>
    <col min="3813" max="3813" width="16" style="11" customWidth="1"/>
    <col min="3814" max="3814" width="16.68359375" style="11" customWidth="1"/>
    <col min="3815" max="3815" width="13.41796875" style="11" customWidth="1"/>
    <col min="3816" max="3816" width="14.26171875" style="11" customWidth="1"/>
    <col min="3817" max="3817" width="18.26171875" style="11" customWidth="1"/>
    <col min="3818" max="3818" width="17.41796875" style="11" bestFit="1" customWidth="1"/>
    <col min="3819" max="3819" width="18.26171875" style="11" bestFit="1" customWidth="1"/>
    <col min="3820" max="4065" width="9.26171875" style="11"/>
    <col min="4066" max="4066" width="11.68359375" style="11" customWidth="1"/>
    <col min="4067" max="4067" width="28.26171875" style="11" customWidth="1"/>
    <col min="4068" max="4068" width="25.68359375" style="11" customWidth="1"/>
    <col min="4069" max="4069" width="16" style="11" customWidth="1"/>
    <col min="4070" max="4070" width="16.68359375" style="11" customWidth="1"/>
    <col min="4071" max="4071" width="13.41796875" style="11" customWidth="1"/>
    <col min="4072" max="4072" width="14.26171875" style="11" customWidth="1"/>
    <col min="4073" max="4073" width="18.26171875" style="11" customWidth="1"/>
    <col min="4074" max="4074" width="17.41796875" style="11" bestFit="1" customWidth="1"/>
    <col min="4075" max="4075" width="18.26171875" style="11" bestFit="1" customWidth="1"/>
    <col min="4076" max="4321" width="9.26171875" style="11"/>
    <col min="4322" max="4322" width="11.68359375" style="11" customWidth="1"/>
    <col min="4323" max="4323" width="28.26171875" style="11" customWidth="1"/>
    <col min="4324" max="4324" width="25.68359375" style="11" customWidth="1"/>
    <col min="4325" max="4325" width="16" style="11" customWidth="1"/>
    <col min="4326" max="4326" width="16.68359375" style="11" customWidth="1"/>
    <col min="4327" max="4327" width="13.41796875" style="11" customWidth="1"/>
    <col min="4328" max="4328" width="14.26171875" style="11" customWidth="1"/>
    <col min="4329" max="4329" width="18.26171875" style="11" customWidth="1"/>
    <col min="4330" max="4330" width="17.41796875" style="11" bestFit="1" customWidth="1"/>
    <col min="4331" max="4331" width="18.26171875" style="11" bestFit="1" customWidth="1"/>
    <col min="4332" max="4577" width="9.26171875" style="11"/>
    <col min="4578" max="4578" width="11.68359375" style="11" customWidth="1"/>
    <col min="4579" max="4579" width="28.26171875" style="11" customWidth="1"/>
    <col min="4580" max="4580" width="25.68359375" style="11" customWidth="1"/>
    <col min="4581" max="4581" width="16" style="11" customWidth="1"/>
    <col min="4582" max="4582" width="16.68359375" style="11" customWidth="1"/>
    <col min="4583" max="4583" width="13.41796875" style="11" customWidth="1"/>
    <col min="4584" max="4584" width="14.26171875" style="11" customWidth="1"/>
    <col min="4585" max="4585" width="18.26171875" style="11" customWidth="1"/>
    <col min="4586" max="4586" width="17.41796875" style="11" bestFit="1" customWidth="1"/>
    <col min="4587" max="4587" width="18.26171875" style="11" bestFit="1" customWidth="1"/>
    <col min="4588" max="4833" width="9.26171875" style="11"/>
    <col min="4834" max="4834" width="11.68359375" style="11" customWidth="1"/>
    <col min="4835" max="4835" width="28.26171875" style="11" customWidth="1"/>
    <col min="4836" max="4836" width="25.68359375" style="11" customWidth="1"/>
    <col min="4837" max="4837" width="16" style="11" customWidth="1"/>
    <col min="4838" max="4838" width="16.68359375" style="11" customWidth="1"/>
    <col min="4839" max="4839" width="13.41796875" style="11" customWidth="1"/>
    <col min="4840" max="4840" width="14.26171875" style="11" customWidth="1"/>
    <col min="4841" max="4841" width="18.26171875" style="11" customWidth="1"/>
    <col min="4842" max="4842" width="17.41796875" style="11" bestFit="1" customWidth="1"/>
    <col min="4843" max="4843" width="18.26171875" style="11" bestFit="1" customWidth="1"/>
    <col min="4844" max="5089" width="9.26171875" style="11"/>
    <col min="5090" max="5090" width="11.68359375" style="11" customWidth="1"/>
    <col min="5091" max="5091" width="28.26171875" style="11" customWidth="1"/>
    <col min="5092" max="5092" width="25.68359375" style="11" customWidth="1"/>
    <col min="5093" max="5093" width="16" style="11" customWidth="1"/>
    <col min="5094" max="5094" width="16.68359375" style="11" customWidth="1"/>
    <col min="5095" max="5095" width="13.41796875" style="11" customWidth="1"/>
    <col min="5096" max="5096" width="14.26171875" style="11" customWidth="1"/>
    <col min="5097" max="5097" width="18.26171875" style="11" customWidth="1"/>
    <col min="5098" max="5098" width="17.41796875" style="11" bestFit="1" customWidth="1"/>
    <col min="5099" max="5099" width="18.26171875" style="11" bestFit="1" customWidth="1"/>
    <col min="5100" max="5345" width="9.26171875" style="11"/>
    <col min="5346" max="5346" width="11.68359375" style="11" customWidth="1"/>
    <col min="5347" max="5347" width="28.26171875" style="11" customWidth="1"/>
    <col min="5348" max="5348" width="25.68359375" style="11" customWidth="1"/>
    <col min="5349" max="5349" width="16" style="11" customWidth="1"/>
    <col min="5350" max="5350" width="16.68359375" style="11" customWidth="1"/>
    <col min="5351" max="5351" width="13.41796875" style="11" customWidth="1"/>
    <col min="5352" max="5352" width="14.26171875" style="11" customWidth="1"/>
    <col min="5353" max="5353" width="18.26171875" style="11" customWidth="1"/>
    <col min="5354" max="5354" width="17.41796875" style="11" bestFit="1" customWidth="1"/>
    <col min="5355" max="5355" width="18.26171875" style="11" bestFit="1" customWidth="1"/>
    <col min="5356" max="5601" width="9.26171875" style="11"/>
    <col min="5602" max="5602" width="11.68359375" style="11" customWidth="1"/>
    <col min="5603" max="5603" width="28.26171875" style="11" customWidth="1"/>
    <col min="5604" max="5604" width="25.68359375" style="11" customWidth="1"/>
    <col min="5605" max="5605" width="16" style="11" customWidth="1"/>
    <col min="5606" max="5606" width="16.68359375" style="11" customWidth="1"/>
    <col min="5607" max="5607" width="13.41796875" style="11" customWidth="1"/>
    <col min="5608" max="5608" width="14.26171875" style="11" customWidth="1"/>
    <col min="5609" max="5609" width="18.26171875" style="11" customWidth="1"/>
    <col min="5610" max="5610" width="17.41796875" style="11" bestFit="1" customWidth="1"/>
    <col min="5611" max="5611" width="18.26171875" style="11" bestFit="1" customWidth="1"/>
    <col min="5612" max="5857" width="9.26171875" style="11"/>
    <col min="5858" max="5858" width="11.68359375" style="11" customWidth="1"/>
    <col min="5859" max="5859" width="28.26171875" style="11" customWidth="1"/>
    <col min="5860" max="5860" width="25.68359375" style="11" customWidth="1"/>
    <col min="5861" max="5861" width="16" style="11" customWidth="1"/>
    <col min="5862" max="5862" width="16.68359375" style="11" customWidth="1"/>
    <col min="5863" max="5863" width="13.41796875" style="11" customWidth="1"/>
    <col min="5864" max="5864" width="14.26171875" style="11" customWidth="1"/>
    <col min="5865" max="5865" width="18.26171875" style="11" customWidth="1"/>
    <col min="5866" max="5866" width="17.41796875" style="11" bestFit="1" customWidth="1"/>
    <col min="5867" max="5867" width="18.26171875" style="11" bestFit="1" customWidth="1"/>
    <col min="5868" max="6113" width="9.26171875" style="11"/>
    <col min="6114" max="6114" width="11.68359375" style="11" customWidth="1"/>
    <col min="6115" max="6115" width="28.26171875" style="11" customWidth="1"/>
    <col min="6116" max="6116" width="25.68359375" style="11" customWidth="1"/>
    <col min="6117" max="6117" width="16" style="11" customWidth="1"/>
    <col min="6118" max="6118" width="16.68359375" style="11" customWidth="1"/>
    <col min="6119" max="6119" width="13.41796875" style="11" customWidth="1"/>
    <col min="6120" max="6120" width="14.26171875" style="11" customWidth="1"/>
    <col min="6121" max="6121" width="18.26171875" style="11" customWidth="1"/>
    <col min="6122" max="6122" width="17.41796875" style="11" bestFit="1" customWidth="1"/>
    <col min="6123" max="6123" width="18.26171875" style="11" bestFit="1" customWidth="1"/>
    <col min="6124" max="6369" width="9.26171875" style="11"/>
    <col min="6370" max="6370" width="11.68359375" style="11" customWidth="1"/>
    <col min="6371" max="6371" width="28.26171875" style="11" customWidth="1"/>
    <col min="6372" max="6372" width="25.68359375" style="11" customWidth="1"/>
    <col min="6373" max="6373" width="16" style="11" customWidth="1"/>
    <col min="6374" max="6374" width="16.68359375" style="11" customWidth="1"/>
    <col min="6375" max="6375" width="13.41796875" style="11" customWidth="1"/>
    <col min="6376" max="6376" width="14.26171875" style="11" customWidth="1"/>
    <col min="6377" max="6377" width="18.26171875" style="11" customWidth="1"/>
    <col min="6378" max="6378" width="17.41796875" style="11" bestFit="1" customWidth="1"/>
    <col min="6379" max="6379" width="18.26171875" style="11" bestFit="1" customWidth="1"/>
    <col min="6380" max="6625" width="9.26171875" style="11"/>
    <col min="6626" max="6626" width="11.68359375" style="11" customWidth="1"/>
    <col min="6627" max="6627" width="28.26171875" style="11" customWidth="1"/>
    <col min="6628" max="6628" width="25.68359375" style="11" customWidth="1"/>
    <col min="6629" max="6629" width="16" style="11" customWidth="1"/>
    <col min="6630" max="6630" width="16.68359375" style="11" customWidth="1"/>
    <col min="6631" max="6631" width="13.41796875" style="11" customWidth="1"/>
    <col min="6632" max="6632" width="14.26171875" style="11" customWidth="1"/>
    <col min="6633" max="6633" width="18.26171875" style="11" customWidth="1"/>
    <col min="6634" max="6634" width="17.41796875" style="11" bestFit="1" customWidth="1"/>
    <col min="6635" max="6635" width="18.26171875" style="11" bestFit="1" customWidth="1"/>
    <col min="6636" max="6881" width="9.26171875" style="11"/>
    <col min="6882" max="6882" width="11.68359375" style="11" customWidth="1"/>
    <col min="6883" max="6883" width="28.26171875" style="11" customWidth="1"/>
    <col min="6884" max="6884" width="25.68359375" style="11" customWidth="1"/>
    <col min="6885" max="6885" width="16" style="11" customWidth="1"/>
    <col min="6886" max="6886" width="16.68359375" style="11" customWidth="1"/>
    <col min="6887" max="6887" width="13.41796875" style="11" customWidth="1"/>
    <col min="6888" max="6888" width="14.26171875" style="11" customWidth="1"/>
    <col min="6889" max="6889" width="18.26171875" style="11" customWidth="1"/>
    <col min="6890" max="6890" width="17.41796875" style="11" bestFit="1" customWidth="1"/>
    <col min="6891" max="6891" width="18.26171875" style="11" bestFit="1" customWidth="1"/>
    <col min="6892" max="7137" width="9.26171875" style="11"/>
    <col min="7138" max="7138" width="11.68359375" style="11" customWidth="1"/>
    <col min="7139" max="7139" width="28.26171875" style="11" customWidth="1"/>
    <col min="7140" max="7140" width="25.68359375" style="11" customWidth="1"/>
    <col min="7141" max="7141" width="16" style="11" customWidth="1"/>
    <col min="7142" max="7142" width="16.68359375" style="11" customWidth="1"/>
    <col min="7143" max="7143" width="13.41796875" style="11" customWidth="1"/>
    <col min="7144" max="7144" width="14.26171875" style="11" customWidth="1"/>
    <col min="7145" max="7145" width="18.26171875" style="11" customWidth="1"/>
    <col min="7146" max="7146" width="17.41796875" style="11" bestFit="1" customWidth="1"/>
    <col min="7147" max="7147" width="18.26171875" style="11" bestFit="1" customWidth="1"/>
    <col min="7148" max="7393" width="9.26171875" style="11"/>
    <col min="7394" max="7394" width="11.68359375" style="11" customWidth="1"/>
    <col min="7395" max="7395" width="28.26171875" style="11" customWidth="1"/>
    <col min="7396" max="7396" width="25.68359375" style="11" customWidth="1"/>
    <col min="7397" max="7397" width="16" style="11" customWidth="1"/>
    <col min="7398" max="7398" width="16.68359375" style="11" customWidth="1"/>
    <col min="7399" max="7399" width="13.41796875" style="11" customWidth="1"/>
    <col min="7400" max="7400" width="14.26171875" style="11" customWidth="1"/>
    <col min="7401" max="7401" width="18.26171875" style="11" customWidth="1"/>
    <col min="7402" max="7402" width="17.41796875" style="11" bestFit="1" customWidth="1"/>
    <col min="7403" max="7403" width="18.26171875" style="11" bestFit="1" customWidth="1"/>
    <col min="7404" max="7649" width="9.26171875" style="11"/>
    <col min="7650" max="7650" width="11.68359375" style="11" customWidth="1"/>
    <col min="7651" max="7651" width="28.26171875" style="11" customWidth="1"/>
    <col min="7652" max="7652" width="25.68359375" style="11" customWidth="1"/>
    <col min="7653" max="7653" width="16" style="11" customWidth="1"/>
    <col min="7654" max="7654" width="16.68359375" style="11" customWidth="1"/>
    <col min="7655" max="7655" width="13.41796875" style="11" customWidth="1"/>
    <col min="7656" max="7656" width="14.26171875" style="11" customWidth="1"/>
    <col min="7657" max="7657" width="18.26171875" style="11" customWidth="1"/>
    <col min="7658" max="7658" width="17.41796875" style="11" bestFit="1" customWidth="1"/>
    <col min="7659" max="7659" width="18.26171875" style="11" bestFit="1" customWidth="1"/>
    <col min="7660" max="7905" width="9.26171875" style="11"/>
    <col min="7906" max="7906" width="11.68359375" style="11" customWidth="1"/>
    <col min="7907" max="7907" width="28.26171875" style="11" customWidth="1"/>
    <col min="7908" max="7908" width="25.68359375" style="11" customWidth="1"/>
    <col min="7909" max="7909" width="16" style="11" customWidth="1"/>
    <col min="7910" max="7910" width="16.68359375" style="11" customWidth="1"/>
    <col min="7911" max="7911" width="13.41796875" style="11" customWidth="1"/>
    <col min="7912" max="7912" width="14.26171875" style="11" customWidth="1"/>
    <col min="7913" max="7913" width="18.26171875" style="11" customWidth="1"/>
    <col min="7914" max="7914" width="17.41796875" style="11" bestFit="1" customWidth="1"/>
    <col min="7915" max="7915" width="18.26171875" style="11" bestFit="1" customWidth="1"/>
    <col min="7916" max="8161" width="9.26171875" style="11"/>
    <col min="8162" max="8162" width="11.68359375" style="11" customWidth="1"/>
    <col min="8163" max="8163" width="28.26171875" style="11" customWidth="1"/>
    <col min="8164" max="8164" width="25.68359375" style="11" customWidth="1"/>
    <col min="8165" max="8165" width="16" style="11" customWidth="1"/>
    <col min="8166" max="8166" width="16.68359375" style="11" customWidth="1"/>
    <col min="8167" max="8167" width="13.41796875" style="11" customWidth="1"/>
    <col min="8168" max="8168" width="14.26171875" style="11" customWidth="1"/>
    <col min="8169" max="8169" width="18.26171875" style="11" customWidth="1"/>
    <col min="8170" max="8170" width="17.41796875" style="11" bestFit="1" customWidth="1"/>
    <col min="8171" max="8171" width="18.26171875" style="11" bestFit="1" customWidth="1"/>
    <col min="8172" max="8417" width="9.26171875" style="11"/>
    <col min="8418" max="8418" width="11.68359375" style="11" customWidth="1"/>
    <col min="8419" max="8419" width="28.26171875" style="11" customWidth="1"/>
    <col min="8420" max="8420" width="25.68359375" style="11" customWidth="1"/>
    <col min="8421" max="8421" width="16" style="11" customWidth="1"/>
    <col min="8422" max="8422" width="16.68359375" style="11" customWidth="1"/>
    <col min="8423" max="8423" width="13.41796875" style="11" customWidth="1"/>
    <col min="8424" max="8424" width="14.26171875" style="11" customWidth="1"/>
    <col min="8425" max="8425" width="18.26171875" style="11" customWidth="1"/>
    <col min="8426" max="8426" width="17.41796875" style="11" bestFit="1" customWidth="1"/>
    <col min="8427" max="8427" width="18.26171875" style="11" bestFit="1" customWidth="1"/>
    <col min="8428" max="8673" width="9.26171875" style="11"/>
    <col min="8674" max="8674" width="11.68359375" style="11" customWidth="1"/>
    <col min="8675" max="8675" width="28.26171875" style="11" customWidth="1"/>
    <col min="8676" max="8676" width="25.68359375" style="11" customWidth="1"/>
    <col min="8677" max="8677" width="16" style="11" customWidth="1"/>
    <col min="8678" max="8678" width="16.68359375" style="11" customWidth="1"/>
    <col min="8679" max="8679" width="13.41796875" style="11" customWidth="1"/>
    <col min="8680" max="8680" width="14.26171875" style="11" customWidth="1"/>
    <col min="8681" max="8681" width="18.26171875" style="11" customWidth="1"/>
    <col min="8682" max="8682" width="17.41796875" style="11" bestFit="1" customWidth="1"/>
    <col min="8683" max="8683" width="18.26171875" style="11" bestFit="1" customWidth="1"/>
    <col min="8684" max="8929" width="9.26171875" style="11"/>
    <col min="8930" max="8930" width="11.68359375" style="11" customWidth="1"/>
    <col min="8931" max="8931" width="28.26171875" style="11" customWidth="1"/>
    <col min="8932" max="8932" width="25.68359375" style="11" customWidth="1"/>
    <col min="8933" max="8933" width="16" style="11" customWidth="1"/>
    <col min="8934" max="8934" width="16.68359375" style="11" customWidth="1"/>
    <col min="8935" max="8935" width="13.41796875" style="11" customWidth="1"/>
    <col min="8936" max="8936" width="14.26171875" style="11" customWidth="1"/>
    <col min="8937" max="8937" width="18.26171875" style="11" customWidth="1"/>
    <col min="8938" max="8938" width="17.41796875" style="11" bestFit="1" customWidth="1"/>
    <col min="8939" max="8939" width="18.26171875" style="11" bestFit="1" customWidth="1"/>
    <col min="8940" max="9185" width="9.26171875" style="11"/>
    <col min="9186" max="9186" width="11.68359375" style="11" customWidth="1"/>
    <col min="9187" max="9187" width="28.26171875" style="11" customWidth="1"/>
    <col min="9188" max="9188" width="25.68359375" style="11" customWidth="1"/>
    <col min="9189" max="9189" width="16" style="11" customWidth="1"/>
    <col min="9190" max="9190" width="16.68359375" style="11" customWidth="1"/>
    <col min="9191" max="9191" width="13.41796875" style="11" customWidth="1"/>
    <col min="9192" max="9192" width="14.26171875" style="11" customWidth="1"/>
    <col min="9193" max="9193" width="18.26171875" style="11" customWidth="1"/>
    <col min="9194" max="9194" width="17.41796875" style="11" bestFit="1" customWidth="1"/>
    <col min="9195" max="9195" width="18.26171875" style="11" bestFit="1" customWidth="1"/>
    <col min="9196" max="9441" width="9.26171875" style="11"/>
    <col min="9442" max="9442" width="11.68359375" style="11" customWidth="1"/>
    <col min="9443" max="9443" width="28.26171875" style="11" customWidth="1"/>
    <col min="9444" max="9444" width="25.68359375" style="11" customWidth="1"/>
    <col min="9445" max="9445" width="16" style="11" customWidth="1"/>
    <col min="9446" max="9446" width="16.68359375" style="11" customWidth="1"/>
    <col min="9447" max="9447" width="13.41796875" style="11" customWidth="1"/>
    <col min="9448" max="9448" width="14.26171875" style="11" customWidth="1"/>
    <col min="9449" max="9449" width="18.26171875" style="11" customWidth="1"/>
    <col min="9450" max="9450" width="17.41796875" style="11" bestFit="1" customWidth="1"/>
    <col min="9451" max="9451" width="18.26171875" style="11" bestFit="1" customWidth="1"/>
    <col min="9452" max="9697" width="9.26171875" style="11"/>
    <col min="9698" max="9698" width="11.68359375" style="11" customWidth="1"/>
    <col min="9699" max="9699" width="28.26171875" style="11" customWidth="1"/>
    <col min="9700" max="9700" width="25.68359375" style="11" customWidth="1"/>
    <col min="9701" max="9701" width="16" style="11" customWidth="1"/>
    <col min="9702" max="9702" width="16.68359375" style="11" customWidth="1"/>
    <col min="9703" max="9703" width="13.41796875" style="11" customWidth="1"/>
    <col min="9704" max="9704" width="14.26171875" style="11" customWidth="1"/>
    <col min="9705" max="9705" width="18.26171875" style="11" customWidth="1"/>
    <col min="9706" max="9706" width="17.41796875" style="11" bestFit="1" customWidth="1"/>
    <col min="9707" max="9707" width="18.26171875" style="11" bestFit="1" customWidth="1"/>
    <col min="9708" max="9953" width="9.26171875" style="11"/>
    <col min="9954" max="9954" width="11.68359375" style="11" customWidth="1"/>
    <col min="9955" max="9955" width="28.26171875" style="11" customWidth="1"/>
    <col min="9956" max="9956" width="25.68359375" style="11" customWidth="1"/>
    <col min="9957" max="9957" width="16" style="11" customWidth="1"/>
    <col min="9958" max="9958" width="16.68359375" style="11" customWidth="1"/>
    <col min="9959" max="9959" width="13.41796875" style="11" customWidth="1"/>
    <col min="9960" max="9960" width="14.26171875" style="11" customWidth="1"/>
    <col min="9961" max="9961" width="18.26171875" style="11" customWidth="1"/>
    <col min="9962" max="9962" width="17.41796875" style="11" bestFit="1" customWidth="1"/>
    <col min="9963" max="9963" width="18.26171875" style="11" bestFit="1" customWidth="1"/>
    <col min="9964" max="10209" width="9.26171875" style="11"/>
    <col min="10210" max="10210" width="11.68359375" style="11" customWidth="1"/>
    <col min="10211" max="10211" width="28.26171875" style="11" customWidth="1"/>
    <col min="10212" max="10212" width="25.68359375" style="11" customWidth="1"/>
    <col min="10213" max="10213" width="16" style="11" customWidth="1"/>
    <col min="10214" max="10214" width="16.68359375" style="11" customWidth="1"/>
    <col min="10215" max="10215" width="13.41796875" style="11" customWidth="1"/>
    <col min="10216" max="10216" width="14.26171875" style="11" customWidth="1"/>
    <col min="10217" max="10217" width="18.26171875" style="11" customWidth="1"/>
    <col min="10218" max="10218" width="17.41796875" style="11" bestFit="1" customWidth="1"/>
    <col min="10219" max="10219" width="18.26171875" style="11" bestFit="1" customWidth="1"/>
    <col min="10220" max="10465" width="9.26171875" style="11"/>
    <col min="10466" max="10466" width="11.68359375" style="11" customWidth="1"/>
    <col min="10467" max="10467" width="28.26171875" style="11" customWidth="1"/>
    <col min="10468" max="10468" width="25.68359375" style="11" customWidth="1"/>
    <col min="10469" max="10469" width="16" style="11" customWidth="1"/>
    <col min="10470" max="10470" width="16.68359375" style="11" customWidth="1"/>
    <col min="10471" max="10471" width="13.41796875" style="11" customWidth="1"/>
    <col min="10472" max="10472" width="14.26171875" style="11" customWidth="1"/>
    <col min="10473" max="10473" width="18.26171875" style="11" customWidth="1"/>
    <col min="10474" max="10474" width="17.41796875" style="11" bestFit="1" customWidth="1"/>
    <col min="10475" max="10475" width="18.26171875" style="11" bestFit="1" customWidth="1"/>
    <col min="10476" max="10721" width="9.26171875" style="11"/>
    <col min="10722" max="10722" width="11.68359375" style="11" customWidth="1"/>
    <col min="10723" max="10723" width="28.26171875" style="11" customWidth="1"/>
    <col min="10724" max="10724" width="25.68359375" style="11" customWidth="1"/>
    <col min="10725" max="10725" width="16" style="11" customWidth="1"/>
    <col min="10726" max="10726" width="16.68359375" style="11" customWidth="1"/>
    <col min="10727" max="10727" width="13.41796875" style="11" customWidth="1"/>
    <col min="10728" max="10728" width="14.26171875" style="11" customWidth="1"/>
    <col min="10729" max="10729" width="18.26171875" style="11" customWidth="1"/>
    <col min="10730" max="10730" width="17.41796875" style="11" bestFit="1" customWidth="1"/>
    <col min="10731" max="10731" width="18.26171875" style="11" bestFit="1" customWidth="1"/>
    <col min="10732" max="10977" width="9.26171875" style="11"/>
    <col min="10978" max="10978" width="11.68359375" style="11" customWidth="1"/>
    <col min="10979" max="10979" width="28.26171875" style="11" customWidth="1"/>
    <col min="10980" max="10980" width="25.68359375" style="11" customWidth="1"/>
    <col min="10981" max="10981" width="16" style="11" customWidth="1"/>
    <col min="10982" max="10982" width="16.68359375" style="11" customWidth="1"/>
    <col min="10983" max="10983" width="13.41796875" style="11" customWidth="1"/>
    <col min="10984" max="10984" width="14.26171875" style="11" customWidth="1"/>
    <col min="10985" max="10985" width="18.26171875" style="11" customWidth="1"/>
    <col min="10986" max="10986" width="17.41796875" style="11" bestFit="1" customWidth="1"/>
    <col min="10987" max="10987" width="18.26171875" style="11" bestFit="1" customWidth="1"/>
    <col min="10988" max="11233" width="9.26171875" style="11"/>
    <col min="11234" max="11234" width="11.68359375" style="11" customWidth="1"/>
    <col min="11235" max="11235" width="28.26171875" style="11" customWidth="1"/>
    <col min="11236" max="11236" width="25.68359375" style="11" customWidth="1"/>
    <col min="11237" max="11237" width="16" style="11" customWidth="1"/>
    <col min="11238" max="11238" width="16.68359375" style="11" customWidth="1"/>
    <col min="11239" max="11239" width="13.41796875" style="11" customWidth="1"/>
    <col min="11240" max="11240" width="14.26171875" style="11" customWidth="1"/>
    <col min="11241" max="11241" width="18.26171875" style="11" customWidth="1"/>
    <col min="11242" max="11242" width="17.41796875" style="11" bestFit="1" customWidth="1"/>
    <col min="11243" max="11243" width="18.26171875" style="11" bestFit="1" customWidth="1"/>
    <col min="11244" max="11489" width="9.26171875" style="11"/>
    <col min="11490" max="11490" width="11.68359375" style="11" customWidth="1"/>
    <col min="11491" max="11491" width="28.26171875" style="11" customWidth="1"/>
    <col min="11492" max="11492" width="25.68359375" style="11" customWidth="1"/>
    <col min="11493" max="11493" width="16" style="11" customWidth="1"/>
    <col min="11494" max="11494" width="16.68359375" style="11" customWidth="1"/>
    <col min="11495" max="11495" width="13.41796875" style="11" customWidth="1"/>
    <col min="11496" max="11496" width="14.26171875" style="11" customWidth="1"/>
    <col min="11497" max="11497" width="18.26171875" style="11" customWidth="1"/>
    <col min="11498" max="11498" width="17.41796875" style="11" bestFit="1" customWidth="1"/>
    <col min="11499" max="11499" width="18.26171875" style="11" bestFit="1" customWidth="1"/>
    <col min="11500" max="11745" width="9.26171875" style="11"/>
    <col min="11746" max="11746" width="11.68359375" style="11" customWidth="1"/>
    <col min="11747" max="11747" width="28.26171875" style="11" customWidth="1"/>
    <col min="11748" max="11748" width="25.68359375" style="11" customWidth="1"/>
    <col min="11749" max="11749" width="16" style="11" customWidth="1"/>
    <col min="11750" max="11750" width="16.68359375" style="11" customWidth="1"/>
    <col min="11751" max="11751" width="13.41796875" style="11" customWidth="1"/>
    <col min="11752" max="11752" width="14.26171875" style="11" customWidth="1"/>
    <col min="11753" max="11753" width="18.26171875" style="11" customWidth="1"/>
    <col min="11754" max="11754" width="17.41796875" style="11" bestFit="1" customWidth="1"/>
    <col min="11755" max="11755" width="18.26171875" style="11" bestFit="1" customWidth="1"/>
    <col min="11756" max="12001" width="9.26171875" style="11"/>
    <col min="12002" max="12002" width="11.68359375" style="11" customWidth="1"/>
    <col min="12003" max="12003" width="28.26171875" style="11" customWidth="1"/>
    <col min="12004" max="12004" width="25.68359375" style="11" customWidth="1"/>
    <col min="12005" max="12005" width="16" style="11" customWidth="1"/>
    <col min="12006" max="12006" width="16.68359375" style="11" customWidth="1"/>
    <col min="12007" max="12007" width="13.41796875" style="11" customWidth="1"/>
    <col min="12008" max="12008" width="14.26171875" style="11" customWidth="1"/>
    <col min="12009" max="12009" width="18.26171875" style="11" customWidth="1"/>
    <col min="12010" max="12010" width="17.41796875" style="11" bestFit="1" customWidth="1"/>
    <col min="12011" max="12011" width="18.26171875" style="11" bestFit="1" customWidth="1"/>
    <col min="12012" max="12257" width="9.26171875" style="11"/>
    <col min="12258" max="12258" width="11.68359375" style="11" customWidth="1"/>
    <col min="12259" max="12259" width="28.26171875" style="11" customWidth="1"/>
    <col min="12260" max="12260" width="25.68359375" style="11" customWidth="1"/>
    <col min="12261" max="12261" width="16" style="11" customWidth="1"/>
    <col min="12262" max="12262" width="16.68359375" style="11" customWidth="1"/>
    <col min="12263" max="12263" width="13.41796875" style="11" customWidth="1"/>
    <col min="12264" max="12264" width="14.26171875" style="11" customWidth="1"/>
    <col min="12265" max="12265" width="18.26171875" style="11" customWidth="1"/>
    <col min="12266" max="12266" width="17.41796875" style="11" bestFit="1" customWidth="1"/>
    <col min="12267" max="12267" width="18.26171875" style="11" bestFit="1" customWidth="1"/>
    <col min="12268" max="12513" width="9.26171875" style="11"/>
    <col min="12514" max="12514" width="11.68359375" style="11" customWidth="1"/>
    <col min="12515" max="12515" width="28.26171875" style="11" customWidth="1"/>
    <col min="12516" max="12516" width="25.68359375" style="11" customWidth="1"/>
    <col min="12517" max="12517" width="16" style="11" customWidth="1"/>
    <col min="12518" max="12518" width="16.68359375" style="11" customWidth="1"/>
    <col min="12519" max="12519" width="13.41796875" style="11" customWidth="1"/>
    <col min="12520" max="12520" width="14.26171875" style="11" customWidth="1"/>
    <col min="12521" max="12521" width="18.26171875" style="11" customWidth="1"/>
    <col min="12522" max="12522" width="17.41796875" style="11" bestFit="1" customWidth="1"/>
    <col min="12523" max="12523" width="18.26171875" style="11" bestFit="1" customWidth="1"/>
    <col min="12524" max="12769" width="9.26171875" style="11"/>
    <col min="12770" max="12770" width="11.68359375" style="11" customWidth="1"/>
    <col min="12771" max="12771" width="28.26171875" style="11" customWidth="1"/>
    <col min="12772" max="12772" width="25.68359375" style="11" customWidth="1"/>
    <col min="12773" max="12773" width="16" style="11" customWidth="1"/>
    <col min="12774" max="12774" width="16.68359375" style="11" customWidth="1"/>
    <col min="12775" max="12775" width="13.41796875" style="11" customWidth="1"/>
    <col min="12776" max="12776" width="14.26171875" style="11" customWidth="1"/>
    <col min="12777" max="12777" width="18.26171875" style="11" customWidth="1"/>
    <col min="12778" max="12778" width="17.41796875" style="11" bestFit="1" customWidth="1"/>
    <col min="12779" max="12779" width="18.26171875" style="11" bestFit="1" customWidth="1"/>
    <col min="12780" max="13025" width="9.26171875" style="11"/>
    <col min="13026" max="13026" width="11.68359375" style="11" customWidth="1"/>
    <col min="13027" max="13027" width="28.26171875" style="11" customWidth="1"/>
    <col min="13028" max="13028" width="25.68359375" style="11" customWidth="1"/>
    <col min="13029" max="13029" width="16" style="11" customWidth="1"/>
    <col min="13030" max="13030" width="16.68359375" style="11" customWidth="1"/>
    <col min="13031" max="13031" width="13.41796875" style="11" customWidth="1"/>
    <col min="13032" max="13032" width="14.26171875" style="11" customWidth="1"/>
    <col min="13033" max="13033" width="18.26171875" style="11" customWidth="1"/>
    <col min="13034" max="13034" width="17.41796875" style="11" bestFit="1" customWidth="1"/>
    <col min="13035" max="13035" width="18.26171875" style="11" bestFit="1" customWidth="1"/>
    <col min="13036" max="13281" width="9.26171875" style="11"/>
    <col min="13282" max="13282" width="11.68359375" style="11" customWidth="1"/>
    <col min="13283" max="13283" width="28.26171875" style="11" customWidth="1"/>
    <col min="13284" max="13284" width="25.68359375" style="11" customWidth="1"/>
    <col min="13285" max="13285" width="16" style="11" customWidth="1"/>
    <col min="13286" max="13286" width="16.68359375" style="11" customWidth="1"/>
    <col min="13287" max="13287" width="13.41796875" style="11" customWidth="1"/>
    <col min="13288" max="13288" width="14.26171875" style="11" customWidth="1"/>
    <col min="13289" max="13289" width="18.26171875" style="11" customWidth="1"/>
    <col min="13290" max="13290" width="17.41796875" style="11" bestFit="1" customWidth="1"/>
    <col min="13291" max="13291" width="18.26171875" style="11" bestFit="1" customWidth="1"/>
    <col min="13292" max="13537" width="9.26171875" style="11"/>
    <col min="13538" max="13538" width="11.68359375" style="11" customWidth="1"/>
    <col min="13539" max="13539" width="28.26171875" style="11" customWidth="1"/>
    <col min="13540" max="13540" width="25.68359375" style="11" customWidth="1"/>
    <col min="13541" max="13541" width="16" style="11" customWidth="1"/>
    <col min="13542" max="13542" width="16.68359375" style="11" customWidth="1"/>
    <col min="13543" max="13543" width="13.41796875" style="11" customWidth="1"/>
    <col min="13544" max="13544" width="14.26171875" style="11" customWidth="1"/>
    <col min="13545" max="13545" width="18.26171875" style="11" customWidth="1"/>
    <col min="13546" max="13546" width="17.41796875" style="11" bestFit="1" customWidth="1"/>
    <col min="13547" max="13547" width="18.26171875" style="11" bestFit="1" customWidth="1"/>
    <col min="13548" max="13793" width="9.26171875" style="11"/>
    <col min="13794" max="13794" width="11.68359375" style="11" customWidth="1"/>
    <col min="13795" max="13795" width="28.26171875" style="11" customWidth="1"/>
    <col min="13796" max="13796" width="25.68359375" style="11" customWidth="1"/>
    <col min="13797" max="13797" width="16" style="11" customWidth="1"/>
    <col min="13798" max="13798" width="16.68359375" style="11" customWidth="1"/>
    <col min="13799" max="13799" width="13.41796875" style="11" customWidth="1"/>
    <col min="13800" max="13800" width="14.26171875" style="11" customWidth="1"/>
    <col min="13801" max="13801" width="18.26171875" style="11" customWidth="1"/>
    <col min="13802" max="13802" width="17.41796875" style="11" bestFit="1" customWidth="1"/>
    <col min="13803" max="13803" width="18.26171875" style="11" bestFit="1" customWidth="1"/>
    <col min="13804" max="14049" width="9.26171875" style="11"/>
    <col min="14050" max="14050" width="11.68359375" style="11" customWidth="1"/>
    <col min="14051" max="14051" width="28.26171875" style="11" customWidth="1"/>
    <col min="14052" max="14052" width="25.68359375" style="11" customWidth="1"/>
    <col min="14053" max="14053" width="16" style="11" customWidth="1"/>
    <col min="14054" max="14054" width="16.68359375" style="11" customWidth="1"/>
    <col min="14055" max="14055" width="13.41796875" style="11" customWidth="1"/>
    <col min="14056" max="14056" width="14.26171875" style="11" customWidth="1"/>
    <col min="14057" max="14057" width="18.26171875" style="11" customWidth="1"/>
    <col min="14058" max="14058" width="17.41796875" style="11" bestFit="1" customWidth="1"/>
    <col min="14059" max="14059" width="18.26171875" style="11" bestFit="1" customWidth="1"/>
    <col min="14060" max="14305" width="9.26171875" style="11"/>
    <col min="14306" max="14306" width="11.68359375" style="11" customWidth="1"/>
    <col min="14307" max="14307" width="28.26171875" style="11" customWidth="1"/>
    <col min="14308" max="14308" width="25.68359375" style="11" customWidth="1"/>
    <col min="14309" max="14309" width="16" style="11" customWidth="1"/>
    <col min="14310" max="14310" width="16.68359375" style="11" customWidth="1"/>
    <col min="14311" max="14311" width="13.41796875" style="11" customWidth="1"/>
    <col min="14312" max="14312" width="14.26171875" style="11" customWidth="1"/>
    <col min="14313" max="14313" width="18.26171875" style="11" customWidth="1"/>
    <col min="14314" max="14314" width="17.41796875" style="11" bestFit="1" customWidth="1"/>
    <col min="14315" max="14315" width="18.26171875" style="11" bestFit="1" customWidth="1"/>
    <col min="14316" max="14561" width="9.26171875" style="11"/>
    <col min="14562" max="14562" width="11.68359375" style="11" customWidth="1"/>
    <col min="14563" max="14563" width="28.26171875" style="11" customWidth="1"/>
    <col min="14564" max="14564" width="25.68359375" style="11" customWidth="1"/>
    <col min="14565" max="14565" width="16" style="11" customWidth="1"/>
    <col min="14566" max="14566" width="16.68359375" style="11" customWidth="1"/>
    <col min="14567" max="14567" width="13.41796875" style="11" customWidth="1"/>
    <col min="14568" max="14568" width="14.26171875" style="11" customWidth="1"/>
    <col min="14569" max="14569" width="18.26171875" style="11" customWidth="1"/>
    <col min="14570" max="14570" width="17.41796875" style="11" bestFit="1" customWidth="1"/>
    <col min="14571" max="14571" width="18.26171875" style="11" bestFit="1" customWidth="1"/>
    <col min="14572" max="14817" width="9.26171875" style="11"/>
    <col min="14818" max="14818" width="11.68359375" style="11" customWidth="1"/>
    <col min="14819" max="14819" width="28.26171875" style="11" customWidth="1"/>
    <col min="14820" max="14820" width="25.68359375" style="11" customWidth="1"/>
    <col min="14821" max="14821" width="16" style="11" customWidth="1"/>
    <col min="14822" max="14822" width="16.68359375" style="11" customWidth="1"/>
    <col min="14823" max="14823" width="13.41796875" style="11" customWidth="1"/>
    <col min="14824" max="14824" width="14.26171875" style="11" customWidth="1"/>
    <col min="14825" max="14825" width="18.26171875" style="11" customWidth="1"/>
    <col min="14826" max="14826" width="17.41796875" style="11" bestFit="1" customWidth="1"/>
    <col min="14827" max="14827" width="18.26171875" style="11" bestFit="1" customWidth="1"/>
    <col min="14828" max="15073" width="9.26171875" style="11"/>
    <col min="15074" max="15074" width="11.68359375" style="11" customWidth="1"/>
    <col min="15075" max="15075" width="28.26171875" style="11" customWidth="1"/>
    <col min="15076" max="15076" width="25.68359375" style="11" customWidth="1"/>
    <col min="15077" max="15077" width="16" style="11" customWidth="1"/>
    <col min="15078" max="15078" width="16.68359375" style="11" customWidth="1"/>
    <col min="15079" max="15079" width="13.41796875" style="11" customWidth="1"/>
    <col min="15080" max="15080" width="14.26171875" style="11" customWidth="1"/>
    <col min="15081" max="15081" width="18.26171875" style="11" customWidth="1"/>
    <col min="15082" max="15082" width="17.41796875" style="11" bestFit="1" customWidth="1"/>
    <col min="15083" max="15083" width="18.26171875" style="11" bestFit="1" customWidth="1"/>
    <col min="15084" max="15329" width="9.26171875" style="11"/>
    <col min="15330" max="15330" width="11.68359375" style="11" customWidth="1"/>
    <col min="15331" max="15331" width="28.26171875" style="11" customWidth="1"/>
    <col min="15332" max="15332" width="25.68359375" style="11" customWidth="1"/>
    <col min="15333" max="15333" width="16" style="11" customWidth="1"/>
    <col min="15334" max="15334" width="16.68359375" style="11" customWidth="1"/>
    <col min="15335" max="15335" width="13.41796875" style="11" customWidth="1"/>
    <col min="15336" max="15336" width="14.26171875" style="11" customWidth="1"/>
    <col min="15337" max="15337" width="18.26171875" style="11" customWidth="1"/>
    <col min="15338" max="15338" width="17.41796875" style="11" bestFit="1" customWidth="1"/>
    <col min="15339" max="15339" width="18.26171875" style="11" bestFit="1" customWidth="1"/>
    <col min="15340" max="15585" width="9.26171875" style="11"/>
    <col min="15586" max="15586" width="11.68359375" style="11" customWidth="1"/>
    <col min="15587" max="15587" width="28.26171875" style="11" customWidth="1"/>
    <col min="15588" max="15588" width="25.68359375" style="11" customWidth="1"/>
    <col min="15589" max="15589" width="16" style="11" customWidth="1"/>
    <col min="15590" max="15590" width="16.68359375" style="11" customWidth="1"/>
    <col min="15591" max="15591" width="13.41796875" style="11" customWidth="1"/>
    <col min="15592" max="15592" width="14.26171875" style="11" customWidth="1"/>
    <col min="15593" max="15593" width="18.26171875" style="11" customWidth="1"/>
    <col min="15594" max="15594" width="17.41796875" style="11" bestFit="1" customWidth="1"/>
    <col min="15595" max="15595" width="18.26171875" style="11" bestFit="1" customWidth="1"/>
    <col min="15596" max="15841" width="9.26171875" style="11"/>
    <col min="15842" max="15842" width="11.68359375" style="11" customWidth="1"/>
    <col min="15843" max="15843" width="28.26171875" style="11" customWidth="1"/>
    <col min="15844" max="15844" width="25.68359375" style="11" customWidth="1"/>
    <col min="15845" max="15845" width="16" style="11" customWidth="1"/>
    <col min="15846" max="15846" width="16.68359375" style="11" customWidth="1"/>
    <col min="15847" max="15847" width="13.41796875" style="11" customWidth="1"/>
    <col min="15848" max="15848" width="14.26171875" style="11" customWidth="1"/>
    <col min="15849" max="15849" width="18.26171875" style="11" customWidth="1"/>
    <col min="15850" max="15850" width="17.41796875" style="11" bestFit="1" customWidth="1"/>
    <col min="15851" max="15851" width="18.26171875" style="11" bestFit="1" customWidth="1"/>
    <col min="15852" max="16097" width="9.26171875" style="11"/>
    <col min="16098" max="16098" width="11.68359375" style="11" customWidth="1"/>
    <col min="16099" max="16099" width="28.26171875" style="11" customWidth="1"/>
    <col min="16100" max="16100" width="25.68359375" style="11" customWidth="1"/>
    <col min="16101" max="16101" width="16" style="11" customWidth="1"/>
    <col min="16102" max="16102" width="16.68359375" style="11" customWidth="1"/>
    <col min="16103" max="16103" width="13.41796875" style="11" customWidth="1"/>
    <col min="16104" max="16104" width="14.26171875" style="11" customWidth="1"/>
    <col min="16105" max="16105" width="18.26171875" style="11" customWidth="1"/>
    <col min="16106" max="16106" width="17.41796875" style="11" bestFit="1" customWidth="1"/>
    <col min="16107" max="16107" width="18.26171875" style="11" bestFit="1" customWidth="1"/>
    <col min="16108" max="16384" width="9.26171875" style="11"/>
  </cols>
  <sheetData>
    <row r="1" spans="1:16107" ht="47.25" customHeight="1" x14ac:dyDescent="0.45">
      <c r="A1" s="19" t="s">
        <v>202</v>
      </c>
      <c r="B1" s="15"/>
      <c r="C1" s="15"/>
      <c r="D1" s="15"/>
      <c r="E1" s="64"/>
      <c r="F1" s="64"/>
      <c r="G1" s="64"/>
      <c r="H1" s="64"/>
      <c r="I1" s="15"/>
      <c r="J1" s="15"/>
      <c r="K1" s="64"/>
    </row>
    <row r="2" spans="1:16107" s="71" customFormat="1" ht="76.5" customHeight="1" x14ac:dyDescent="0.4">
      <c r="A2" s="69" t="s">
        <v>57</v>
      </c>
      <c r="B2" s="69" t="s">
        <v>58</v>
      </c>
      <c r="C2" s="69" t="s">
        <v>66</v>
      </c>
      <c r="D2" s="69" t="s">
        <v>166</v>
      </c>
      <c r="E2" s="69" t="s">
        <v>167</v>
      </c>
      <c r="F2" s="69" t="s">
        <v>168</v>
      </c>
      <c r="G2" s="69" t="s">
        <v>169</v>
      </c>
      <c r="H2" s="69" t="s">
        <v>161</v>
      </c>
      <c r="I2" s="69" t="s">
        <v>159</v>
      </c>
      <c r="J2" s="69" t="s">
        <v>128</v>
      </c>
      <c r="K2" s="69" t="s">
        <v>129</v>
      </c>
      <c r="L2" s="69" t="s">
        <v>164</v>
      </c>
      <c r="M2" s="69" t="s">
        <v>162</v>
      </c>
      <c r="N2" s="72"/>
      <c r="O2" s="72"/>
      <c r="P2" s="72"/>
    </row>
    <row r="3" spans="1:16107" s="7" customFormat="1" ht="22.8" x14ac:dyDescent="0.4">
      <c r="A3" s="35" t="s">
        <v>51</v>
      </c>
      <c r="B3" s="35" t="s">
        <v>53</v>
      </c>
      <c r="C3" s="36" t="s">
        <v>62</v>
      </c>
      <c r="D3" s="36" t="s">
        <v>55</v>
      </c>
      <c r="E3" s="36" t="s">
        <v>204</v>
      </c>
      <c r="F3" s="37" t="s">
        <v>183</v>
      </c>
      <c r="G3" s="37" t="s">
        <v>206</v>
      </c>
      <c r="H3" s="36" t="s">
        <v>173</v>
      </c>
      <c r="I3" s="37" t="s">
        <v>205</v>
      </c>
      <c r="J3" s="37" t="s">
        <v>191</v>
      </c>
      <c r="K3" s="37" t="s">
        <v>207</v>
      </c>
      <c r="L3" s="37" t="s">
        <v>192</v>
      </c>
      <c r="M3" s="37" t="s">
        <v>193</v>
      </c>
    </row>
    <row r="4" spans="1:16107" ht="15.75" customHeight="1" x14ac:dyDescent="0.45">
      <c r="A4" s="25">
        <v>210001</v>
      </c>
      <c r="B4" s="25" t="s">
        <v>69</v>
      </c>
      <c r="C4" s="26">
        <v>384702798.2359131</v>
      </c>
      <c r="D4" s="93">
        <f>IFERROR(VLOOKUP($A4,'PAU Performance'!$A:$F,6,FALSE),"")</f>
        <v>16.654963720844247</v>
      </c>
      <c r="E4" s="68">
        <f>IFERROR(D4/$D$53*Savings!$C$8*Savings!$C$16,"")</f>
        <v>-1.4646794984855781E-3</v>
      </c>
      <c r="F4" s="120">
        <f t="shared" ref="F4:F41" si="0">IFERROR(E4*$C4,"")</f>
        <v>-563466.30158617569</v>
      </c>
      <c r="G4" s="70">
        <f>IFERROR(F4*Savings!$C$9*Savings!$C$16/$F$53,"")</f>
        <v>-443139.85381516383</v>
      </c>
      <c r="H4" s="27">
        <f>IFERROR(VLOOKUP(A4,'PAU Performance'!A:C,3,FALSE),"")</f>
        <v>5.0613847402169954E-2</v>
      </c>
      <c r="I4" s="28">
        <f>H4/$H$53*Savings!$C$8*Savings!$C$17</f>
        <v>-1.596664167294993E-3</v>
      </c>
      <c r="J4" s="120">
        <f t="shared" ref="J4:J41" si="1">I4*C4</f>
        <v>-614241.17300139787</v>
      </c>
      <c r="K4" s="70">
        <f>IFERROR(J4*Savings!$C$9*Savings!$C$17/$J$53,"")</f>
        <v>-615804.08337079838</v>
      </c>
      <c r="L4" s="120">
        <f t="shared" ref="L4:L41" si="2">IFERROR(G4+K4,"")</f>
        <v>-1058943.9371859622</v>
      </c>
      <c r="M4" s="92">
        <f t="shared" ref="M4:M41" si="3">L4/C4</f>
        <v>-2.7526286318733276E-3</v>
      </c>
    </row>
    <row r="5" spans="1:16107" ht="15.75" customHeight="1" x14ac:dyDescent="0.45">
      <c r="A5" s="29">
        <v>210002</v>
      </c>
      <c r="B5" s="29" t="s">
        <v>60</v>
      </c>
      <c r="C5" s="26">
        <v>1841511221.8694005</v>
      </c>
      <c r="D5" s="93">
        <f>IFERROR(VLOOKUP($A5,'PAU Performance'!$A:$F,6,FALSE),"")</f>
        <v>28.865291374008162</v>
      </c>
      <c r="E5" s="68">
        <f>IFERROR(D5/$D$53*Savings!$C$8*Savings!$C$16,"")</f>
        <v>-2.5384864957952156E-3</v>
      </c>
      <c r="F5" s="120">
        <f t="shared" si="0"/>
        <v>-4674651.3685708204</v>
      </c>
      <c r="G5" s="70">
        <f>IFERROR(F5*Savings!$C$9*Savings!$C$16/$F$53,"")</f>
        <v>-3676394.3438568045</v>
      </c>
      <c r="H5" s="27">
        <f>IFERROR(VLOOKUP(A5,'PAU Performance'!A:C,3,FALSE),"")</f>
        <v>4.9575783265731602E-2</v>
      </c>
      <c r="I5" s="28">
        <f>H5/$H$53*Savings!$C$8*Savings!$C$17</f>
        <v>-1.563917401437907E-3</v>
      </c>
      <c r="J5" s="120">
        <f t="shared" si="1"/>
        <v>-2879971.444824738</v>
      </c>
      <c r="K5" s="70">
        <f>IFERROR(J5*Savings!$C$9*Savings!$C$17/$J$53,"")</f>
        <v>-2887299.4088762193</v>
      </c>
      <c r="L5" s="120">
        <f t="shared" si="2"/>
        <v>-6563693.7527330238</v>
      </c>
      <c r="M5" s="92">
        <f t="shared" si="3"/>
        <v>-3.5642974502593169E-3</v>
      </c>
    </row>
    <row r="6" spans="1:16107" ht="15.75" customHeight="1" x14ac:dyDescent="0.45">
      <c r="A6" s="29">
        <v>210003</v>
      </c>
      <c r="B6" s="29" t="s">
        <v>181</v>
      </c>
      <c r="C6" s="26">
        <v>344605805.54681909</v>
      </c>
      <c r="D6" s="93">
        <f>IFERROR(VLOOKUP($A6,'PAU Performance'!$A:$F,6,FALSE),"")</f>
        <v>19.883392363206447</v>
      </c>
      <c r="E6" s="68">
        <f>IFERROR(D6/$D$53*Savings!$C$8*Savings!$C$16,"")</f>
        <v>-1.7485956524951796E-3</v>
      </c>
      <c r="F6" s="120">
        <f t="shared" si="0"/>
        <v>-602576.21340376709</v>
      </c>
      <c r="G6" s="70">
        <f>IFERROR(F6*Savings!$C$9*Savings!$C$16/$F$53,"")</f>
        <v>-473897.96757775021</v>
      </c>
      <c r="H6" s="27">
        <f>IFERROR(VLOOKUP(A6,'PAU Performance'!A:C,3,FALSE),"")</f>
        <v>6.2377585386361234E-2</v>
      </c>
      <c r="I6" s="28">
        <f>H6/$H$53*Savings!$C$8*Savings!$C$17</f>
        <v>-1.967762984651446E-3</v>
      </c>
      <c r="J6" s="120">
        <f t="shared" si="1"/>
        <v>-678102.54845102457</v>
      </c>
      <c r="K6" s="70">
        <f>IFERROR(J6*Savings!$C$9*Savings!$C$17/$J$53,"")</f>
        <v>-679827.95135638898</v>
      </c>
      <c r="L6" s="120">
        <f t="shared" si="2"/>
        <v>-1153725.9189341392</v>
      </c>
      <c r="M6" s="92">
        <f t="shared" si="3"/>
        <v>-3.3479584509709917E-3</v>
      </c>
    </row>
    <row r="7" spans="1:16107" ht="15.75" customHeight="1" x14ac:dyDescent="0.45">
      <c r="A7" s="30">
        <v>210004</v>
      </c>
      <c r="B7" s="30" t="s">
        <v>70</v>
      </c>
      <c r="C7" s="26">
        <v>518594870.81681359</v>
      </c>
      <c r="D7" s="93">
        <f>IFERROR(VLOOKUP($A7,'PAU Performance'!$A:$F,6,FALSE),"")</f>
        <v>8.5101869265181289</v>
      </c>
      <c r="E7" s="68">
        <f>IFERROR(D7/$D$53*Savings!$C$8*Savings!$C$16,"")</f>
        <v>-7.4840729337351296E-4</v>
      </c>
      <c r="F7" s="120">
        <f t="shared" si="0"/>
        <v>-388120.18362539809</v>
      </c>
      <c r="G7" s="70">
        <f>IFERROR(F7*Savings!$C$9*Savings!$C$16/$F$53,"")</f>
        <v>-305238.34513317264</v>
      </c>
      <c r="H7" s="27">
        <f>IFERROR(VLOOKUP(A7,'PAU Performance'!A:C,3,FALSE),"")</f>
        <v>6.0334477870037727E-2</v>
      </c>
      <c r="I7" s="28">
        <f>H7/$H$53*Savings!$C$8*Savings!$C$17</f>
        <v>-1.9033111255520139E-3</v>
      </c>
      <c r="J7" s="120">
        <f t="shared" si="1"/>
        <v>-987047.38727985066</v>
      </c>
      <c r="K7" s="70">
        <f>IFERROR(J7*Savings!$C$9*Savings!$C$17/$J$53,"")</f>
        <v>-989558.88710186898</v>
      </c>
      <c r="L7" s="120">
        <f t="shared" si="2"/>
        <v>-1294797.2322350417</v>
      </c>
      <c r="M7" s="92">
        <f t="shared" si="3"/>
        <v>-2.4967413005756679E-3</v>
      </c>
    </row>
    <row r="8" spans="1:16107" s="14" customFormat="1" ht="15.75" customHeight="1" x14ac:dyDescent="0.45">
      <c r="A8" s="29">
        <v>210005</v>
      </c>
      <c r="B8" s="29" t="s">
        <v>71</v>
      </c>
      <c r="C8" s="26">
        <v>360910381.99770176</v>
      </c>
      <c r="D8" s="93">
        <f>IFERROR(VLOOKUP($A8,'PAU Performance'!$A:$F,6,FALSE),"")</f>
        <v>10.014174205468164</v>
      </c>
      <c r="E8" s="68">
        <f>IFERROR(D8/$D$53*Savings!$C$8*Savings!$C$16,"")</f>
        <v>-8.8067172639081672E-4</v>
      </c>
      <c r="F8" s="120">
        <f t="shared" si="0"/>
        <v>-317843.56918628514</v>
      </c>
      <c r="G8" s="70">
        <f>IFERROR(F8*Savings!$C$9*Savings!$C$16/$F$53,"")</f>
        <v>-249969.07958613572</v>
      </c>
      <c r="H8" s="27">
        <f>IFERROR(VLOOKUP(A8,'PAU Performance'!A:C,3,FALSE),"")</f>
        <v>5.5580612621245064E-2</v>
      </c>
      <c r="I8" s="28">
        <f>H8/$H$53*Savings!$C$8*Savings!$C$17</f>
        <v>-1.7533457171019396E-3</v>
      </c>
      <c r="J8" s="120">
        <f t="shared" si="1"/>
        <v>-632800.67253329535</v>
      </c>
      <c r="K8" s="70">
        <f>IFERROR(J8*Savings!$C$9*Savings!$C$17/$J$53,"")</f>
        <v>-634410.80675473367</v>
      </c>
      <c r="L8" s="120">
        <f t="shared" si="2"/>
        <v>-884379.88634086936</v>
      </c>
      <c r="M8" s="92">
        <f t="shared" si="3"/>
        <v>-2.4504140929548016E-3</v>
      </c>
      <c r="N8" s="13"/>
      <c r="O8" s="13"/>
      <c r="P8" s="13"/>
    </row>
    <row r="9" spans="1:16107" ht="15.75" customHeight="1" x14ac:dyDescent="0.45">
      <c r="A9" s="29">
        <v>210006</v>
      </c>
      <c r="B9" s="29" t="s">
        <v>72</v>
      </c>
      <c r="C9" s="26">
        <v>108255820.65978125</v>
      </c>
      <c r="D9" s="93">
        <f>IFERROR(VLOOKUP($A9,'PAU Performance'!$A:$F,6,FALSE),"")</f>
        <v>13.417441707967706</v>
      </c>
      <c r="E9" s="68">
        <f>IFERROR(D9/$D$53*Savings!$C$8*Savings!$C$16,"")</f>
        <v>-1.179963650547624E-3</v>
      </c>
      <c r="F9" s="120">
        <f t="shared" si="0"/>
        <v>-127737.93333874438</v>
      </c>
      <c r="G9" s="70">
        <f>IFERROR(F9*Savings!$C$9*Savings!$C$16/$F$53,"")</f>
        <v>-100459.90141209026</v>
      </c>
      <c r="H9" s="27">
        <f>IFERROR(VLOOKUP(A9,'PAU Performance'!A:C,3,FALSE),"")</f>
        <v>6.9304746858629626E-2</v>
      </c>
      <c r="I9" s="28">
        <f>H9/$H$53*Savings!$C$8*Savings!$C$17</f>
        <v>-2.1862871844806646E-3</v>
      </c>
      <c r="J9" s="120">
        <f t="shared" si="1"/>
        <v>-236678.31335391689</v>
      </c>
      <c r="K9" s="70">
        <f>IFERROR(J9*Savings!$C$9*Savings!$C$17/$J$53,"")</f>
        <v>-237280.53119018723</v>
      </c>
      <c r="L9" s="120">
        <f t="shared" si="2"/>
        <v>-337740.43260227749</v>
      </c>
      <c r="M9" s="92">
        <f t="shared" si="3"/>
        <v>-3.1198362410803228E-3</v>
      </c>
    </row>
    <row r="10" spans="1:16107" ht="15.75" customHeight="1" x14ac:dyDescent="0.45">
      <c r="A10" s="29">
        <v>210008</v>
      </c>
      <c r="B10" s="29" t="s">
        <v>73</v>
      </c>
      <c r="C10" s="26">
        <v>559313900.74170089</v>
      </c>
      <c r="D10" s="93">
        <f>IFERROR(VLOOKUP($A10,'PAU Performance'!$A:$F,6,FALSE),"")</f>
        <v>23.026803924849833</v>
      </c>
      <c r="E10" s="68">
        <f>IFERROR(D10/$D$53*Savings!$C$8*Savings!$C$16,"")</f>
        <v>-2.0250351900895744E-3</v>
      </c>
      <c r="F10" s="120">
        <f t="shared" si="0"/>
        <v>-1132630.3313082117</v>
      </c>
      <c r="G10" s="70">
        <f>IFERROR(F10*Savings!$C$9*Savings!$C$16/$F$53,"")</f>
        <v>-890760.70393143035</v>
      </c>
      <c r="H10" s="27">
        <f>IFERROR(VLOOKUP(A10,'PAU Performance'!A:C,3,FALSE),"")</f>
        <v>2.9626304222936231E-2</v>
      </c>
      <c r="I10" s="28">
        <f>H10/$H$53*Savings!$C$8*Savings!$C$17</f>
        <v>-9.3459123915789458E-4</v>
      </c>
      <c r="J10" s="120">
        <f t="shared" si="1"/>
        <v>-522729.87157242186</v>
      </c>
      <c r="K10" s="70">
        <f>IFERROR(J10*Savings!$C$9*Savings!$C$17/$J$53,"")</f>
        <v>-524059.93535288103</v>
      </c>
      <c r="L10" s="120">
        <f t="shared" si="2"/>
        <v>-1414820.6392843113</v>
      </c>
      <c r="M10" s="92">
        <f t="shared" si="3"/>
        <v>-2.529564592276593E-3</v>
      </c>
    </row>
    <row r="11" spans="1:16107" ht="15.75" customHeight="1" x14ac:dyDescent="0.45">
      <c r="A11" s="29">
        <v>210009</v>
      </c>
      <c r="B11" s="29" t="s">
        <v>74</v>
      </c>
      <c r="C11" s="26">
        <v>2546066587.6787133</v>
      </c>
      <c r="D11" s="93">
        <f>IFERROR(VLOOKUP($A11,'PAU Performance'!$A:$F,6,FALSE),"")</f>
        <v>23.102579415551773</v>
      </c>
      <c r="E11" s="68">
        <f>IFERROR(D11/$D$53*Savings!$C$8*Savings!$C$16,"")</f>
        <v>-2.0316990777796999E-3</v>
      </c>
      <c r="F11" s="120">
        <f t="shared" si="0"/>
        <v>-5172841.138152549</v>
      </c>
      <c r="G11" s="70">
        <f>IFERROR(F11*Savings!$C$9*Savings!$C$16/$F$53,"")</f>
        <v>-4068197.2627592999</v>
      </c>
      <c r="H11" s="27">
        <f>IFERROR(VLOOKUP(A11,'PAU Performance'!A:C,3,FALSE),"")</f>
        <v>5.5323561849269724E-2</v>
      </c>
      <c r="I11" s="28">
        <f>H11/$H$53*Savings!$C$8*Savings!$C$17</f>
        <v>-1.7452367947841522E-3</v>
      </c>
      <c r="J11" s="120">
        <f t="shared" si="1"/>
        <v>-4443489.090787421</v>
      </c>
      <c r="K11" s="70">
        <f>IFERROR(J11*Savings!$C$9*Savings!$C$17/$J$53,"")</f>
        <v>-4454795.3585557882</v>
      </c>
      <c r="L11" s="120">
        <f t="shared" si="2"/>
        <v>-8522992.6213150881</v>
      </c>
      <c r="M11" s="92">
        <f t="shared" si="3"/>
        <v>-3.3475136363521531E-3</v>
      </c>
    </row>
    <row r="12" spans="1:16107" ht="15.75" customHeight="1" x14ac:dyDescent="0.45">
      <c r="A12" s="29">
        <v>210010</v>
      </c>
      <c r="B12" s="29" t="s">
        <v>75</v>
      </c>
      <c r="C12" s="26">
        <v>46186636.108334929</v>
      </c>
      <c r="D12" s="93">
        <f>IFERROR(VLOOKUP($A12,'PAU Performance'!$A:$F,6,FALSE),"")</f>
        <v>9.7285593531820567</v>
      </c>
      <c r="E12" s="68">
        <f>IFERROR(D12/$D$53*Savings!$C$8*Savings!$C$16,"")</f>
        <v>-8.555540362163921E-4</v>
      </c>
      <c r="F12" s="120">
        <f t="shared" si="0"/>
        <v>-39515.162941743707</v>
      </c>
      <c r="G12" s="70">
        <f>IFERROR(F12*Savings!$C$9*Savings!$C$16/$F$53,"")</f>
        <v>-31076.824790042247</v>
      </c>
      <c r="H12" s="27">
        <f>IFERROR(VLOOKUP(A12,'PAU Performance'!A:C,3,FALSE),"")</f>
        <v>5.4125404438297553E-2</v>
      </c>
      <c r="I12" s="28">
        <f>H12/$H$53*Savings!$C$8*Savings!$C$17</f>
        <v>-1.707439727320038E-3</v>
      </c>
      <c r="J12" s="120">
        <f t="shared" si="1"/>
        <v>-78860.897362645206</v>
      </c>
      <c r="K12" s="70">
        <f>IFERROR(J12*Savings!$C$9*Savings!$C$17/$J$53,"")</f>
        <v>-79061.555539996043</v>
      </c>
      <c r="L12" s="120">
        <f t="shared" si="2"/>
        <v>-110138.38033003829</v>
      </c>
      <c r="M12" s="92">
        <f t="shared" si="3"/>
        <v>-2.3846374105206268E-3</v>
      </c>
    </row>
    <row r="13" spans="1:16107" ht="15.75" customHeight="1" x14ac:dyDescent="0.45">
      <c r="A13" s="29">
        <v>210011</v>
      </c>
      <c r="B13" s="29" t="s">
        <v>76</v>
      </c>
      <c r="C13" s="26">
        <v>433749180.00716507</v>
      </c>
      <c r="D13" s="93">
        <f>IFERROR(VLOOKUP($A13,'PAU Performance'!$A:$F,6,FALSE),"")</f>
        <v>14.813124043122789</v>
      </c>
      <c r="E13" s="68">
        <f>IFERROR(D13/$D$53*Savings!$C$8*Savings!$C$16,"")</f>
        <v>-1.30270347375971E-3</v>
      </c>
      <c r="F13" s="120">
        <f t="shared" si="0"/>
        <v>-565046.56353575969</v>
      </c>
      <c r="G13" s="70">
        <f>IFERROR(F13*Savings!$C$9*Savings!$C$16/$F$53,"")</f>
        <v>-444382.6558201054</v>
      </c>
      <c r="H13" s="27">
        <f>IFERROR(VLOOKUP(A13,'PAU Performance'!A:C,3,FALSE),"")</f>
        <v>5.6368446654851544E-2</v>
      </c>
      <c r="I13" s="28">
        <f>H13/$H$53*Savings!$C$8*Savings!$C$17</f>
        <v>-1.778198725434616E-3</v>
      </c>
      <c r="J13" s="120">
        <f t="shared" si="1"/>
        <v>-771292.23904705071</v>
      </c>
      <c r="K13" s="70">
        <f>IFERROR(J13*Savings!$C$9*Savings!$C$17/$J$53,"")</f>
        <v>-773254.759130741</v>
      </c>
      <c r="L13" s="120">
        <f t="shared" si="2"/>
        <v>-1217637.4149508465</v>
      </c>
      <c r="M13" s="92">
        <f t="shared" si="3"/>
        <v>-2.8072385403258454E-3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</row>
    <row r="14" spans="1:16107" ht="15.75" customHeight="1" x14ac:dyDescent="0.45">
      <c r="A14" s="29">
        <v>210012</v>
      </c>
      <c r="B14" s="29" t="s">
        <v>77</v>
      </c>
      <c r="C14" s="26">
        <v>847653940.56582034</v>
      </c>
      <c r="D14" s="93">
        <f>IFERROR(VLOOKUP($A14,'PAU Performance'!$A:$F,6,FALSE),"")</f>
        <v>19.048714452126806</v>
      </c>
      <c r="E14" s="68">
        <f>IFERROR(D14/$D$53*Savings!$C$8*Savings!$C$16,"")</f>
        <v>-1.6751919726860742E-3</v>
      </c>
      <c r="F14" s="120">
        <f t="shared" si="0"/>
        <v>-1419983.0768515808</v>
      </c>
      <c r="G14" s="70">
        <f>IFERROR(F14*Savings!$C$9*Savings!$C$16/$F$53,"")</f>
        <v>-1116750.1788920721</v>
      </c>
      <c r="H14" s="27">
        <f>IFERROR(VLOOKUP(A14,'PAU Performance'!A:C,3,FALSE),"")</f>
        <v>3.4264775464685052E-2</v>
      </c>
      <c r="I14" s="28">
        <f>H14/$H$53*Savings!$C$8*Savings!$C$17</f>
        <v>-1.0809164288610419E-3</v>
      </c>
      <c r="J14" s="120">
        <f t="shared" si="1"/>
        <v>-916243.0703463963</v>
      </c>
      <c r="K14" s="70">
        <f>IFERROR(J14*Savings!$C$9*Savings!$C$17/$J$53,"")</f>
        <v>-918574.41161506856</v>
      </c>
      <c r="L14" s="120">
        <f t="shared" si="2"/>
        <v>-2035324.5905071406</v>
      </c>
      <c r="M14" s="92">
        <f t="shared" si="3"/>
        <v>-2.4011267960938566E-3</v>
      </c>
    </row>
    <row r="15" spans="1:16107" ht="15.75" customHeight="1" x14ac:dyDescent="0.45">
      <c r="A15" s="29">
        <v>210013</v>
      </c>
      <c r="B15" s="29" t="s">
        <v>78</v>
      </c>
      <c r="C15" s="26">
        <v>49961629.547483116</v>
      </c>
      <c r="D15" s="93">
        <f>IFERROR(VLOOKUP($A15,'PAU Performance'!$A:$F,6,FALSE),"")</f>
        <v>33.015970711360723</v>
      </c>
      <c r="E15" s="68">
        <f>IFERROR(D15/$D$53*Savings!$C$8*Savings!$C$16,"")</f>
        <v>-2.9035077010110162E-3</v>
      </c>
      <c r="F15" s="120">
        <f t="shared" si="0"/>
        <v>-145063.97614617675</v>
      </c>
      <c r="G15" s="70">
        <f>IFERROR(F15*Savings!$C$9*Savings!$C$16/$F$53,"")</f>
        <v>-114086.02253995085</v>
      </c>
      <c r="H15" s="27">
        <f>IFERROR(VLOOKUP(A15,'PAU Performance'!A:C,3,FALSE),"")</f>
        <v>0.1021753399356661</v>
      </c>
      <c r="I15" s="28">
        <f>H15/$H$53*Savings!$C$8*Savings!$C$17</f>
        <v>-3.2232227429813787E-3</v>
      </c>
      <c r="J15" s="120">
        <f t="shared" si="1"/>
        <v>-161037.46063385802</v>
      </c>
      <c r="K15" s="70">
        <f>IFERROR(J15*Savings!$C$9*Savings!$C$17/$J$53,"")</f>
        <v>-161447.21355852237</v>
      </c>
      <c r="L15" s="120">
        <f t="shared" si="2"/>
        <v>-275533.23609847319</v>
      </c>
      <c r="M15" s="92">
        <f t="shared" si="3"/>
        <v>-5.5148969037650923E-3</v>
      </c>
    </row>
    <row r="16" spans="1:16107" ht="15.75" customHeight="1" x14ac:dyDescent="0.45">
      <c r="A16" s="29">
        <v>210015</v>
      </c>
      <c r="B16" s="29" t="s">
        <v>79</v>
      </c>
      <c r="C16" s="26">
        <v>569216829.56971073</v>
      </c>
      <c r="D16" s="93">
        <f>IFERROR(VLOOKUP($A16,'PAU Performance'!$A:$F,6,FALSE),"")</f>
        <v>24.452446733818928</v>
      </c>
      <c r="E16" s="68">
        <f>IFERROR(D16/$D$53*Savings!$C$8*Savings!$C$16,"")</f>
        <v>-2.150409812902297E-3</v>
      </c>
      <c r="F16" s="120">
        <f t="shared" si="0"/>
        <v>-1224049.4559758403</v>
      </c>
      <c r="G16" s="70">
        <f>IFERROR(F16*Savings!$C$9*Savings!$C$16/$F$53,"")</f>
        <v>-962657.56347224431</v>
      </c>
      <c r="H16" s="27">
        <f>IFERROR(VLOOKUP(A16,'PAU Performance'!A:C,3,FALSE),"")</f>
        <v>6.170514028270712E-2</v>
      </c>
      <c r="I16" s="28">
        <f>H16/$H$53*Savings!$C$8*Savings!$C$17</f>
        <v>-1.9465500349037951E-3</v>
      </c>
      <c r="J16" s="120">
        <f t="shared" si="1"/>
        <v>-1108009.039466748</v>
      </c>
      <c r="K16" s="70">
        <f>IFERROR(J16*Savings!$C$9*Savings!$C$17/$J$53,"")</f>
        <v>-1110828.3210344592</v>
      </c>
      <c r="L16" s="120">
        <f t="shared" si="2"/>
        <v>-2073485.8845067034</v>
      </c>
      <c r="M16" s="92">
        <f t="shared" si="3"/>
        <v>-3.6426995422361597E-3</v>
      </c>
    </row>
    <row r="17" spans="1:16107" ht="15.75" customHeight="1" x14ac:dyDescent="0.45">
      <c r="A17" s="29">
        <v>210016</v>
      </c>
      <c r="B17" s="29" t="s">
        <v>80</v>
      </c>
      <c r="C17" s="26">
        <v>301007046.00419533</v>
      </c>
      <c r="D17" s="93">
        <f>IFERROR(VLOOKUP($A17,'PAU Performance'!$A:$F,6,FALSE),"")</f>
        <v>12.642877338475992</v>
      </c>
      <c r="E17" s="68">
        <f>IFERROR(D17/$D$53*Savings!$C$8*Savings!$C$16,"")</f>
        <v>-1.1118465071381749E-3</v>
      </c>
      <c r="F17" s="120">
        <f t="shared" si="0"/>
        <v>-334673.63272374449</v>
      </c>
      <c r="G17" s="70">
        <f>IFERROR(F17*Savings!$C$9*Savings!$C$16/$F$53,"")</f>
        <v>-263205.13624949777</v>
      </c>
      <c r="H17" s="27">
        <f>IFERROR(VLOOKUP(A17,'PAU Performance'!A:C,3,FALSE),"")</f>
        <v>5.3843687064281089E-2</v>
      </c>
      <c r="I17" s="28">
        <f>H17/$H$53*Savings!$C$8*Savings!$C$17</f>
        <v>-1.6985526725023625E-3</v>
      </c>
      <c r="J17" s="120">
        <f t="shared" si="1"/>
        <v>-511276.32243246754</v>
      </c>
      <c r="K17" s="70">
        <f>IFERROR(J17*Savings!$C$9*Savings!$C$17/$J$53,"")</f>
        <v>-512577.24314745975</v>
      </c>
      <c r="L17" s="120">
        <f t="shared" si="2"/>
        <v>-775782.37939695758</v>
      </c>
      <c r="M17" s="92">
        <f t="shared" si="3"/>
        <v>-2.5772897667855421E-3</v>
      </c>
    </row>
    <row r="18" spans="1:16107" ht="15.75" customHeight="1" x14ac:dyDescent="0.45">
      <c r="A18" s="29">
        <v>210017</v>
      </c>
      <c r="B18" s="29" t="s">
        <v>81</v>
      </c>
      <c r="C18" s="26">
        <v>62749610.238971867</v>
      </c>
      <c r="D18" s="93">
        <f>IFERROR(VLOOKUP($A18,'PAU Performance'!$A:$F,6,FALSE),"")</f>
        <v>10.561100288612208</v>
      </c>
      <c r="E18" s="68">
        <f>IFERROR(D18/$D$53*Savings!$C$8*Savings!$C$16,"")</f>
        <v>-9.287697849993461E-4</v>
      </c>
      <c r="F18" s="120">
        <f t="shared" si="0"/>
        <v>-58279.942010442668</v>
      </c>
      <c r="G18" s="70">
        <f>IFERROR(F18*Savings!$C$9*Savings!$C$16/$F$53,"")</f>
        <v>-45834.444597950773</v>
      </c>
      <c r="H18" s="27">
        <f>IFERROR(VLOOKUP(A18,'PAU Performance'!A:C,3,FALSE),"")</f>
        <v>1.6547472546822348E-2</v>
      </c>
      <c r="I18" s="28">
        <f>H18/$H$53*Savings!$C$8*Savings!$C$17</f>
        <v>-5.2200648302575252E-4</v>
      </c>
      <c r="J18" s="120">
        <f t="shared" si="1"/>
        <v>-32755.703352082455</v>
      </c>
      <c r="K18" s="70">
        <f>IFERROR(J18*Savings!$C$9*Savings!$C$17/$J$53,"")</f>
        <v>-32839.048837009526</v>
      </c>
      <c r="L18" s="120">
        <f t="shared" si="2"/>
        <v>-78673.493434960299</v>
      </c>
      <c r="M18" s="92">
        <f t="shared" si="3"/>
        <v>-1.2537686391253247E-3</v>
      </c>
    </row>
    <row r="19" spans="1:16107" ht="15.75" customHeight="1" x14ac:dyDescent="0.45">
      <c r="A19" s="29">
        <v>210018</v>
      </c>
      <c r="B19" s="29" t="s">
        <v>82</v>
      </c>
      <c r="C19" s="26">
        <v>180884835.20289421</v>
      </c>
      <c r="D19" s="93">
        <f>IFERROR(VLOOKUP($A19,'PAU Performance'!$A:$F,6,FALSE),"")</f>
        <v>14.541817337161712</v>
      </c>
      <c r="E19" s="68">
        <f>IFERROR(D19/$D$53*Savings!$C$8*Savings!$C$16,"")</f>
        <v>-1.2788440780454153E-3</v>
      </c>
      <c r="F19" s="120">
        <f t="shared" si="0"/>
        <v>-231323.50030744213</v>
      </c>
      <c r="G19" s="70">
        <f>IFERROR(F19*Savings!$C$9*Savings!$C$16/$F$53,"")</f>
        <v>-181925.09795472547</v>
      </c>
      <c r="H19" s="27">
        <f>IFERROR(VLOOKUP(A19,'PAU Performance'!A:C,3,FALSE),"")</f>
        <v>4.7597276636893802E-2</v>
      </c>
      <c r="I19" s="28">
        <f>H19/$H$53*Savings!$C$8*Savings!$C$17</f>
        <v>-1.5015034415996058E-3</v>
      </c>
      <c r="J19" s="120">
        <f t="shared" si="1"/>
        <v>-271599.20259032317</v>
      </c>
      <c r="K19" s="70">
        <f>IFERROR(J19*Savings!$C$9*Savings!$C$17/$J$53,"")</f>
        <v>-272290.27513431292</v>
      </c>
      <c r="L19" s="120">
        <f t="shared" si="2"/>
        <v>-454215.37308903842</v>
      </c>
      <c r="M19" s="92">
        <f t="shared" si="3"/>
        <v>-2.5110749200150241E-3</v>
      </c>
    </row>
    <row r="20" spans="1:16107" ht="15.75" customHeight="1" x14ac:dyDescent="0.45">
      <c r="A20" s="29">
        <v>210019</v>
      </c>
      <c r="B20" s="29" t="s">
        <v>61</v>
      </c>
      <c r="C20" s="26">
        <v>477143059.08938831</v>
      </c>
      <c r="D20" s="93">
        <f>IFERROR(VLOOKUP($A20,'PAU Performance'!$A:$F,6,FALSE),"")</f>
        <v>15.25319856896866</v>
      </c>
      <c r="E20" s="68">
        <f>IFERROR(D20/$D$53*Savings!$C$8*Savings!$C$16,"")</f>
        <v>-1.3414047370356853E-3</v>
      </c>
      <c r="F20" s="120">
        <f t="shared" si="0"/>
        <v>-640041.95970620343</v>
      </c>
      <c r="G20" s="70">
        <f>IFERROR(F20*Savings!$C$9*Savings!$C$16/$F$53,"")</f>
        <v>-503363.02217427338</v>
      </c>
      <c r="H20" s="27">
        <f>IFERROR(VLOOKUP(A20,'PAU Performance'!A:C,3,FALSE),"")</f>
        <v>5.3215903652648187E-2</v>
      </c>
      <c r="I20" s="28">
        <f>H20/$H$53*Savings!$C$8*Savings!$C$17</f>
        <v>-1.6787486202592707E-3</v>
      </c>
      <c r="J20" s="120">
        <f t="shared" si="1"/>
        <v>-801003.25211259827</v>
      </c>
      <c r="K20" s="70">
        <f>IFERROR(J20*Savings!$C$9*Savings!$C$17/$J$53,"")</f>
        <v>-803041.37059712305</v>
      </c>
      <c r="L20" s="120">
        <f t="shared" si="2"/>
        <v>-1306404.3927713963</v>
      </c>
      <c r="M20" s="92">
        <f t="shared" si="3"/>
        <v>-2.7379721194407099E-3</v>
      </c>
    </row>
    <row r="21" spans="1:16107" ht="15.75" customHeight="1" x14ac:dyDescent="0.45">
      <c r="A21" s="29">
        <v>210022</v>
      </c>
      <c r="B21" s="29" t="s">
        <v>83</v>
      </c>
      <c r="C21" s="26">
        <v>343178201.83398962</v>
      </c>
      <c r="D21" s="93">
        <f>IFERROR(VLOOKUP($A21,'PAU Performance'!$A:$F,6,FALSE),"")</f>
        <v>6.8838818054235045</v>
      </c>
      <c r="E21" s="68">
        <f>IFERROR(D21/$D$53*Savings!$C$8*Savings!$C$16,"")</f>
        <v>-6.0538592094216818E-4</v>
      </c>
      <c r="F21" s="120">
        <f t="shared" si="0"/>
        <v>-207755.25176454708</v>
      </c>
      <c r="G21" s="70">
        <f>IFERROR(F21*Savings!$C$9*Savings!$C$16/$F$53,"")</f>
        <v>-163389.77439663926</v>
      </c>
      <c r="H21" s="27">
        <f>IFERROR(VLOOKUP(A21,'PAU Performance'!A:C,3,FALSE),"")</f>
        <v>5.5106388855049149E-2</v>
      </c>
      <c r="I21" s="28">
        <f>H21/$H$53*Savings!$C$8*Savings!$C$17</f>
        <v>-1.7383858566363186E-3</v>
      </c>
      <c r="J21" s="120">
        <f t="shared" si="1"/>
        <v>-596576.13237409154</v>
      </c>
      <c r="K21" s="70">
        <f>IFERROR(J21*Savings!$C$9*Savings!$C$17/$J$53,"")</f>
        <v>-598094.09480384574</v>
      </c>
      <c r="L21" s="120">
        <f t="shared" si="2"/>
        <v>-761483.86920048506</v>
      </c>
      <c r="M21" s="92">
        <f t="shared" si="3"/>
        <v>-2.2189167759811513E-3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  <c r="VUW21" s="12"/>
      <c r="VUX21" s="12"/>
      <c r="VUY21" s="12"/>
      <c r="VUZ21" s="12"/>
      <c r="VVA21" s="12"/>
      <c r="VVB21" s="12"/>
      <c r="VVC21" s="12"/>
      <c r="VVD21" s="12"/>
      <c r="VVE21" s="12"/>
      <c r="VVF21" s="12"/>
      <c r="VVG21" s="12"/>
      <c r="VVH21" s="12"/>
      <c r="VVI21" s="12"/>
      <c r="VVJ21" s="12"/>
      <c r="VVK21" s="12"/>
      <c r="VVL21" s="12"/>
      <c r="VVM21" s="12"/>
      <c r="VVN21" s="12"/>
      <c r="VVO21" s="12"/>
      <c r="VVP21" s="12"/>
      <c r="VVQ21" s="12"/>
      <c r="VVR21" s="12"/>
      <c r="VVS21" s="12"/>
      <c r="VVT21" s="12"/>
      <c r="VVU21" s="12"/>
      <c r="VVV21" s="12"/>
      <c r="VVW21" s="12"/>
      <c r="VVX21" s="12"/>
      <c r="VVY21" s="12"/>
      <c r="VVZ21" s="12"/>
      <c r="VWA21" s="12"/>
      <c r="VWB21" s="12"/>
      <c r="VWC21" s="12"/>
      <c r="VWD21" s="12"/>
      <c r="VWE21" s="12"/>
      <c r="VWF21" s="12"/>
      <c r="VWG21" s="12"/>
      <c r="VWH21" s="12"/>
      <c r="VWI21" s="12"/>
      <c r="VWJ21" s="12"/>
      <c r="VWK21" s="12"/>
      <c r="VWL21" s="12"/>
      <c r="VWM21" s="12"/>
      <c r="VWN21" s="12"/>
      <c r="VWO21" s="12"/>
      <c r="VWP21" s="12"/>
      <c r="VWQ21" s="12"/>
      <c r="VWR21" s="12"/>
      <c r="VWS21" s="12"/>
      <c r="VWT21" s="12"/>
      <c r="VWU21" s="12"/>
      <c r="VWV21" s="12"/>
      <c r="VWW21" s="12"/>
      <c r="VWX21" s="12"/>
      <c r="VWY21" s="12"/>
      <c r="VWZ21" s="12"/>
      <c r="VXA21" s="12"/>
      <c r="VXB21" s="12"/>
      <c r="VXC21" s="12"/>
      <c r="VXD21" s="12"/>
      <c r="VXE21" s="12"/>
      <c r="VXF21" s="12"/>
      <c r="VXG21" s="12"/>
      <c r="VXH21" s="12"/>
      <c r="VXI21" s="12"/>
      <c r="VXJ21" s="12"/>
      <c r="VXK21" s="12"/>
      <c r="VXL21" s="12"/>
      <c r="VXM21" s="12"/>
      <c r="VXN21" s="12"/>
      <c r="VXO21" s="12"/>
      <c r="VXP21" s="12"/>
      <c r="VXQ21" s="12"/>
      <c r="VXR21" s="12"/>
      <c r="VXS21" s="12"/>
      <c r="VXT21" s="12"/>
      <c r="VXU21" s="12"/>
      <c r="VXV21" s="12"/>
      <c r="VXW21" s="12"/>
      <c r="VXX21" s="12"/>
      <c r="VXY21" s="12"/>
      <c r="VXZ21" s="12"/>
      <c r="VYA21" s="12"/>
      <c r="VYB21" s="12"/>
      <c r="VYC21" s="12"/>
      <c r="VYD21" s="12"/>
      <c r="VYE21" s="12"/>
      <c r="VYF21" s="12"/>
      <c r="VYG21" s="12"/>
      <c r="VYH21" s="12"/>
      <c r="VYI21" s="12"/>
      <c r="VYJ21" s="12"/>
      <c r="VYK21" s="12"/>
      <c r="VYL21" s="12"/>
      <c r="VYM21" s="12"/>
      <c r="VYN21" s="12"/>
      <c r="VYO21" s="12"/>
      <c r="VYP21" s="12"/>
      <c r="VYQ21" s="12"/>
      <c r="VYR21" s="12"/>
      <c r="VYS21" s="12"/>
      <c r="VYT21" s="12"/>
      <c r="VYU21" s="12"/>
      <c r="VYV21" s="12"/>
      <c r="VYW21" s="12"/>
      <c r="VYX21" s="12"/>
      <c r="VYY21" s="12"/>
      <c r="VYZ21" s="12"/>
      <c r="VZA21" s="12"/>
      <c r="VZB21" s="12"/>
      <c r="VZC21" s="12"/>
      <c r="VZD21" s="12"/>
      <c r="VZE21" s="12"/>
      <c r="VZF21" s="12"/>
      <c r="VZG21" s="12"/>
      <c r="VZH21" s="12"/>
      <c r="VZI21" s="12"/>
      <c r="VZJ21" s="12"/>
      <c r="VZK21" s="12"/>
      <c r="VZL21" s="12"/>
      <c r="VZM21" s="12"/>
      <c r="VZN21" s="12"/>
      <c r="VZO21" s="12"/>
      <c r="VZP21" s="12"/>
      <c r="VZQ21" s="12"/>
      <c r="VZR21" s="12"/>
      <c r="VZS21" s="12"/>
      <c r="VZT21" s="12"/>
      <c r="VZU21" s="12"/>
      <c r="VZV21" s="12"/>
      <c r="VZW21" s="12"/>
      <c r="VZX21" s="12"/>
      <c r="VZY21" s="12"/>
      <c r="VZZ21" s="12"/>
      <c r="WAA21" s="12"/>
      <c r="WAB21" s="12"/>
      <c r="WAC21" s="12"/>
      <c r="WAD21" s="12"/>
      <c r="WAE21" s="12"/>
      <c r="WAF21" s="12"/>
      <c r="WAG21" s="12"/>
      <c r="WAH21" s="12"/>
      <c r="WAI21" s="12"/>
      <c r="WAJ21" s="12"/>
      <c r="WAK21" s="12"/>
      <c r="WAL21" s="12"/>
      <c r="WAM21" s="12"/>
      <c r="WAN21" s="12"/>
      <c r="WAO21" s="12"/>
      <c r="WAP21" s="12"/>
      <c r="WAQ21" s="12"/>
      <c r="WAR21" s="12"/>
      <c r="WAS21" s="12"/>
      <c r="WAT21" s="12"/>
      <c r="WAU21" s="12"/>
      <c r="WAV21" s="12"/>
      <c r="WAW21" s="12"/>
      <c r="WAX21" s="12"/>
      <c r="WAY21" s="12"/>
      <c r="WAZ21" s="12"/>
      <c r="WBA21" s="12"/>
      <c r="WBB21" s="12"/>
      <c r="WBC21" s="12"/>
      <c r="WBD21" s="12"/>
      <c r="WBE21" s="12"/>
      <c r="WBF21" s="12"/>
      <c r="WBG21" s="12"/>
      <c r="WBH21" s="12"/>
      <c r="WBI21" s="12"/>
      <c r="WBJ21" s="12"/>
      <c r="WBK21" s="12"/>
      <c r="WBL21" s="12"/>
      <c r="WBM21" s="12"/>
      <c r="WBN21" s="12"/>
      <c r="WBO21" s="12"/>
      <c r="WBP21" s="12"/>
      <c r="WBQ21" s="12"/>
      <c r="WBR21" s="12"/>
      <c r="WBS21" s="12"/>
      <c r="WBT21" s="12"/>
      <c r="WBU21" s="12"/>
      <c r="WBV21" s="12"/>
      <c r="WBW21" s="12"/>
      <c r="WBX21" s="12"/>
      <c r="WBY21" s="12"/>
      <c r="WBZ21" s="12"/>
      <c r="WCA21" s="12"/>
      <c r="WCB21" s="12"/>
      <c r="WCC21" s="12"/>
      <c r="WCD21" s="12"/>
      <c r="WCE21" s="12"/>
      <c r="WCF21" s="12"/>
      <c r="WCG21" s="12"/>
      <c r="WCH21" s="12"/>
      <c r="WCI21" s="12"/>
      <c r="WCJ21" s="12"/>
      <c r="WCK21" s="12"/>
      <c r="WCL21" s="12"/>
      <c r="WCM21" s="12"/>
      <c r="WCN21" s="12"/>
      <c r="WCO21" s="12"/>
      <c r="WCP21" s="12"/>
      <c r="WCQ21" s="12"/>
      <c r="WCR21" s="12"/>
      <c r="WCS21" s="12"/>
      <c r="WCT21" s="12"/>
      <c r="WCU21" s="12"/>
      <c r="WCV21" s="12"/>
      <c r="WCW21" s="12"/>
      <c r="WCX21" s="12"/>
      <c r="WCY21" s="12"/>
      <c r="WCZ21" s="12"/>
      <c r="WDA21" s="12"/>
      <c r="WDB21" s="12"/>
      <c r="WDC21" s="12"/>
      <c r="WDD21" s="12"/>
      <c r="WDE21" s="12"/>
      <c r="WDF21" s="12"/>
      <c r="WDG21" s="12"/>
      <c r="WDH21" s="12"/>
      <c r="WDI21" s="12"/>
      <c r="WDJ21" s="12"/>
      <c r="WDK21" s="12"/>
      <c r="WDL21" s="12"/>
      <c r="WDM21" s="12"/>
      <c r="WDN21" s="12"/>
      <c r="WDO21" s="12"/>
      <c r="WDP21" s="12"/>
      <c r="WDQ21" s="12"/>
      <c r="WDR21" s="12"/>
      <c r="WDS21" s="12"/>
      <c r="WDT21" s="12"/>
      <c r="WDU21" s="12"/>
      <c r="WDV21" s="12"/>
      <c r="WDW21" s="12"/>
      <c r="WDX21" s="12"/>
      <c r="WDY21" s="12"/>
      <c r="WDZ21" s="12"/>
      <c r="WEA21" s="12"/>
      <c r="WEB21" s="12"/>
      <c r="WEC21" s="12"/>
      <c r="WED21" s="12"/>
      <c r="WEE21" s="12"/>
      <c r="WEF21" s="12"/>
      <c r="WEG21" s="12"/>
      <c r="WEH21" s="12"/>
      <c r="WEI21" s="12"/>
      <c r="WEJ21" s="12"/>
      <c r="WEK21" s="12"/>
      <c r="WEL21" s="12"/>
      <c r="WEM21" s="12"/>
      <c r="WEN21" s="12"/>
      <c r="WEO21" s="12"/>
      <c r="WEP21" s="12"/>
      <c r="WEQ21" s="12"/>
      <c r="WER21" s="12"/>
      <c r="WES21" s="12"/>
      <c r="WET21" s="12"/>
      <c r="WEU21" s="12"/>
      <c r="WEV21" s="12"/>
      <c r="WEW21" s="12"/>
      <c r="WEX21" s="12"/>
      <c r="WEY21" s="12"/>
      <c r="WEZ21" s="12"/>
      <c r="WFA21" s="12"/>
      <c r="WFB21" s="12"/>
      <c r="WFC21" s="12"/>
      <c r="WFD21" s="12"/>
      <c r="WFE21" s="12"/>
      <c r="WFF21" s="12"/>
      <c r="WFG21" s="12"/>
      <c r="WFH21" s="12"/>
      <c r="WFI21" s="12"/>
      <c r="WFJ21" s="12"/>
      <c r="WFK21" s="12"/>
      <c r="WFL21" s="12"/>
      <c r="WFM21" s="12"/>
      <c r="WFN21" s="12"/>
      <c r="WFO21" s="12"/>
      <c r="WFP21" s="12"/>
      <c r="WFQ21" s="12"/>
      <c r="WFR21" s="12"/>
      <c r="WFS21" s="12"/>
      <c r="WFT21" s="12"/>
      <c r="WFU21" s="12"/>
      <c r="WFV21" s="12"/>
      <c r="WFW21" s="12"/>
      <c r="WFX21" s="12"/>
      <c r="WFY21" s="12"/>
      <c r="WFZ21" s="12"/>
      <c r="WGA21" s="12"/>
      <c r="WGB21" s="12"/>
      <c r="WGC21" s="12"/>
      <c r="WGD21" s="12"/>
      <c r="WGE21" s="12"/>
      <c r="WGF21" s="12"/>
      <c r="WGG21" s="12"/>
      <c r="WGH21" s="12"/>
      <c r="WGI21" s="12"/>
      <c r="WGJ21" s="12"/>
      <c r="WGK21" s="12"/>
      <c r="WGL21" s="12"/>
      <c r="WGM21" s="12"/>
      <c r="WGN21" s="12"/>
      <c r="WGO21" s="12"/>
      <c r="WGP21" s="12"/>
      <c r="WGQ21" s="12"/>
      <c r="WGR21" s="12"/>
      <c r="WGS21" s="12"/>
      <c r="WGT21" s="12"/>
      <c r="WGU21" s="12"/>
      <c r="WGV21" s="12"/>
      <c r="WGW21" s="12"/>
      <c r="WGX21" s="12"/>
      <c r="WGY21" s="12"/>
      <c r="WGZ21" s="12"/>
      <c r="WHA21" s="12"/>
      <c r="WHB21" s="12"/>
      <c r="WHC21" s="12"/>
      <c r="WHD21" s="12"/>
      <c r="WHE21" s="12"/>
      <c r="WHF21" s="12"/>
      <c r="WHG21" s="12"/>
      <c r="WHH21" s="12"/>
      <c r="WHI21" s="12"/>
      <c r="WHJ21" s="12"/>
      <c r="WHK21" s="12"/>
      <c r="WHL21" s="12"/>
      <c r="WHM21" s="12"/>
      <c r="WHN21" s="12"/>
      <c r="WHO21" s="12"/>
      <c r="WHP21" s="12"/>
      <c r="WHQ21" s="12"/>
      <c r="WHR21" s="12"/>
      <c r="WHS21" s="12"/>
      <c r="WHT21" s="12"/>
      <c r="WHU21" s="12"/>
      <c r="WHV21" s="12"/>
      <c r="WHW21" s="12"/>
      <c r="WHX21" s="12"/>
      <c r="WHY21" s="12"/>
      <c r="WHZ21" s="12"/>
      <c r="WIA21" s="12"/>
      <c r="WIB21" s="12"/>
      <c r="WIC21" s="12"/>
      <c r="WID21" s="12"/>
      <c r="WIE21" s="12"/>
      <c r="WIF21" s="12"/>
      <c r="WIG21" s="12"/>
      <c r="WIH21" s="12"/>
      <c r="WII21" s="12"/>
      <c r="WIJ21" s="12"/>
      <c r="WIK21" s="12"/>
      <c r="WIL21" s="12"/>
      <c r="WIM21" s="12"/>
      <c r="WIN21" s="12"/>
      <c r="WIO21" s="12"/>
      <c r="WIP21" s="12"/>
      <c r="WIQ21" s="12"/>
      <c r="WIR21" s="12"/>
      <c r="WIS21" s="12"/>
      <c r="WIT21" s="12"/>
      <c r="WIU21" s="12"/>
      <c r="WIV21" s="12"/>
      <c r="WIW21" s="12"/>
      <c r="WIX21" s="12"/>
      <c r="WIY21" s="12"/>
      <c r="WIZ21" s="12"/>
      <c r="WJA21" s="12"/>
      <c r="WJB21" s="12"/>
      <c r="WJC21" s="12"/>
      <c r="WJD21" s="12"/>
      <c r="WJE21" s="12"/>
      <c r="WJF21" s="12"/>
      <c r="WJG21" s="12"/>
      <c r="WJH21" s="12"/>
      <c r="WJI21" s="12"/>
      <c r="WJJ21" s="12"/>
      <c r="WJK21" s="12"/>
      <c r="WJL21" s="12"/>
      <c r="WJM21" s="12"/>
      <c r="WJN21" s="12"/>
      <c r="WJO21" s="12"/>
      <c r="WJP21" s="12"/>
      <c r="WJQ21" s="12"/>
      <c r="WJR21" s="12"/>
      <c r="WJS21" s="12"/>
      <c r="WJT21" s="12"/>
      <c r="WJU21" s="12"/>
      <c r="WJV21" s="12"/>
      <c r="WJW21" s="12"/>
      <c r="WJX21" s="12"/>
      <c r="WJY21" s="12"/>
      <c r="WJZ21" s="12"/>
      <c r="WKA21" s="12"/>
      <c r="WKB21" s="12"/>
      <c r="WKC21" s="12"/>
      <c r="WKD21" s="12"/>
      <c r="WKE21" s="12"/>
      <c r="WKF21" s="12"/>
      <c r="WKG21" s="12"/>
      <c r="WKH21" s="12"/>
      <c r="WKI21" s="12"/>
      <c r="WKJ21" s="12"/>
      <c r="WKK21" s="12"/>
      <c r="WKL21" s="12"/>
      <c r="WKM21" s="12"/>
      <c r="WKN21" s="12"/>
      <c r="WKO21" s="12"/>
      <c r="WKP21" s="12"/>
      <c r="WKQ21" s="12"/>
      <c r="WKR21" s="12"/>
      <c r="WKS21" s="12"/>
      <c r="WKT21" s="12"/>
      <c r="WKU21" s="12"/>
      <c r="WKV21" s="12"/>
      <c r="WKW21" s="12"/>
      <c r="WKX21" s="12"/>
      <c r="WKY21" s="12"/>
      <c r="WKZ21" s="12"/>
      <c r="WLA21" s="12"/>
      <c r="WLB21" s="12"/>
      <c r="WLC21" s="12"/>
      <c r="WLD21" s="12"/>
      <c r="WLE21" s="12"/>
      <c r="WLF21" s="12"/>
      <c r="WLG21" s="12"/>
      <c r="WLH21" s="12"/>
      <c r="WLI21" s="12"/>
      <c r="WLJ21" s="12"/>
      <c r="WLK21" s="12"/>
      <c r="WLL21" s="12"/>
      <c r="WLM21" s="12"/>
      <c r="WLN21" s="12"/>
      <c r="WLO21" s="12"/>
      <c r="WLP21" s="12"/>
      <c r="WLQ21" s="12"/>
      <c r="WLR21" s="12"/>
      <c r="WLS21" s="12"/>
      <c r="WLT21" s="12"/>
      <c r="WLU21" s="12"/>
      <c r="WLV21" s="12"/>
      <c r="WLW21" s="12"/>
      <c r="WLX21" s="12"/>
      <c r="WLY21" s="12"/>
      <c r="WLZ21" s="12"/>
      <c r="WMA21" s="12"/>
      <c r="WMB21" s="12"/>
      <c r="WMC21" s="12"/>
      <c r="WMD21" s="12"/>
      <c r="WME21" s="12"/>
      <c r="WMF21" s="12"/>
      <c r="WMG21" s="12"/>
      <c r="WMH21" s="12"/>
      <c r="WMI21" s="12"/>
      <c r="WMJ21" s="12"/>
      <c r="WMK21" s="12"/>
      <c r="WML21" s="12"/>
      <c r="WMM21" s="12"/>
      <c r="WMN21" s="12"/>
      <c r="WMO21" s="12"/>
      <c r="WMP21" s="12"/>
      <c r="WMQ21" s="12"/>
      <c r="WMR21" s="12"/>
      <c r="WMS21" s="12"/>
      <c r="WMT21" s="12"/>
      <c r="WMU21" s="12"/>
      <c r="WMV21" s="12"/>
      <c r="WMW21" s="12"/>
      <c r="WMX21" s="12"/>
      <c r="WMY21" s="12"/>
      <c r="WMZ21" s="12"/>
      <c r="WNA21" s="12"/>
      <c r="WNB21" s="12"/>
      <c r="WNC21" s="12"/>
      <c r="WND21" s="12"/>
      <c r="WNE21" s="12"/>
      <c r="WNF21" s="12"/>
      <c r="WNG21" s="12"/>
      <c r="WNH21" s="12"/>
      <c r="WNI21" s="12"/>
      <c r="WNJ21" s="12"/>
      <c r="WNK21" s="12"/>
      <c r="WNL21" s="12"/>
      <c r="WNM21" s="12"/>
      <c r="WNN21" s="12"/>
      <c r="WNO21" s="12"/>
      <c r="WNP21" s="12"/>
      <c r="WNQ21" s="12"/>
      <c r="WNR21" s="12"/>
      <c r="WNS21" s="12"/>
      <c r="WNT21" s="12"/>
      <c r="WNU21" s="12"/>
      <c r="WNV21" s="12"/>
      <c r="WNW21" s="12"/>
      <c r="WNX21" s="12"/>
      <c r="WNY21" s="12"/>
      <c r="WNZ21" s="12"/>
      <c r="WOA21" s="12"/>
      <c r="WOB21" s="12"/>
      <c r="WOC21" s="12"/>
      <c r="WOD21" s="12"/>
      <c r="WOE21" s="12"/>
      <c r="WOF21" s="12"/>
      <c r="WOG21" s="12"/>
      <c r="WOH21" s="12"/>
      <c r="WOI21" s="12"/>
      <c r="WOJ21" s="12"/>
      <c r="WOK21" s="12"/>
      <c r="WOL21" s="12"/>
      <c r="WOM21" s="12"/>
      <c r="WON21" s="12"/>
      <c r="WOO21" s="12"/>
      <c r="WOP21" s="12"/>
      <c r="WOQ21" s="12"/>
      <c r="WOR21" s="12"/>
      <c r="WOS21" s="12"/>
      <c r="WOT21" s="12"/>
      <c r="WOU21" s="12"/>
      <c r="WOV21" s="12"/>
      <c r="WOW21" s="12"/>
      <c r="WOX21" s="12"/>
      <c r="WOY21" s="12"/>
      <c r="WOZ21" s="12"/>
      <c r="WPA21" s="12"/>
      <c r="WPB21" s="12"/>
      <c r="WPC21" s="12"/>
      <c r="WPD21" s="12"/>
      <c r="WPE21" s="12"/>
      <c r="WPF21" s="12"/>
      <c r="WPG21" s="12"/>
      <c r="WPH21" s="12"/>
      <c r="WPI21" s="12"/>
      <c r="WPJ21" s="12"/>
      <c r="WPK21" s="12"/>
      <c r="WPL21" s="12"/>
      <c r="WPM21" s="12"/>
      <c r="WPN21" s="12"/>
      <c r="WPO21" s="12"/>
      <c r="WPP21" s="12"/>
      <c r="WPQ21" s="12"/>
      <c r="WPR21" s="12"/>
      <c r="WPS21" s="12"/>
      <c r="WPT21" s="12"/>
      <c r="WPU21" s="12"/>
      <c r="WPV21" s="12"/>
      <c r="WPW21" s="12"/>
      <c r="WPX21" s="12"/>
      <c r="WPY21" s="12"/>
      <c r="WPZ21" s="12"/>
      <c r="WQA21" s="12"/>
      <c r="WQB21" s="12"/>
      <c r="WQC21" s="12"/>
      <c r="WQD21" s="12"/>
      <c r="WQE21" s="12"/>
      <c r="WQF21" s="12"/>
      <c r="WQG21" s="12"/>
      <c r="WQH21" s="12"/>
      <c r="WQI21" s="12"/>
      <c r="WQJ21" s="12"/>
      <c r="WQK21" s="12"/>
      <c r="WQL21" s="12"/>
      <c r="WQM21" s="12"/>
      <c r="WQN21" s="12"/>
      <c r="WQO21" s="12"/>
      <c r="WQP21" s="12"/>
      <c r="WQQ21" s="12"/>
      <c r="WQR21" s="12"/>
      <c r="WQS21" s="12"/>
      <c r="WQT21" s="12"/>
      <c r="WQU21" s="12"/>
      <c r="WQV21" s="12"/>
      <c r="WQW21" s="12"/>
      <c r="WQX21" s="12"/>
      <c r="WQY21" s="12"/>
      <c r="WQZ21" s="12"/>
      <c r="WRA21" s="12"/>
      <c r="WRB21" s="12"/>
      <c r="WRC21" s="12"/>
      <c r="WRD21" s="12"/>
      <c r="WRE21" s="12"/>
      <c r="WRF21" s="12"/>
      <c r="WRG21" s="12"/>
      <c r="WRH21" s="12"/>
      <c r="WRI21" s="12"/>
      <c r="WRJ21" s="12"/>
      <c r="WRK21" s="12"/>
      <c r="WRL21" s="12"/>
      <c r="WRM21" s="12"/>
      <c r="WRN21" s="12"/>
      <c r="WRO21" s="12"/>
      <c r="WRP21" s="12"/>
      <c r="WRQ21" s="12"/>
      <c r="WRR21" s="12"/>
      <c r="WRS21" s="12"/>
      <c r="WRT21" s="12"/>
      <c r="WRU21" s="12"/>
      <c r="WRV21" s="12"/>
      <c r="WRW21" s="12"/>
      <c r="WRX21" s="12"/>
      <c r="WRY21" s="12"/>
      <c r="WRZ21" s="12"/>
      <c r="WSA21" s="12"/>
      <c r="WSB21" s="12"/>
      <c r="WSC21" s="12"/>
      <c r="WSD21" s="12"/>
      <c r="WSE21" s="12"/>
      <c r="WSF21" s="12"/>
      <c r="WSG21" s="12"/>
      <c r="WSH21" s="12"/>
      <c r="WSI21" s="12"/>
      <c r="WSJ21" s="12"/>
      <c r="WSK21" s="12"/>
      <c r="WSL21" s="12"/>
      <c r="WSM21" s="12"/>
      <c r="WSN21" s="12"/>
      <c r="WSO21" s="12"/>
      <c r="WSP21" s="12"/>
      <c r="WSQ21" s="12"/>
      <c r="WSR21" s="12"/>
      <c r="WSS21" s="12"/>
      <c r="WST21" s="12"/>
      <c r="WSU21" s="12"/>
      <c r="WSV21" s="12"/>
      <c r="WSW21" s="12"/>
      <c r="WSX21" s="12"/>
      <c r="WSY21" s="12"/>
      <c r="WSZ21" s="12"/>
      <c r="WTA21" s="12"/>
      <c r="WTB21" s="12"/>
      <c r="WTC21" s="12"/>
      <c r="WTD21" s="12"/>
      <c r="WTE21" s="12"/>
      <c r="WTF21" s="12"/>
      <c r="WTG21" s="12"/>
      <c r="WTH21" s="12"/>
      <c r="WTI21" s="12"/>
      <c r="WTJ21" s="12"/>
      <c r="WTK21" s="12"/>
      <c r="WTL21" s="12"/>
      <c r="WTM21" s="12"/>
      <c r="WTN21" s="12"/>
      <c r="WTO21" s="12"/>
      <c r="WTP21" s="12"/>
      <c r="WTQ21" s="12"/>
      <c r="WTR21" s="12"/>
      <c r="WTS21" s="12"/>
      <c r="WTT21" s="12"/>
      <c r="WTU21" s="12"/>
      <c r="WTV21" s="12"/>
      <c r="WTW21" s="12"/>
      <c r="WTX21" s="12"/>
      <c r="WTY21" s="12"/>
      <c r="WTZ21" s="12"/>
      <c r="WUA21" s="12"/>
      <c r="WUB21" s="12"/>
      <c r="WUC21" s="12"/>
      <c r="WUD21" s="12"/>
      <c r="WUE21" s="12"/>
      <c r="WUF21" s="12"/>
      <c r="WUG21" s="12"/>
      <c r="WUH21" s="12"/>
      <c r="WUI21" s="12"/>
      <c r="WUJ21" s="12"/>
      <c r="WUK21" s="12"/>
      <c r="WUL21" s="12"/>
      <c r="WUM21" s="12"/>
    </row>
    <row r="22" spans="1:16107" ht="15.75" customHeight="1" x14ac:dyDescent="0.45">
      <c r="A22" s="29">
        <v>210023</v>
      </c>
      <c r="B22" s="29" t="s">
        <v>84</v>
      </c>
      <c r="C22" s="26">
        <v>647817213.84312713</v>
      </c>
      <c r="D22" s="93">
        <f>IFERROR(VLOOKUP($A22,'PAU Performance'!$A:$F,6,FALSE),"")</f>
        <v>9.6709743333168401</v>
      </c>
      <c r="E22" s="68">
        <f>IFERROR(D22/$D$53*Savings!$C$8*Savings!$C$16,"")</f>
        <v>-8.5048986439169392E-4</v>
      </c>
      <c r="F22" s="120">
        <f t="shared" si="0"/>
        <v>-550961.97435204615</v>
      </c>
      <c r="G22" s="70">
        <f>IFERROR(F22*Savings!$C$9*Savings!$C$16/$F$53,"")</f>
        <v>-433305.7861397934</v>
      </c>
      <c r="H22" s="27">
        <f>IFERROR(VLOOKUP(A22,'PAU Performance'!A:C,3,FALSE),"")</f>
        <v>3.8201798702434737E-2</v>
      </c>
      <c r="I22" s="28">
        <f>H22/$H$53*Savings!$C$8*Savings!$C$17</f>
        <v>-1.2051137434728751E-3</v>
      </c>
      <c r="J22" s="120">
        <f t="shared" si="1"/>
        <v>-780693.42766065896</v>
      </c>
      <c r="K22" s="70">
        <f>IFERROR(J22*Savings!$C$9*Savings!$C$17/$J$53,"")</f>
        <v>-782679.86866631731</v>
      </c>
      <c r="L22" s="120">
        <f t="shared" si="2"/>
        <v>-1215985.6548061108</v>
      </c>
      <c r="M22" s="92">
        <f t="shared" si="3"/>
        <v>-1.8770505457741187E-3</v>
      </c>
    </row>
    <row r="23" spans="1:16107" ht="15.75" customHeight="1" x14ac:dyDescent="0.45">
      <c r="A23" s="29">
        <v>210024</v>
      </c>
      <c r="B23" s="29" t="s">
        <v>85</v>
      </c>
      <c r="C23" s="26">
        <v>427877918.02081615</v>
      </c>
      <c r="D23" s="93">
        <f>IFERROR(VLOOKUP($A23,'PAU Performance'!$A:$F,6,FALSE),"")</f>
        <v>25.111958075656538</v>
      </c>
      <c r="E23" s="68">
        <f>IFERROR(D23/$D$53*Savings!$C$8*Savings!$C$16,"")</f>
        <v>-2.2084089029993418E-3</v>
      </c>
      <c r="F23" s="120">
        <f t="shared" si="0"/>
        <v>-944929.40355399286</v>
      </c>
      <c r="G23" s="70">
        <f>IFERROR(F23*Savings!$C$9*Savings!$C$16/$F$53,"")</f>
        <v>-743142.71603787388</v>
      </c>
      <c r="H23" s="27">
        <f>IFERROR(VLOOKUP(A23,'PAU Performance'!A:C,3,FALSE),"")</f>
        <v>5.3949561008293782E-2</v>
      </c>
      <c r="I23" s="28">
        <f>H23/$H$53*Savings!$C$8*Savings!$C$17</f>
        <v>-1.70189257139035E-3</v>
      </c>
      <c r="J23" s="120">
        <f t="shared" si="1"/>
        <v>-728202.25014159619</v>
      </c>
      <c r="K23" s="70">
        <f>IFERROR(J23*Savings!$C$9*Savings!$C$17/$J$53,"")</f>
        <v>-730055.12959317362</v>
      </c>
      <c r="L23" s="120">
        <f t="shared" si="2"/>
        <v>-1473197.8456310476</v>
      </c>
      <c r="M23" s="92">
        <f t="shared" si="3"/>
        <v>-3.4430331260034246E-3</v>
      </c>
    </row>
    <row r="24" spans="1:16107" ht="15.75" customHeight="1" x14ac:dyDescent="0.45">
      <c r="A24" s="29">
        <v>210027</v>
      </c>
      <c r="B24" s="29" t="s">
        <v>86</v>
      </c>
      <c r="C24" s="26">
        <v>337690082.23472005</v>
      </c>
      <c r="D24" s="93">
        <f>IFERROR(VLOOKUP($A24,'PAU Performance'!$A:$F,6,FALSE),"")</f>
        <v>15.446204296173104</v>
      </c>
      <c r="E24" s="68">
        <f>IFERROR(D24/$D$53*Savings!$C$8*Savings!$C$16,"")</f>
        <v>-1.35837814727331E-3</v>
      </c>
      <c r="F24" s="120">
        <f t="shared" si="0"/>
        <v>-458710.82825857075</v>
      </c>
      <c r="G24" s="70">
        <f>IFERROR(F24*Savings!$C$9*Savings!$C$16/$F$53,"")</f>
        <v>-360754.58071887464</v>
      </c>
      <c r="H24" s="27">
        <f>IFERROR(VLOOKUP(A24,'PAU Performance'!A:C,3,FALSE),"")</f>
        <v>5.1388116992853956E-2</v>
      </c>
      <c r="I24" s="28">
        <f>H24/$H$53*Savings!$C$8*Savings!$C$17</f>
        <v>-1.6210892717816814E-3</v>
      </c>
      <c r="J24" s="120">
        <f t="shared" si="1"/>
        <v>-547425.76949777838</v>
      </c>
      <c r="K24" s="70">
        <f>IFERROR(J24*Savings!$C$9*Savings!$C$17/$J$53,"")</f>
        <v>-548818.67093329178</v>
      </c>
      <c r="L24" s="120">
        <f t="shared" si="2"/>
        <v>-909573.25165216648</v>
      </c>
      <c r="M24" s="92">
        <f t="shared" si="3"/>
        <v>-2.6935148513480612E-3</v>
      </c>
    </row>
    <row r="25" spans="1:16107" ht="15.75" customHeight="1" x14ac:dyDescent="0.45">
      <c r="A25" s="29">
        <v>210028</v>
      </c>
      <c r="B25" s="29" t="s">
        <v>87</v>
      </c>
      <c r="C25" s="26">
        <v>192239836.21771783</v>
      </c>
      <c r="D25" s="93">
        <f>IFERROR(VLOOKUP($A25,'PAU Performance'!$A:$F,6,FALSE),"")</f>
        <v>16.260566242650356</v>
      </c>
      <c r="E25" s="68">
        <f>IFERROR(D25/$D$53*Savings!$C$8*Savings!$C$16,"")</f>
        <v>-1.4299951899366477E-3</v>
      </c>
      <c r="F25" s="120">
        <f t="shared" si="0"/>
        <v>-274902.04110554542</v>
      </c>
      <c r="G25" s="70">
        <f>IFERROR(F25*Savings!$C$9*Savings!$C$16/$F$53,"")</f>
        <v>-216197.57910291033</v>
      </c>
      <c r="H25" s="27">
        <f>IFERROR(VLOOKUP(A25,'PAU Performance'!A:C,3,FALSE),"")</f>
        <v>4.2601188449855283E-2</v>
      </c>
      <c r="I25" s="28">
        <f>H25/$H$53*Savings!$C$8*Savings!$C$17</f>
        <v>-1.3438968695975691E-3</v>
      </c>
      <c r="J25" s="120">
        <f t="shared" si="1"/>
        <v>-258350.51410494038</v>
      </c>
      <c r="K25" s="70">
        <f>IFERROR(J25*Savings!$C$9*Savings!$C$17/$J$53,"")</f>
        <v>-259007.87592824761</v>
      </c>
      <c r="L25" s="120">
        <f t="shared" si="2"/>
        <v>-475205.45503115794</v>
      </c>
      <c r="M25" s="92">
        <f t="shared" si="3"/>
        <v>-2.4719405945236679E-3</v>
      </c>
    </row>
    <row r="26" spans="1:16107" ht="15.75" customHeight="1" x14ac:dyDescent="0.45">
      <c r="A26" s="29">
        <v>210029</v>
      </c>
      <c r="B26" s="29" t="s">
        <v>112</v>
      </c>
      <c r="C26" s="26">
        <v>705163929.41848516</v>
      </c>
      <c r="D26" s="93">
        <f>IFERROR(VLOOKUP($A26,'PAU Performance'!$A:$F,6,FALSE),"")</f>
        <v>26.965934474689078</v>
      </c>
      <c r="E26" s="68">
        <f>IFERROR(D26/$D$53*Savings!$C$8*Savings!$C$16,"")</f>
        <v>-2.3714522615952277E-3</v>
      </c>
      <c r="F26" s="120">
        <f t="shared" si="0"/>
        <v>-1672262.5952148442</v>
      </c>
      <c r="G26" s="70">
        <f>IFERROR(F26*Savings!$C$9*Savings!$C$16/$F$53,"")</f>
        <v>-1315156.2034819187</v>
      </c>
      <c r="H26" s="27">
        <f>IFERROR(VLOOKUP(A26,'PAU Performance'!A:C,3,FALSE),"")</f>
        <v>5.2880697454664768E-2</v>
      </c>
      <c r="I26" s="28">
        <f>H26/$H$53*Savings!$C$8*Savings!$C$17</f>
        <v>-1.6681742072785187E-3</v>
      </c>
      <c r="J26" s="120">
        <f t="shared" si="1"/>
        <v>-1176336.2789590869</v>
      </c>
      <c r="K26" s="70">
        <f>IFERROR(J26*Savings!$C$9*Savings!$C$17/$J$53,"")</f>
        <v>-1179329.4162626376</v>
      </c>
      <c r="L26" s="120">
        <f t="shared" si="2"/>
        <v>-2494485.619744556</v>
      </c>
      <c r="M26" s="92">
        <f t="shared" si="3"/>
        <v>-3.5374549316520465E-3</v>
      </c>
    </row>
    <row r="27" spans="1:16107" ht="15.75" customHeight="1" x14ac:dyDescent="0.45">
      <c r="A27" s="29">
        <v>210030</v>
      </c>
      <c r="B27" s="29" t="s">
        <v>88</v>
      </c>
      <c r="C27" s="26">
        <v>53014108.545908906</v>
      </c>
      <c r="D27" s="93">
        <f>IFERROR(VLOOKUP($A27,'PAU Performance'!$A:$F,6,FALSE),"")</f>
        <v>7.6473783212575084</v>
      </c>
      <c r="E27" s="68">
        <f>IFERROR(D27/$D$53*Savings!$C$8*Savings!$C$16,"")</f>
        <v>-6.7252972939776229E-4</v>
      </c>
      <c r="F27" s="120">
        <f t="shared" si="0"/>
        <v>-35653.564074643713</v>
      </c>
      <c r="G27" s="70">
        <f>IFERROR(F27*Savings!$C$9*Savings!$C$16/$F$53,"")</f>
        <v>-28039.858155760245</v>
      </c>
      <c r="H27" s="27">
        <f>IFERROR(VLOOKUP(A27,'PAU Performance'!A:C,3,FALSE),"")</f>
        <v>2.0498229969204401E-2</v>
      </c>
      <c r="I27" s="28">
        <f>H27/$H$53*Savings!$C$8*Savings!$C$17</f>
        <v>-6.4663705615467275E-4</v>
      </c>
      <c r="J27" s="120">
        <f t="shared" si="1"/>
        <v>-34280.887084790811</v>
      </c>
      <c r="K27" s="70">
        <f>IFERROR(J27*Savings!$C$9*Savings!$C$17/$J$53,"")</f>
        <v>-34368.113334433547</v>
      </c>
      <c r="L27" s="120">
        <f t="shared" si="2"/>
        <v>-62407.971490193791</v>
      </c>
      <c r="M27" s="92">
        <f t="shared" si="3"/>
        <v>-1.1771955277933238E-3</v>
      </c>
    </row>
    <row r="28" spans="1:16107" ht="15.75" customHeight="1" x14ac:dyDescent="0.45">
      <c r="A28" s="29">
        <v>210032</v>
      </c>
      <c r="B28" s="29" t="s">
        <v>89</v>
      </c>
      <c r="C28" s="26">
        <v>168517162.60426727</v>
      </c>
      <c r="D28" s="93">
        <f>IFERROR(VLOOKUP($A28,'PAU Performance'!$A:$F,6,FALSE),"")</f>
        <v>13.675002089059069</v>
      </c>
      <c r="E28" s="68">
        <f>IFERROR(D28/$D$53*Savings!$C$8*Savings!$C$16,"")</f>
        <v>-1.2026141597969789E-3</v>
      </c>
      <c r="F28" s="120">
        <f t="shared" si="0"/>
        <v>-202661.12591670174</v>
      </c>
      <c r="G28" s="70">
        <f>IFERROR(F28*Savings!$C$9*Savings!$C$16/$F$53,"")</f>
        <v>-159383.48302273537</v>
      </c>
      <c r="H28" s="27">
        <f>IFERROR(VLOOKUP(A28,'PAU Performance'!A:C,3,FALSE),"")</f>
        <v>5.2425598673428234E-2</v>
      </c>
      <c r="I28" s="28">
        <f>H28/$H$53*Savings!$C$8*Savings!$C$17</f>
        <v>-1.6538176634891039E-3</v>
      </c>
      <c r="J28" s="120">
        <f t="shared" si="1"/>
        <v>-278696.66011600266</v>
      </c>
      <c r="K28" s="70">
        <f>IFERROR(J28*Savings!$C$9*Savings!$C$17/$J$53,"")</f>
        <v>-279405.79183682858</v>
      </c>
      <c r="L28" s="120">
        <f t="shared" si="2"/>
        <v>-438789.27485956391</v>
      </c>
      <c r="M28" s="92">
        <f t="shared" si="3"/>
        <v>-2.6038254387773124E-3</v>
      </c>
    </row>
    <row r="29" spans="1:16107" ht="15.75" customHeight="1" x14ac:dyDescent="0.45">
      <c r="A29" s="29">
        <v>210033</v>
      </c>
      <c r="B29" s="29" t="s">
        <v>90</v>
      </c>
      <c r="C29" s="26">
        <v>236462592.55836159</v>
      </c>
      <c r="D29" s="93">
        <f>IFERROR(VLOOKUP($A29,'PAU Performance'!$A:$F,6,FALSE),"")</f>
        <v>15.065361374819203</v>
      </c>
      <c r="E29" s="68">
        <f>IFERROR(D29/$D$53*Savings!$C$8*Savings!$C$16,"")</f>
        <v>-1.3248858606253187E-3</v>
      </c>
      <c r="F29" s="120">
        <f t="shared" si="0"/>
        <v>-313285.94544737897</v>
      </c>
      <c r="G29" s="70">
        <f>IFERROR(F29*Savings!$C$9*Savings!$C$16/$F$53,"")</f>
        <v>-246384.72199151476</v>
      </c>
      <c r="H29" s="27">
        <f>IFERROR(VLOOKUP(A29,'PAU Performance'!A:C,3,FALSE),"")</f>
        <v>6.0507933458546041E-2</v>
      </c>
      <c r="I29" s="28">
        <f>H29/$H$53*Savings!$C$8*Savings!$C$17</f>
        <v>-1.9087829546462869E-3</v>
      </c>
      <c r="J29" s="120">
        <f t="shared" si="1"/>
        <v>-451355.76608687051</v>
      </c>
      <c r="K29" s="70">
        <f>IFERROR(J29*Savings!$C$9*Savings!$C$17/$J$53,"")</f>
        <v>-452504.22151140496</v>
      </c>
      <c r="L29" s="120">
        <f t="shared" si="2"/>
        <v>-698888.94350291975</v>
      </c>
      <c r="M29" s="92">
        <f t="shared" si="3"/>
        <v>-2.9556004437802405E-3</v>
      </c>
    </row>
    <row r="30" spans="1:16107" ht="15.75" customHeight="1" x14ac:dyDescent="0.45">
      <c r="A30" s="29">
        <v>210034</v>
      </c>
      <c r="B30" s="29" t="s">
        <v>91</v>
      </c>
      <c r="C30" s="26">
        <v>192655127.69414809</v>
      </c>
      <c r="D30" s="93">
        <f>IFERROR(VLOOKUP($A30,'PAU Performance'!$A:$F,6,FALSE),"")</f>
        <v>33.687809522030392</v>
      </c>
      <c r="E30" s="68">
        <f>IFERROR(D30/$D$53*Savings!$C$8*Savings!$C$16,"")</f>
        <v>-2.9625908997959675E-3</v>
      </c>
      <c r="F30" s="120">
        <f t="shared" si="0"/>
        <v>-570758.32810571324</v>
      </c>
      <c r="G30" s="70">
        <f>IFERROR(F30*Savings!$C$9*Savings!$C$16/$F$53,"")</f>
        <v>-448874.69111916539</v>
      </c>
      <c r="H30" s="27">
        <f>IFERROR(VLOOKUP(A30,'PAU Performance'!A:C,3,FALSE),"")</f>
        <v>6.7616715232245578E-2</v>
      </c>
      <c r="I30" s="28">
        <f>H30/$H$53*Savings!$C$8*Savings!$C$17</f>
        <v>-2.1330365475612399E-3</v>
      </c>
      <c r="J30" s="120">
        <f t="shared" si="1"/>
        <v>-410940.42844669544</v>
      </c>
      <c r="K30" s="70">
        <f>IFERROR(J30*Savings!$C$9*Savings!$C$17/$J$53,"")</f>
        <v>-411986.04877476121</v>
      </c>
      <c r="L30" s="120">
        <f t="shared" si="2"/>
        <v>-860860.73989392654</v>
      </c>
      <c r="M30" s="92">
        <f t="shared" si="3"/>
        <v>-4.4684029446680294E-3</v>
      </c>
    </row>
    <row r="31" spans="1:16107" ht="15.75" customHeight="1" x14ac:dyDescent="0.45">
      <c r="A31" s="29">
        <v>210035</v>
      </c>
      <c r="B31" s="29" t="s">
        <v>92</v>
      </c>
      <c r="C31" s="26">
        <v>157021920.41008353</v>
      </c>
      <c r="D31" s="93">
        <f>IFERROR(VLOOKUP($A31,'PAU Performance'!$A:$F,6,FALSE),"")</f>
        <v>10.670282231697474</v>
      </c>
      <c r="E31" s="68">
        <f>IFERROR(D31/$D$53*Savings!$C$8*Savings!$C$16,"")</f>
        <v>-9.383715203331595E-4</v>
      </c>
      <c r="F31" s="120">
        <f t="shared" si="0"/>
        <v>-147344.89818084246</v>
      </c>
      <c r="G31" s="70">
        <f>IFERROR(F31*Savings!$C$9*Savings!$C$16/$F$53,"")</f>
        <v>-115879.86088336233</v>
      </c>
      <c r="H31" s="27">
        <f>IFERROR(VLOOKUP(A31,'PAU Performance'!A:C,3,FALSE),"")</f>
        <v>5.2681271800138214E-2</v>
      </c>
      <c r="I31" s="28">
        <f>H31/$H$53*Savings!$C$8*Savings!$C$17</f>
        <v>-1.6618831266165049E-3</v>
      </c>
      <c r="J31" s="120">
        <f t="shared" si="1"/>
        <v>-260952.08003843759</v>
      </c>
      <c r="K31" s="70">
        <f>IFERROR(J31*Savings!$C$9*Savings!$C$17/$J$53,"")</f>
        <v>-261616.06143489107</v>
      </c>
      <c r="L31" s="120">
        <f t="shared" si="2"/>
        <v>-377495.92231825343</v>
      </c>
      <c r="M31" s="92">
        <f t="shared" si="3"/>
        <v>-2.4040969651394715E-3</v>
      </c>
    </row>
    <row r="32" spans="1:16107" ht="15.75" customHeight="1" x14ac:dyDescent="0.45">
      <c r="A32" s="29">
        <v>210037</v>
      </c>
      <c r="B32" s="29" t="s">
        <v>93</v>
      </c>
      <c r="C32" s="26">
        <v>227343681.50168034</v>
      </c>
      <c r="D32" s="93">
        <f>IFERROR(VLOOKUP($A32,'PAU Performance'!$A:$F,6,FALSE),"")</f>
        <v>9.7285593531820567</v>
      </c>
      <c r="E32" s="68">
        <f>IFERROR(D32/$D$53*Savings!$C$8*Savings!$C$16,"")</f>
        <v>-8.555540362163921E-4</v>
      </c>
      <c r="F32" s="120">
        <f t="shared" si="0"/>
        <v>-194504.80431705652</v>
      </c>
      <c r="G32" s="70">
        <f>IFERROR(F32*Savings!$C$9*Savings!$C$16/$F$53,"")</f>
        <v>-152968.91812122907</v>
      </c>
      <c r="H32" s="27">
        <f>IFERROR(VLOOKUP(A32,'PAU Performance'!A:C,3,FALSE),"")</f>
        <v>3.1092525392398623E-2</v>
      </c>
      <c r="I32" s="28">
        <f>H32/$H$53*Savings!$C$8*Savings!$C$17</f>
        <v>-9.8084464455520091E-4</v>
      </c>
      <c r="J32" s="120">
        <f t="shared" si="1"/>
        <v>-222988.83247438647</v>
      </c>
      <c r="K32" s="70">
        <f>IFERROR(J32*Savings!$C$9*Savings!$C$17/$J$53,"")</f>
        <v>-223556.21801259741</v>
      </c>
      <c r="L32" s="120">
        <f t="shared" si="2"/>
        <v>-376525.13613382645</v>
      </c>
      <c r="M32" s="92">
        <f t="shared" si="3"/>
        <v>-1.6561935376728008E-3</v>
      </c>
    </row>
    <row r="33" spans="1:13" ht="15.75" customHeight="1" x14ac:dyDescent="0.45">
      <c r="A33" s="29">
        <v>210038</v>
      </c>
      <c r="B33" s="29" t="s">
        <v>94</v>
      </c>
      <c r="C33" s="26">
        <v>224425943.4617897</v>
      </c>
      <c r="D33" s="93">
        <f>IFERROR(VLOOKUP($A33,'PAU Performance'!$A:$F,6,FALSE),"")</f>
        <v>32.806858314620676</v>
      </c>
      <c r="E33" s="68">
        <f>IFERROR(D33/$D$53*Savings!$C$8*Savings!$C$16,"")</f>
        <v>-2.8851178296478617E-3</v>
      </c>
      <c r="F33" s="120">
        <f t="shared" si="0"/>
        <v>-647495.29091715242</v>
      </c>
      <c r="G33" s="70">
        <f>IFERROR(F33*Savings!$C$9*Savings!$C$16/$F$53,"")</f>
        <v>-509224.71806266677</v>
      </c>
      <c r="H33" s="27">
        <f>IFERROR(VLOOKUP(A33,'PAU Performance'!A:C,3,FALSE),"")</f>
        <v>7.0323057902803854E-2</v>
      </c>
      <c r="I33" s="28">
        <f>H33/$H$53*Savings!$C$8*Savings!$C$17</f>
        <v>-2.2184108193917707E-3</v>
      </c>
      <c r="J33" s="120">
        <f t="shared" si="1"/>
        <v>-497868.94112784008</v>
      </c>
      <c r="K33" s="70">
        <f>IFERROR(J33*Savings!$C$9*Savings!$C$17/$J$53,"")</f>
        <v>-499135.74733506487</v>
      </c>
      <c r="L33" s="120">
        <f t="shared" si="2"/>
        <v>-1008360.4653977316</v>
      </c>
      <c r="M33" s="92">
        <f t="shared" si="3"/>
        <v>-4.4930655067933938E-3</v>
      </c>
    </row>
    <row r="34" spans="1:13" ht="15.75" customHeight="1" x14ac:dyDescent="0.45">
      <c r="A34" s="29">
        <v>210039</v>
      </c>
      <c r="B34" s="29" t="s">
        <v>95</v>
      </c>
      <c r="C34" s="26">
        <v>152757952.33011061</v>
      </c>
      <c r="D34" s="93">
        <f>IFERROR(VLOOKUP($A34,'PAU Performance'!$A:$F,6,FALSE),"")</f>
        <v>8.4066393877243399</v>
      </c>
      <c r="E34" s="68">
        <f>IFERROR(D34/$D$53*Savings!$C$8*Savings!$C$16,"")</f>
        <v>-7.3930106175800435E-4</v>
      </c>
      <c r="F34" s="120">
        <f t="shared" si="0"/>
        <v>-112934.11634962939</v>
      </c>
      <c r="G34" s="70">
        <f>IFERROR(F34*Savings!$C$9*Savings!$C$16/$F$53,"")</f>
        <v>-88817.392750976374</v>
      </c>
      <c r="H34" s="27">
        <f>IFERROR(VLOOKUP(A34,'PAU Performance'!A:C,3,FALSE),"")</f>
        <v>5.4195780886902703E-2</v>
      </c>
      <c r="I34" s="28">
        <f>H34/$H$53*Savings!$C$8*Savings!$C$17</f>
        <v>-1.7096598224022484E-3</v>
      </c>
      <c r="J34" s="120">
        <f t="shared" si="1"/>
        <v>-261164.13365122804</v>
      </c>
      <c r="K34" s="70">
        <f>IFERROR(J34*Savings!$C$9*Savings!$C$17/$J$53,"")</f>
        <v>-261828.65460902138</v>
      </c>
      <c r="L34" s="120">
        <f t="shared" si="2"/>
        <v>-350646.04735999776</v>
      </c>
      <c r="M34" s="92">
        <f t="shared" si="3"/>
        <v>-2.2954356353392987E-3</v>
      </c>
    </row>
    <row r="35" spans="1:13" s="12" customFormat="1" ht="15.75" customHeight="1" x14ac:dyDescent="0.45">
      <c r="A35" s="29">
        <v>210040</v>
      </c>
      <c r="B35" s="29" t="s">
        <v>96</v>
      </c>
      <c r="C35" s="26">
        <v>273411755.21260262</v>
      </c>
      <c r="D35" s="93">
        <f>IFERROR(VLOOKUP($A35,'PAU Performance'!$A:$F,6,FALSE),"")</f>
        <v>19.526899274149681</v>
      </c>
      <c r="E35" s="68">
        <f>IFERROR(D35/$D$53*Savings!$C$8*Savings!$C$16,"")</f>
        <v>-1.717244751487827E-3</v>
      </c>
      <c r="F35" s="120">
        <f t="shared" si="0"/>
        <v>-469514.90163391636</v>
      </c>
      <c r="G35" s="70">
        <f>IFERROR(F35*Savings!$C$9*Savings!$C$16/$F$53,"")</f>
        <v>-369251.47837305791</v>
      </c>
      <c r="H35" s="27">
        <f>IFERROR(VLOOKUP(A35,'PAU Performance'!A:C,3,FALSE),"")</f>
        <v>5.3302169894829547E-2</v>
      </c>
      <c r="I35" s="28">
        <f>H35/$H$53*Savings!$C$8*Savings!$C$17</f>
        <v>-1.6814699746871156E-3</v>
      </c>
      <c r="J35" s="120">
        <f t="shared" si="1"/>
        <v>-459733.65711649478</v>
      </c>
      <c r="K35" s="70">
        <f>IFERROR(J35*Savings!$C$9*Savings!$C$17/$J$53,"")</f>
        <v>-460903.42972610163</v>
      </c>
      <c r="L35" s="120">
        <f t="shared" si="2"/>
        <v>-830154.9080991596</v>
      </c>
      <c r="M35" s="92">
        <f t="shared" si="3"/>
        <v>-3.0362809655116634E-3</v>
      </c>
    </row>
    <row r="36" spans="1:13" s="12" customFormat="1" ht="15.75" customHeight="1" x14ac:dyDescent="0.45">
      <c r="A36" s="29">
        <v>210043</v>
      </c>
      <c r="B36" s="29" t="s">
        <v>97</v>
      </c>
      <c r="C36" s="26">
        <v>453996250.12157494</v>
      </c>
      <c r="D36" s="93">
        <f>IFERROR(VLOOKUP($A36,'PAU Performance'!$A:$F,6,FALSE),"")</f>
        <v>13.110897950803333</v>
      </c>
      <c r="E36" s="68">
        <f>IFERROR(D36/$D$53*Savings!$C$8*Savings!$C$16,"")</f>
        <v>-1.1530054197142856E-3</v>
      </c>
      <c r="F36" s="120">
        <f t="shared" si="0"/>
        <v>-523460.13692013832</v>
      </c>
      <c r="G36" s="70">
        <f>IFERROR(F36*Savings!$C$9*Savings!$C$16/$F$53,"")</f>
        <v>-411676.87916715496</v>
      </c>
      <c r="H36" s="27">
        <f>IFERROR(VLOOKUP(A36,'PAU Performance'!A:C,3,FALSE),"")</f>
        <v>6.8936404146255292E-2</v>
      </c>
      <c r="I36" s="28">
        <f>H36/$H$53*Savings!$C$8*Savings!$C$17</f>
        <v>-2.1746674471890249E-3</v>
      </c>
      <c r="J36" s="120">
        <f t="shared" si="1"/>
        <v>-987290.86628527544</v>
      </c>
      <c r="K36" s="70">
        <f>IFERROR(J36*Savings!$C$9*Savings!$C$17/$J$53,"")</f>
        <v>-989802.98562919989</v>
      </c>
      <c r="L36" s="120">
        <f t="shared" si="2"/>
        <v>-1401479.8647963549</v>
      </c>
      <c r="M36" s="92">
        <f t="shared" si="3"/>
        <v>-3.0869855520195481E-3</v>
      </c>
    </row>
    <row r="37" spans="1:13" s="12" customFormat="1" ht="15.75" customHeight="1" x14ac:dyDescent="0.45">
      <c r="A37" s="29">
        <v>210044</v>
      </c>
      <c r="B37" s="29" t="s">
        <v>98</v>
      </c>
      <c r="C37" s="26">
        <v>484575781.10377944</v>
      </c>
      <c r="D37" s="93">
        <f>IFERROR(VLOOKUP($A37,'PAU Performance'!$A:$F,6,FALSE),"")</f>
        <v>9.7831935419739153</v>
      </c>
      <c r="E37" s="68">
        <f>IFERROR(D37/$D$53*Savings!$C$8*Savings!$C$16,"")</f>
        <v>-8.6035870451715076E-4</v>
      </c>
      <c r="F37" s="120">
        <f t="shared" si="0"/>
        <v>-416908.99127083411</v>
      </c>
      <c r="G37" s="70">
        <f>IFERROR(F37*Savings!$C$9*Savings!$C$16/$F$53,"")</f>
        <v>-327879.39389793237</v>
      </c>
      <c r="H37" s="27">
        <f>IFERROR(VLOOKUP(A37,'PAU Performance'!A:C,3,FALSE),"")</f>
        <v>3.5654648509403433E-2</v>
      </c>
      <c r="I37" s="28">
        <f>H37/$H$53*Savings!$C$8*Savings!$C$17</f>
        <v>-1.1247613567116734E-3</v>
      </c>
      <c r="J37" s="120">
        <f t="shared" si="1"/>
        <v>-545032.11298390583</v>
      </c>
      <c r="K37" s="70">
        <f>IFERROR(J37*Savings!$C$9*Savings!$C$17/$J$53,"")</f>
        <v>-546418.92386289081</v>
      </c>
      <c r="L37" s="120">
        <f t="shared" si="2"/>
        <v>-874298.31776082318</v>
      </c>
      <c r="M37" s="92">
        <f t="shared" si="3"/>
        <v>-1.8042550863134833E-3</v>
      </c>
    </row>
    <row r="38" spans="1:13" s="12" customFormat="1" ht="15.75" customHeight="1" x14ac:dyDescent="0.45">
      <c r="A38" s="29">
        <v>210045</v>
      </c>
      <c r="B38" s="29" t="s">
        <v>99</v>
      </c>
      <c r="C38" s="26">
        <v>9426387.1945032235</v>
      </c>
      <c r="D38" s="93">
        <f>IFERROR(VLOOKUP($A38,'PAU Performance'!$A:$F,6,FALSE),"")</f>
        <v>11.956511837144264</v>
      </c>
      <c r="E38" s="68">
        <f>IFERROR(D38/$D$53*Savings!$C$8*Savings!$C$16,"")</f>
        <v>-1.0514857945531223E-3</v>
      </c>
      <c r="F38" s="120">
        <f t="shared" si="0"/>
        <v>-9911.7122289775998</v>
      </c>
      <c r="G38" s="70">
        <f>IFERROR(F38*Savings!$C$9*Savings!$C$16/$F$53,"")</f>
        <v>-7795.0974101604852</v>
      </c>
      <c r="H38" s="27">
        <f>IFERROR(VLOOKUP(A38,'PAU Performance'!A:C,3,FALSE),"")</f>
        <v>2.5927843091684511E-3</v>
      </c>
      <c r="I38" s="28">
        <f>H38/$H$53*Savings!$C$8*Savings!$C$17</f>
        <v>-8.1791960351871679E-5</v>
      </c>
      <c r="J38" s="120">
        <f t="shared" si="1"/>
        <v>-771.00268767419857</v>
      </c>
      <c r="K38" s="70">
        <f>IFERROR(J38*Savings!$C$9*Savings!$C$17/$J$53,"")</f>
        <v>-772.96447100681621</v>
      </c>
      <c r="L38" s="120">
        <f t="shared" si="2"/>
        <v>-8568.0618811673012</v>
      </c>
      <c r="M38" s="92">
        <f t="shared" si="3"/>
        <v>-9.0894440302256689E-4</v>
      </c>
    </row>
    <row r="39" spans="1:13" s="12" customFormat="1" ht="15.75" customHeight="1" x14ac:dyDescent="0.45">
      <c r="A39" s="29">
        <v>210048</v>
      </c>
      <c r="B39" s="29" t="s">
        <v>100</v>
      </c>
      <c r="C39" s="26">
        <v>309042745.39332283</v>
      </c>
      <c r="D39" s="93">
        <f>IFERROR(VLOOKUP($A39,'PAU Performance'!$A:$F,6,FALSE),"")</f>
        <v>8.8529642713732919</v>
      </c>
      <c r="E39" s="68">
        <f>IFERROR(D39/$D$53*Savings!$C$8*Savings!$C$16,"")</f>
        <v>-7.7855199725697659E-4</v>
      </c>
      <c r="F39" s="120">
        <f t="shared" si="0"/>
        <v>-240605.8466637508</v>
      </c>
      <c r="G39" s="70">
        <f>IFERROR(F39*Savings!$C$9*Savings!$C$16/$F$53,"")</f>
        <v>-189225.2285851058</v>
      </c>
      <c r="H39" s="27">
        <f>IFERROR(VLOOKUP(A39,'PAU Performance'!A:C,3,FALSE),"")</f>
        <v>6.337603157923126E-2</v>
      </c>
      <c r="I39" s="28">
        <f>H39/$H$53*Savings!$C$8*Savings!$C$17</f>
        <v>-1.999259963066474E-3</v>
      </c>
      <c r="J39" s="120">
        <f t="shared" si="1"/>
        <v>-617856.78774101636</v>
      </c>
      <c r="K39" s="70">
        <f>IFERROR(J39*Savings!$C$9*Savings!$C$17/$J$53,"")</f>
        <v>-619428.89788733947</v>
      </c>
      <c r="L39" s="120">
        <f t="shared" si="2"/>
        <v>-808654.1264724452</v>
      </c>
      <c r="M39" s="92">
        <f t="shared" si="3"/>
        <v>-2.6166416734463719E-3</v>
      </c>
    </row>
    <row r="40" spans="1:13" s="12" customFormat="1" ht="15.75" customHeight="1" x14ac:dyDescent="0.45">
      <c r="A40" s="29">
        <v>210049</v>
      </c>
      <c r="B40" s="29" t="s">
        <v>101</v>
      </c>
      <c r="C40" s="26">
        <v>322513131.73528755</v>
      </c>
      <c r="D40" s="93">
        <f>IFERROR(VLOOKUP($A40,'PAU Performance'!$A:$F,6,FALSE),"")</f>
        <v>12.244754649771966</v>
      </c>
      <c r="E40" s="68">
        <f>IFERROR(D40/$D$53*Savings!$C$8*Savings!$C$16,"")</f>
        <v>-1.0768345941853448E-3</v>
      </c>
      <c r="F40" s="120">
        <f t="shared" si="0"/>
        <v>-347293.29733161302</v>
      </c>
      <c r="G40" s="70">
        <f>IFERROR(F40*Savings!$C$9*Savings!$C$16/$F$53,"")</f>
        <v>-273129.9113669889</v>
      </c>
      <c r="H40" s="27">
        <f>IFERROR(VLOOKUP(A40,'PAU Performance'!A:C,3,FALSE),"")</f>
        <v>5.9566561104361482E-2</v>
      </c>
      <c r="I40" s="28">
        <f>H40/$H$53*Savings!$C$8*Savings!$C$17</f>
        <v>-1.8790864272500275E-3</v>
      </c>
      <c r="J40" s="120">
        <f t="shared" si="1"/>
        <v>-606030.04845367896</v>
      </c>
      <c r="K40" s="70">
        <f>IFERROR(J40*Savings!$C$9*Savings!$C$17/$J$53,"")</f>
        <v>-607572.06596818124</v>
      </c>
      <c r="L40" s="120">
        <f t="shared" si="2"/>
        <v>-880701.97733517014</v>
      </c>
      <c r="M40" s="92">
        <f t="shared" si="3"/>
        <v>-2.7307476523406589E-3</v>
      </c>
    </row>
    <row r="41" spans="1:13" s="15" customFormat="1" ht="15.75" customHeight="1" x14ac:dyDescent="0.45">
      <c r="A41" s="29">
        <v>210051</v>
      </c>
      <c r="B41" s="29" t="s">
        <v>102</v>
      </c>
      <c r="C41" s="26">
        <v>261191672.70403257</v>
      </c>
      <c r="D41" s="93">
        <f>IFERROR(VLOOKUP($A41,'PAU Performance'!$A:$F,6,FALSE),"")</f>
        <v>14.093640400382643</v>
      </c>
      <c r="E41" s="68">
        <f>IFERROR(D41/$D$53*Savings!$C$8*Savings!$C$16,"")</f>
        <v>-1.2394302683249644E-3</v>
      </c>
      <c r="F41" s="120">
        <f t="shared" si="0"/>
        <v>-323728.86498380534</v>
      </c>
      <c r="G41" s="70">
        <f>IFERROR(F41*Savings!$C$9*Savings!$C$16/$F$53,"")</f>
        <v>-254597.58906759092</v>
      </c>
      <c r="H41" s="27">
        <f>IFERROR(VLOOKUP(A41,'PAU Performance'!A:C,3,FALSE),"")</f>
        <v>8.0965141543577215E-2</v>
      </c>
      <c r="I41" s="28">
        <f>H41/$H$53*Savings!$C$8*Savings!$C$17</f>
        <v>-2.5541259346558705E-3</v>
      </c>
      <c r="J41" s="120">
        <f t="shared" si="1"/>
        <v>-667116.4251695174</v>
      </c>
      <c r="K41" s="70">
        <f>IFERROR(J41*Savings!$C$9*Savings!$C$17/$J$53,"")</f>
        <v>-668813.87435450137</v>
      </c>
      <c r="L41" s="120">
        <f t="shared" si="2"/>
        <v>-923411.46342209226</v>
      </c>
      <c r="M41" s="92">
        <f t="shared" si="3"/>
        <v>-3.5353786507139116E-3</v>
      </c>
    </row>
    <row r="42" spans="1:13" s="15" customFormat="1" ht="15.75" customHeight="1" x14ac:dyDescent="0.45">
      <c r="A42" s="29">
        <v>210055</v>
      </c>
      <c r="B42" s="29" t="s">
        <v>178</v>
      </c>
      <c r="C42" s="26"/>
      <c r="D42" s="93" t="str">
        <f>IFERROR(VLOOKUP($A42,'PAU Performance'!$A:$F,6,FALSE),"")</f>
        <v/>
      </c>
      <c r="E42" s="68" t="str">
        <f>IFERROR(D42/$D$53*Savings!$C$8*Savings!$C$16,"")</f>
        <v/>
      </c>
      <c r="F42" s="120"/>
      <c r="G42" s="70">
        <f>IFERROR(F42*Savings!$C$9*Savings!$C$16/$F$53,"")</f>
        <v>0</v>
      </c>
      <c r="H42" s="27"/>
      <c r="I42" s="28"/>
      <c r="J42" s="120"/>
      <c r="K42" s="70">
        <f>IFERROR(J42*Savings!$C$9*Savings!$C$17/$J$53,"")</f>
        <v>0</v>
      </c>
      <c r="L42" s="120"/>
      <c r="M42" s="92"/>
    </row>
    <row r="43" spans="1:13" s="12" customFormat="1" ht="15.75" customHeight="1" x14ac:dyDescent="0.45">
      <c r="A43" s="29">
        <v>210056</v>
      </c>
      <c r="B43" s="29" t="s">
        <v>103</v>
      </c>
      <c r="C43" s="26">
        <v>271406658.70506191</v>
      </c>
      <c r="D43" s="93">
        <f>IFERROR(VLOOKUP($A43,'PAU Performance'!$A:$F,6,FALSE),"")</f>
        <v>24.165971475706115</v>
      </c>
      <c r="E43" s="68">
        <f>IFERROR(D43/$D$53*Savings!$C$8*Savings!$C$16,"")</f>
        <v>-2.1252164564703004E-3</v>
      </c>
      <c r="F43" s="120">
        <f t="shared" ref="F43:F51" si="4">IFERROR(E43*$C43,"")</f>
        <v>-576797.89747561584</v>
      </c>
      <c r="G43" s="70">
        <f>IFERROR(F43*Savings!$C$9*Savings!$C$16/$F$53,"")</f>
        <v>-453624.52953922894</v>
      </c>
      <c r="H43" s="27">
        <f>IFERROR(VLOOKUP(A43,'PAU Performance'!A:C,3,FALSE),"")</f>
        <v>7.2516304556026021E-2</v>
      </c>
      <c r="I43" s="28">
        <f>H43/$H$53*Savings!$C$8*Savings!$C$17</f>
        <v>-2.2875989669240873E-3</v>
      </c>
      <c r="J43" s="120">
        <f t="shared" ref="J43:J51" si="5">I43*C43</f>
        <v>-620869.59207001794</v>
      </c>
      <c r="K43" s="70">
        <f>IFERROR(J43*Savings!$C$9*Savings!$C$17/$J$53,"")</f>
        <v>-622449.36816797988</v>
      </c>
      <c r="L43" s="120">
        <f>IFERROR(G43+K43,"")</f>
        <v>-1076073.8977072088</v>
      </c>
      <c r="M43" s="92">
        <f t="shared" ref="M43:M51" si="6">L43/C43</f>
        <v>-3.9648028638699694E-3</v>
      </c>
    </row>
    <row r="44" spans="1:13" s="12" customFormat="1" ht="15.75" customHeight="1" x14ac:dyDescent="0.45">
      <c r="A44" s="29">
        <v>210057</v>
      </c>
      <c r="B44" s="29" t="s">
        <v>104</v>
      </c>
      <c r="C44" s="26">
        <v>468585978.60440886</v>
      </c>
      <c r="D44" s="93">
        <f>IFERROR(VLOOKUP($A44,'PAU Performance'!$A:$F,6,FALSE),"")</f>
        <v>7.749035898654375</v>
      </c>
      <c r="E44" s="68">
        <f>IFERROR(D44/$D$53*Savings!$C$8*Savings!$C$16,"")</f>
        <v>-6.8146975304323885E-4</v>
      </c>
      <c r="F44" s="120">
        <f t="shared" si="4"/>
        <v>-319327.1711190709</v>
      </c>
      <c r="G44" s="70">
        <f>IFERROR(F44*Savings!$C$9*Savings!$C$16/$F$53,"")</f>
        <v>-251135.86301535563</v>
      </c>
      <c r="H44" s="27">
        <f>IFERROR(VLOOKUP(A44,'PAU Performance'!A:C,3,FALSE),"")</f>
        <v>4.5927580142043845E-2</v>
      </c>
      <c r="I44" s="28">
        <f>H44/$H$53*Savings!$C$8*Savings!$C$17</f>
        <v>-1.4488312046443358E-3</v>
      </c>
      <c r="J44" s="120">
        <f t="shared" si="5"/>
        <v>-678901.98786087066</v>
      </c>
      <c r="K44" s="70">
        <f>IFERROR(J44*Savings!$C$9*Savings!$C$17/$J$53,"")</f>
        <v>-680629.4249055899</v>
      </c>
      <c r="L44" s="120">
        <f>IFERROR(G44+K44,"")</f>
        <v>-931765.28792094556</v>
      </c>
      <c r="M44" s="92">
        <f t="shared" si="6"/>
        <v>-1.988461734804838E-3</v>
      </c>
    </row>
    <row r="45" spans="1:13" s="12" customFormat="1" ht="15.75" customHeight="1" x14ac:dyDescent="0.45">
      <c r="A45" s="29">
        <v>210058</v>
      </c>
      <c r="B45" s="30" t="s">
        <v>105</v>
      </c>
      <c r="C45" s="26">
        <v>126115547.11615558</v>
      </c>
      <c r="D45" s="93" t="str">
        <f>IFERROR(VLOOKUP($A45,'PAU Performance'!$A:$F,6,FALSE),"")</f>
        <v/>
      </c>
      <c r="E45" s="68" t="str">
        <f>IFERROR(D45/$D$53*Savings!$C$8*Savings!$C$16,"")</f>
        <v/>
      </c>
      <c r="F45" s="120" t="str">
        <f t="shared" si="4"/>
        <v/>
      </c>
      <c r="G45" s="70" t="str">
        <f>IFERROR(F45*Savings!$C$9*Savings!$C$16/$F$53,"")</f>
        <v/>
      </c>
      <c r="H45" s="27">
        <f>IFERROR(VLOOKUP(A45,'PAU Performance'!A:C,3,FALSE),"")</f>
        <v>7.6003878601422258E-3</v>
      </c>
      <c r="I45" s="28">
        <f>H45/$H$53*Savings!$C$8*Savings!$C$17</f>
        <v>-2.3976179596480721E-4</v>
      </c>
      <c r="J45" s="120">
        <f t="shared" si="5"/>
        <v>-30237.690075653725</v>
      </c>
      <c r="K45" s="70">
        <f>IFERROR(J45*Savings!$C$9*Savings!$C$17/$J$53,"")</f>
        <v>-30314.628583593592</v>
      </c>
      <c r="L45" s="120">
        <f>K45</f>
        <v>-30314.628583593592</v>
      </c>
      <c r="M45" s="92">
        <f t="shared" si="6"/>
        <v>-2.4037185959057894E-4</v>
      </c>
    </row>
    <row r="46" spans="1:13" s="12" customFormat="1" ht="15.75" customHeight="1" x14ac:dyDescent="0.45">
      <c r="A46" s="29">
        <v>210060</v>
      </c>
      <c r="B46" s="29" t="s">
        <v>106</v>
      </c>
      <c r="C46" s="26">
        <v>52382146.245169081</v>
      </c>
      <c r="D46" s="93">
        <f>IFERROR(VLOOKUP($A46,'PAU Performance'!$A:$F,6,FALSE),"")</f>
        <v>14.667331437997117</v>
      </c>
      <c r="E46" s="68">
        <f>IFERROR(D46/$D$53*Savings!$C$8*Savings!$C$16,"")</f>
        <v>-1.2898821045068233E-3</v>
      </c>
      <c r="F46" s="120">
        <f t="shared" si="4"/>
        <v>-67566.793037302894</v>
      </c>
      <c r="G46" s="70">
        <f>IFERROR(F46*Savings!$C$9*Savings!$C$16/$F$53,"")</f>
        <v>-53138.117940724129</v>
      </c>
      <c r="H46" s="27">
        <f>IFERROR(VLOOKUP(A46,'PAU Performance'!A:C,3,FALSE),"")</f>
        <v>3.8919287419122178E-2</v>
      </c>
      <c r="I46" s="28">
        <f>H46/$H$53*Savings!$C$8*Savings!$C$17</f>
        <v>-1.2277476388033494E-3</v>
      </c>
      <c r="J46" s="120">
        <f t="shared" si="5"/>
        <v>-64312.056367958074</v>
      </c>
      <c r="K46" s="70">
        <f>IFERROR(J46*Savings!$C$9*Savings!$C$17/$J$53,"")</f>
        <v>-64475.695642225219</v>
      </c>
      <c r="L46" s="120">
        <f t="shared" ref="L46:L51" si="7">IFERROR(G46+K46,"")</f>
        <v>-117613.81358294934</v>
      </c>
      <c r="M46" s="92">
        <f t="shared" si="6"/>
        <v>-2.2453034480960431E-3</v>
      </c>
    </row>
    <row r="47" spans="1:13" s="12" customFormat="1" ht="15.75" customHeight="1" x14ac:dyDescent="0.45">
      <c r="A47" s="29">
        <v>210061</v>
      </c>
      <c r="B47" s="29" t="s">
        <v>107</v>
      </c>
      <c r="C47" s="26">
        <v>112556968.03780417</v>
      </c>
      <c r="D47" s="93">
        <f>IFERROR(VLOOKUP($A47,'PAU Performance'!$A:$F,6,FALSE),"")</f>
        <v>8.8968048210718269</v>
      </c>
      <c r="E47" s="68">
        <f>IFERROR(D47/$D$53*Savings!$C$8*Savings!$C$16,"")</f>
        <v>-7.824074457239953E-4</v>
      </c>
      <c r="F47" s="120">
        <f t="shared" si="4"/>
        <v>-88065.409860895743</v>
      </c>
      <c r="G47" s="70">
        <f>IFERROR(F47*Savings!$C$9*Savings!$C$16/$F$53,"")</f>
        <v>-69259.319931063088</v>
      </c>
      <c r="H47" s="27">
        <f>IFERROR(VLOOKUP(A47,'PAU Performance'!A:C,3,FALSE),"")</f>
        <v>3.6141258034340748E-2</v>
      </c>
      <c r="I47" s="28">
        <f>H47/$H$53*Savings!$C$8*Savings!$C$17</f>
        <v>-1.1401119382582275E-3</v>
      </c>
      <c r="J47" s="120">
        <f t="shared" si="5"/>
        <v>-128327.54299405028</v>
      </c>
      <c r="K47" s="70">
        <f>IFERROR(J47*Savings!$C$9*Savings!$C$17/$J$53,"")</f>
        <v>-128654.06693357237</v>
      </c>
      <c r="L47" s="120">
        <f t="shared" si="7"/>
        <v>-197913.38686463545</v>
      </c>
      <c r="M47" s="92">
        <f t="shared" si="6"/>
        <v>-1.7583397129013183E-3</v>
      </c>
    </row>
    <row r="48" spans="1:13" s="12" customFormat="1" ht="15.75" customHeight="1" x14ac:dyDescent="0.45">
      <c r="A48" s="29">
        <v>210062</v>
      </c>
      <c r="B48" s="29" t="s">
        <v>108</v>
      </c>
      <c r="C48" s="26">
        <v>280280665.5290038</v>
      </c>
      <c r="D48" s="93">
        <f>IFERROR(VLOOKUP($A48,'PAU Performance'!$A:$F,6,FALSE),"")</f>
        <v>17.812551200707663</v>
      </c>
      <c r="E48" s="68">
        <f>IFERROR(D48/$D$53*Savings!$C$8*Savings!$C$16,"")</f>
        <v>-1.5664806598617248E-3</v>
      </c>
      <c r="F48" s="120">
        <f t="shared" si="4"/>
        <v>-439054.24188435724</v>
      </c>
      <c r="G48" s="70">
        <f>IFERROR(F48*Savings!$C$9*Savings!$C$16/$F$53,"")</f>
        <v>-345295.59623683291</v>
      </c>
      <c r="H48" s="27">
        <f>IFERROR(VLOOKUP(A48,'PAU Performance'!A:C,3,FALSE),"")</f>
        <v>5.8313993583464653E-2</v>
      </c>
      <c r="I48" s="28">
        <f>H48/$H$53*Savings!$C$8*Savings!$C$17</f>
        <v>-1.8395729387407989E-3</v>
      </c>
      <c r="J48" s="120">
        <f t="shared" si="5"/>
        <v>-515596.72755941644</v>
      </c>
      <c r="K48" s="70">
        <f>IFERROR(J48*Savings!$C$9*Savings!$C$17/$J$53,"")</f>
        <v>-516908.64136030024</v>
      </c>
      <c r="L48" s="120">
        <f t="shared" si="7"/>
        <v>-862204.23759713315</v>
      </c>
      <c r="M48" s="92">
        <f t="shared" si="6"/>
        <v>-3.0762173194137472E-3</v>
      </c>
    </row>
    <row r="49" spans="1:16" s="12" customFormat="1" ht="15.75" customHeight="1" x14ac:dyDescent="0.45">
      <c r="A49" s="29">
        <v>210063</v>
      </c>
      <c r="B49" s="29" t="s">
        <v>109</v>
      </c>
      <c r="C49" s="26">
        <v>390934663.26538521</v>
      </c>
      <c r="D49" s="93">
        <f>IFERROR(VLOOKUP($A49,'PAU Performance'!$A:$F,6,FALSE),"")</f>
        <v>11.663710556182037</v>
      </c>
      <c r="E49" s="68">
        <f>IFERROR(D49/$D$53*Savings!$C$8*Savings!$C$16,"")</f>
        <v>-1.0257361117231949E-3</v>
      </c>
      <c r="F49" s="120">
        <f t="shared" si="4"/>
        <v>-400995.80143565271</v>
      </c>
      <c r="G49" s="70">
        <f>IFERROR(F49*Savings!$C$9*Savings!$C$16/$F$53,"")</f>
        <v>-315364.41545566474</v>
      </c>
      <c r="H49" s="27">
        <f>IFERROR(VLOOKUP(A49,'PAU Performance'!A:C,3,FALSE),"")</f>
        <v>4.5326526244991276E-2</v>
      </c>
      <c r="I49" s="28">
        <f>H49/$H$53*Savings!$C$8*Savings!$C$17</f>
        <v>-1.4298703615293802E-3</v>
      </c>
      <c r="J49" s="120">
        <f t="shared" si="5"/>
        <v>-558985.88829764281</v>
      </c>
      <c r="K49" s="70">
        <f>IFERROR(J49*Savings!$C$9*Savings!$C$17/$J$53,"")</f>
        <v>-560408.20396056073</v>
      </c>
      <c r="L49" s="120">
        <f t="shared" si="7"/>
        <v>-875772.61941622547</v>
      </c>
      <c r="M49" s="92">
        <f t="shared" si="6"/>
        <v>-2.2402020125335087E-3</v>
      </c>
    </row>
    <row r="50" spans="1:16" s="16" customFormat="1" ht="15.75" customHeight="1" x14ac:dyDescent="0.45">
      <c r="A50" s="29">
        <v>210064</v>
      </c>
      <c r="B50" s="29" t="s">
        <v>110</v>
      </c>
      <c r="C50" s="26">
        <v>62800215.428222373</v>
      </c>
      <c r="D50" s="93">
        <f>IFERROR(VLOOKUP($A50,'PAU Performance'!$A:$F,6,FALSE),"")</f>
        <v>0</v>
      </c>
      <c r="E50" s="68">
        <f>IFERROR(D50/$D$53*Savings!$C$8*Savings!$C$16,"")</f>
        <v>0</v>
      </c>
      <c r="F50" s="120">
        <f t="shared" si="4"/>
        <v>0</v>
      </c>
      <c r="G50" s="70">
        <f>IFERROR(F50*Savings!$C$9*Savings!$C$16/$F$53,"")</f>
        <v>0</v>
      </c>
      <c r="H50" s="27">
        <f>IFERROR(VLOOKUP(A50,'PAU Performance'!A:C,3,FALSE),"")</f>
        <v>6.8654102950811063E-2</v>
      </c>
      <c r="I50" s="28">
        <f>H50/$H$53*Savings!$C$8*Savings!$C$17</f>
        <v>-2.1657619751436217E-3</v>
      </c>
      <c r="J50" s="120">
        <f t="shared" si="5"/>
        <v>-136010.31860527184</v>
      </c>
      <c r="K50" s="70">
        <f>IFERROR(J50*Savings!$C$9*Savings!$C$17/$J$53,"")</f>
        <v>-136356.39103844162</v>
      </c>
      <c r="L50" s="120">
        <f t="shared" si="7"/>
        <v>-136356.39103844162</v>
      </c>
      <c r="M50" s="92">
        <f t="shared" si="6"/>
        <v>-2.171272663774385E-3</v>
      </c>
      <c r="N50" s="12"/>
      <c r="O50" s="12"/>
      <c r="P50" s="12"/>
    </row>
    <row r="51" spans="1:16" s="12" customFormat="1" ht="15.75" customHeight="1" x14ac:dyDescent="0.45">
      <c r="A51" s="30">
        <v>210065</v>
      </c>
      <c r="B51" s="30" t="s">
        <v>111</v>
      </c>
      <c r="C51" s="26">
        <v>117821821.35528794</v>
      </c>
      <c r="D51" s="93">
        <f>IFERROR(VLOOKUP($A51,'PAU Performance'!$A:$F,6,FALSE),"")</f>
        <v>10.237908183688448</v>
      </c>
      <c r="E51" s="68">
        <f>IFERROR(D51/$D$53*Savings!$C$8*Savings!$C$16,"")</f>
        <v>-9.0034745649185226E-4</v>
      </c>
      <c r="F51" s="120">
        <f t="shared" si="4"/>
        <v>-106080.57717647089</v>
      </c>
      <c r="G51" s="70">
        <f>IFERROR(F51*Savings!$C$9*Savings!$C$16/$F$53,"")</f>
        <v>-83427.405206449781</v>
      </c>
      <c r="H51" s="27">
        <f>IFERROR(VLOOKUP(A51,'PAU Performance'!A:C,3,FALSE),"")</f>
        <v>5.8151616672721562E-2</v>
      </c>
      <c r="I51" s="28">
        <f>H51/$H$53*Savings!$C$8*Savings!$C$17</f>
        <v>-1.8344505975577726E-3</v>
      </c>
      <c r="J51" s="120">
        <f t="shared" si="5"/>
        <v>-216138.3105905531</v>
      </c>
      <c r="K51" s="70">
        <f>IFERROR(J51*Savings!$C$9*Savings!$C$17/$J$53,"")</f>
        <v>-216688.26526909744</v>
      </c>
      <c r="L51" s="120">
        <f t="shared" si="7"/>
        <v>-300115.6704755472</v>
      </c>
      <c r="M51" s="92">
        <f t="shared" si="6"/>
        <v>-2.54719938143341E-3</v>
      </c>
    </row>
    <row r="52" spans="1:16" s="12" customFormat="1" ht="12" customHeight="1" x14ac:dyDescent="0.45">
      <c r="A52" s="31"/>
      <c r="B52" s="31"/>
      <c r="C52" s="32"/>
      <c r="D52" s="93" t="str">
        <f>IFERROR(VLOOKUP($A52,'PAU Performance'!$A:$F,6,FALSE),"")</f>
        <v/>
      </c>
      <c r="E52" s="33"/>
      <c r="F52" s="121"/>
      <c r="G52" s="38"/>
      <c r="H52" s="27" t="str">
        <f>IFERROR(VLOOKUP(A52,'PAU Performance'!A:C,3,FALSE),"")</f>
        <v/>
      </c>
      <c r="I52" s="28"/>
      <c r="J52" s="34"/>
      <c r="K52" s="65"/>
      <c r="L52" s="84"/>
      <c r="M52" s="92"/>
    </row>
    <row r="53" spans="1:16" s="91" customFormat="1" ht="18.75" customHeight="1" x14ac:dyDescent="0.5">
      <c r="A53" s="106" t="s">
        <v>154</v>
      </c>
      <c r="B53" s="106" t="s">
        <v>154</v>
      </c>
      <c r="C53" s="107">
        <f>SUM(C4:C51)</f>
        <v>17695722212.307617</v>
      </c>
      <c r="D53" s="114">
        <f>IFERROR(VLOOKUP($A53,'PAU Performance'!$A:$F,6,FALSE),"")</f>
        <v>14.302511009645363</v>
      </c>
      <c r="E53" s="115">
        <f>IFERROR(D53/$D$53*Savings!$C$8*Savings!$C$16,"")</f>
        <v>-1.2577988762877915E-3</v>
      </c>
      <c r="F53" s="117">
        <f>SUM(F4:F51)</f>
        <v>-28301316.119951941</v>
      </c>
      <c r="G53" s="117">
        <f>SUM(G4:G51)</f>
        <v>-22257659.513741434</v>
      </c>
      <c r="H53" s="118">
        <f>IFERROR(VLOOKUP(A53,'PAU Performance'!A:C,3,FALSE),"")</f>
        <v>5.2057357321456797E-2</v>
      </c>
      <c r="I53" s="115">
        <f>H53/$H$53*Savings!$C$8*Savings!$C$17</f>
        <v>-1.6422011237122078E-3</v>
      </c>
      <c r="J53" s="107">
        <f>SUM(J4:J51)</f>
        <v>-28986180.805771627</v>
      </c>
      <c r="K53" s="108">
        <f>SUM(K4:K51)</f>
        <v>-29059934.901950657</v>
      </c>
      <c r="L53" s="107">
        <f>SUM(L4:L51)</f>
        <v>-51317594.415692084</v>
      </c>
      <c r="M53" s="109">
        <f t="shared" ref="M53" si="8">L53/C53</f>
        <v>-2.8999999999999998E-3</v>
      </c>
    </row>
    <row r="54" spans="1:16" ht="21.75" customHeight="1" x14ac:dyDescent="0.45">
      <c r="C54" s="83"/>
      <c r="D54" s="17"/>
      <c r="E54" s="21"/>
      <c r="F54" s="21"/>
      <c r="G54" s="128"/>
      <c r="H54" s="21"/>
      <c r="I54" s="21"/>
      <c r="J54" s="21"/>
      <c r="K54" s="66"/>
      <c r="L54" s="84"/>
    </row>
    <row r="55" spans="1:16" x14ac:dyDescent="0.45">
      <c r="A55" s="18" t="s">
        <v>203</v>
      </c>
      <c r="C55" s="17"/>
      <c r="D55" s="24"/>
      <c r="E55" s="21"/>
      <c r="F55" s="21"/>
      <c r="G55" s="24"/>
      <c r="H55" s="21"/>
      <c r="I55" s="21"/>
      <c r="J55" s="21"/>
      <c r="K55" s="90"/>
    </row>
    <row r="56" spans="1:16" x14ac:dyDescent="0.45">
      <c r="A56" s="6" t="s">
        <v>113</v>
      </c>
      <c r="C56" s="17"/>
      <c r="D56" s="17"/>
      <c r="E56" s="21"/>
      <c r="F56" s="21"/>
      <c r="G56" s="24"/>
      <c r="H56" s="21"/>
      <c r="I56" s="21"/>
      <c r="J56" s="21"/>
      <c r="K56" s="66"/>
    </row>
    <row r="57" spans="1:16" x14ac:dyDescent="0.45">
      <c r="A57" s="8" t="s">
        <v>59</v>
      </c>
      <c r="G57" s="20"/>
    </row>
    <row r="58" spans="1:16" x14ac:dyDescent="0.45">
      <c r="A58" s="8"/>
      <c r="G58" s="20"/>
    </row>
    <row r="59" spans="1:16" s="112" customFormat="1" x14ac:dyDescent="0.45">
      <c r="A59" s="14"/>
      <c r="B59" s="14"/>
      <c r="C59" s="14"/>
      <c r="D59" s="14"/>
      <c r="E59" s="110"/>
      <c r="F59" s="110"/>
      <c r="G59" s="91"/>
      <c r="H59" s="110"/>
      <c r="I59" s="91"/>
      <c r="J59" s="91"/>
      <c r="K59" s="111"/>
      <c r="L59" s="91"/>
      <c r="M59" s="91"/>
      <c r="N59" s="91"/>
      <c r="O59" s="91"/>
      <c r="P59" s="91"/>
    </row>
    <row r="60" spans="1:16" x14ac:dyDescent="0.45">
      <c r="A60" s="14"/>
      <c r="B60" s="14"/>
      <c r="C60" s="14"/>
      <c r="D60" s="14"/>
      <c r="G60" s="20"/>
      <c r="J60" s="63"/>
    </row>
    <row r="61" spans="1:16" x14ac:dyDescent="0.45">
      <c r="A61" s="14"/>
      <c r="B61" s="14"/>
      <c r="C61" s="14"/>
      <c r="D61" s="14"/>
    </row>
    <row r="62" spans="1:16" x14ac:dyDescent="0.45">
      <c r="A62" s="14"/>
      <c r="B62" s="14"/>
      <c r="C62" s="14"/>
      <c r="D62" s="14"/>
    </row>
  </sheetData>
  <autoFilter ref="A3:WUM51">
    <sortState ref="A4:WUM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abSelected="1" workbookViewId="0">
      <selection activeCell="E4" sqref="E4"/>
    </sheetView>
  </sheetViews>
  <sheetFormatPr defaultColWidth="9.15625" defaultRowHeight="14.4" x14ac:dyDescent="0.55000000000000004"/>
  <cols>
    <col min="1" max="1" width="13" style="22" customWidth="1"/>
    <col min="2" max="2" width="23" style="22" customWidth="1"/>
    <col min="3" max="3" width="18" style="22" customWidth="1"/>
    <col min="4" max="5" width="8.83984375"/>
    <col min="6" max="6" width="15.26171875" customWidth="1"/>
    <col min="7" max="11" width="8.83984375" customWidth="1"/>
    <col min="12" max="16384" width="9.15625" style="22"/>
  </cols>
  <sheetData>
    <row r="1" spans="1:6" ht="19.5" customHeight="1" x14ac:dyDescent="0.7">
      <c r="A1" s="76" t="s">
        <v>155</v>
      </c>
    </row>
    <row r="2" spans="1:6" x14ac:dyDescent="0.55000000000000004">
      <c r="A2" s="131"/>
      <c r="B2" s="131"/>
      <c r="C2" s="131"/>
    </row>
    <row r="3" spans="1:6" ht="57.6" x14ac:dyDescent="0.55000000000000004">
      <c r="A3" s="77" t="s">
        <v>132</v>
      </c>
      <c r="B3" s="77" t="s">
        <v>58</v>
      </c>
      <c r="C3" s="78" t="s">
        <v>163</v>
      </c>
      <c r="D3" s="78" t="s">
        <v>198</v>
      </c>
      <c r="E3" s="78" t="s">
        <v>199</v>
      </c>
      <c r="F3" s="78" t="s">
        <v>197</v>
      </c>
    </row>
    <row r="4" spans="1:6" ht="43.2" x14ac:dyDescent="0.55000000000000004">
      <c r="A4" s="79" t="s">
        <v>51</v>
      </c>
      <c r="B4" s="79" t="s">
        <v>53</v>
      </c>
      <c r="C4" s="80" t="s">
        <v>62</v>
      </c>
      <c r="D4" s="78" t="s">
        <v>55</v>
      </c>
      <c r="E4" s="78" t="s">
        <v>200</v>
      </c>
      <c r="F4" s="78" t="s">
        <v>201</v>
      </c>
    </row>
    <row r="5" spans="1:6" x14ac:dyDescent="0.55000000000000004">
      <c r="A5" s="81">
        <v>210001</v>
      </c>
      <c r="B5" s="81" t="s">
        <v>69</v>
      </c>
      <c r="C5" s="116">
        <v>5.0613847402169954E-2</v>
      </c>
      <c r="D5" s="130">
        <v>16.781561679265398</v>
      </c>
      <c r="E5" s="130">
        <v>1.184557345939079</v>
      </c>
      <c r="F5" s="127">
        <f>(D5*'Statewide PAU Revenue'!$C$53)+(E5*'Statewide PAU Revenue'!$D$53)</f>
        <v>16.654963720844247</v>
      </c>
    </row>
    <row r="6" spans="1:6" x14ac:dyDescent="0.55000000000000004">
      <c r="A6" s="81">
        <v>210002</v>
      </c>
      <c r="B6" s="81" t="s">
        <v>60</v>
      </c>
      <c r="C6" s="116">
        <v>4.9575783265731602E-2</v>
      </c>
      <c r="D6" s="130">
        <v>29.076965125352118</v>
      </c>
      <c r="E6" s="130">
        <v>2.9985318067033297</v>
      </c>
      <c r="F6" s="127">
        <f>(D6*'Statewide PAU Revenue'!$C$53)+(E6*'Statewide PAU Revenue'!$D$53)</f>
        <v>28.865291374008162</v>
      </c>
    </row>
    <row r="7" spans="1:6" x14ac:dyDescent="0.55000000000000004">
      <c r="A7" s="81">
        <v>210003</v>
      </c>
      <c r="B7" s="81" t="s">
        <v>133</v>
      </c>
      <c r="C7" s="116">
        <v>6.2377585386361234E-2</v>
      </c>
      <c r="D7" s="130">
        <v>20.045508616564863</v>
      </c>
      <c r="E7" s="130">
        <v>7.2612231283849929E-2</v>
      </c>
      <c r="F7" s="127">
        <f>(D7*'Statewide PAU Revenue'!$C$53)+(E7*'Statewide PAU Revenue'!$D$53)</f>
        <v>19.883392363206447</v>
      </c>
    </row>
    <row r="8" spans="1:6" x14ac:dyDescent="0.55000000000000004">
      <c r="A8" s="81">
        <v>210004</v>
      </c>
      <c r="B8" s="81" t="s">
        <v>70</v>
      </c>
      <c r="C8" s="116">
        <v>6.0334477870037727E-2</v>
      </c>
      <c r="D8" s="130">
        <v>8.5783891469365656</v>
      </c>
      <c r="E8" s="130">
        <v>0.17580240165853825</v>
      </c>
      <c r="F8" s="127">
        <f>(D8*'Statewide PAU Revenue'!$C$53)+(E8*'Statewide PAU Revenue'!$D$53)</f>
        <v>8.5101869265181289</v>
      </c>
    </row>
    <row r="9" spans="1:6" x14ac:dyDescent="0.55000000000000004">
      <c r="A9" s="81">
        <v>210005</v>
      </c>
      <c r="B9" s="81" t="s">
        <v>71</v>
      </c>
      <c r="C9" s="116">
        <v>5.5580612621245064E-2</v>
      </c>
      <c r="D9" s="130">
        <v>10.092873665482319</v>
      </c>
      <c r="E9" s="130">
        <v>0.39701573712790234</v>
      </c>
      <c r="F9" s="127">
        <f>(D9*'Statewide PAU Revenue'!$C$53)+(E9*'Statewide PAU Revenue'!$D$53)</f>
        <v>10.014174205468164</v>
      </c>
    </row>
    <row r="10" spans="1:6" x14ac:dyDescent="0.55000000000000004">
      <c r="A10" s="81">
        <v>210006</v>
      </c>
      <c r="B10" s="81" t="s">
        <v>72</v>
      </c>
      <c r="C10" s="116">
        <v>6.9304746858629626E-2</v>
      </c>
      <c r="D10" s="130">
        <v>13.517493333165548</v>
      </c>
      <c r="E10" s="130">
        <v>1.1910257405701203</v>
      </c>
      <c r="F10" s="127">
        <f>(D10*'Statewide PAU Revenue'!$C$53)+(E10*'Statewide PAU Revenue'!$D$53)</f>
        <v>13.417441707967706</v>
      </c>
    </row>
    <row r="11" spans="1:6" x14ac:dyDescent="0.55000000000000004">
      <c r="A11" s="81">
        <v>210008</v>
      </c>
      <c r="B11" s="81" t="s">
        <v>73</v>
      </c>
      <c r="C11" s="116">
        <v>2.9626304222936231E-2</v>
      </c>
      <c r="D11" s="130">
        <v>23.19047727903078</v>
      </c>
      <c r="E11" s="130">
        <v>3.0257444014446491</v>
      </c>
      <c r="F11" s="127">
        <f>(D11*'Statewide PAU Revenue'!$C$53)+(E11*'Statewide PAU Revenue'!$D$53)</f>
        <v>23.026803924849833</v>
      </c>
    </row>
    <row r="12" spans="1:6" x14ac:dyDescent="0.55000000000000004">
      <c r="A12" s="81">
        <v>210009</v>
      </c>
      <c r="B12" s="81" t="s">
        <v>74</v>
      </c>
      <c r="C12" s="116">
        <v>5.5323561849269724E-2</v>
      </c>
      <c r="D12" s="130">
        <v>23.266371862260502</v>
      </c>
      <c r="E12" s="130">
        <v>3.0869666574502301</v>
      </c>
      <c r="F12" s="127">
        <f>(D12*'Statewide PAU Revenue'!$C$53)+(E12*'Statewide PAU Revenue'!$D$53)</f>
        <v>23.102579415551773</v>
      </c>
    </row>
    <row r="13" spans="1:6" x14ac:dyDescent="0.55000000000000004">
      <c r="A13" s="81">
        <v>210010</v>
      </c>
      <c r="B13" s="81" t="s">
        <v>75</v>
      </c>
      <c r="C13" s="116">
        <v>5.4125404438297553E-2</v>
      </c>
      <c r="D13" s="130">
        <v>9.8049542903948641</v>
      </c>
      <c r="E13" s="130">
        <v>0.39301604421482411</v>
      </c>
      <c r="F13" s="127">
        <f>F33</f>
        <v>9.7285593531820567</v>
      </c>
    </row>
    <row r="14" spans="1:6" x14ac:dyDescent="0.55000000000000004">
      <c r="A14" s="81">
        <v>210011</v>
      </c>
      <c r="B14" s="81" t="s">
        <v>134</v>
      </c>
      <c r="C14" s="116">
        <v>5.6368446654851544E-2</v>
      </c>
      <c r="D14" s="130">
        <v>14.919253575633741</v>
      </c>
      <c r="E14" s="130">
        <v>1.8439812796893547</v>
      </c>
      <c r="F14" s="127">
        <f>(D14*'Statewide PAU Revenue'!$C$53)+(E14*'Statewide PAU Revenue'!$D$53)</f>
        <v>14.813124043122789</v>
      </c>
    </row>
    <row r="15" spans="1:6" x14ac:dyDescent="0.55000000000000004">
      <c r="A15" s="81">
        <v>210012</v>
      </c>
      <c r="B15" s="81" t="s">
        <v>77</v>
      </c>
      <c r="C15" s="116">
        <v>3.4264775464685052E-2</v>
      </c>
      <c r="D15" s="130">
        <v>19.191391764806458</v>
      </c>
      <c r="E15" s="130">
        <v>1.6133937316247808</v>
      </c>
      <c r="F15" s="127">
        <f>(D15*'Statewide PAU Revenue'!$C$53)+(E15*'Statewide PAU Revenue'!$D$53)</f>
        <v>19.048714452126806</v>
      </c>
    </row>
    <row r="16" spans="1:6" x14ac:dyDescent="0.55000000000000004">
      <c r="A16" s="81">
        <v>210013</v>
      </c>
      <c r="B16" s="81" t="s">
        <v>78</v>
      </c>
      <c r="C16" s="116">
        <v>0.1021753399356661</v>
      </c>
      <c r="D16" s="130">
        <v>33.26314506061874</v>
      </c>
      <c r="E16" s="130">
        <v>2.8109999822643164</v>
      </c>
      <c r="F16" s="127">
        <f>(D16*'Statewide PAU Revenue'!$C$53)+(E16*'Statewide PAU Revenue'!$D$53)</f>
        <v>33.015970711360723</v>
      </c>
    </row>
    <row r="17" spans="1:6" x14ac:dyDescent="0.55000000000000004">
      <c r="A17" s="81">
        <v>210015</v>
      </c>
      <c r="B17" s="81" t="s">
        <v>135</v>
      </c>
      <c r="C17" s="116">
        <v>6.170514028270712E-2</v>
      </c>
      <c r="D17" s="130">
        <v>24.641576073013351</v>
      </c>
      <c r="E17" s="130">
        <v>1.3406385242315775</v>
      </c>
      <c r="F17" s="127">
        <f>(D17*'Statewide PAU Revenue'!$C$53)+(E17*'Statewide PAU Revenue'!$D$53)</f>
        <v>24.452446733818928</v>
      </c>
    </row>
    <row r="18" spans="1:6" x14ac:dyDescent="0.55000000000000004">
      <c r="A18" s="81">
        <v>210016</v>
      </c>
      <c r="B18" s="81" t="s">
        <v>136</v>
      </c>
      <c r="C18" s="116">
        <v>5.3843687064281089E-2</v>
      </c>
      <c r="D18" s="130">
        <v>12.745344746676759</v>
      </c>
      <c r="E18" s="130">
        <v>0.12125009567624739</v>
      </c>
      <c r="F18" s="127">
        <f>(D18*'Statewide PAU Revenue'!$C$53)+(E18*'Statewide PAU Revenue'!$D$53)</f>
        <v>12.642877338475992</v>
      </c>
    </row>
    <row r="19" spans="1:6" x14ac:dyDescent="0.55000000000000004">
      <c r="A19" s="81">
        <v>210017</v>
      </c>
      <c r="B19" s="81" t="s">
        <v>81</v>
      </c>
      <c r="C19" s="116">
        <v>1.6547472546822348E-2</v>
      </c>
      <c r="D19" s="130">
        <v>10.623496810251812</v>
      </c>
      <c r="E19" s="130">
        <v>2.9361783847851539</v>
      </c>
      <c r="F19" s="127">
        <f>(D19*'Statewide PAU Revenue'!$C$53)+(E19*'Statewide PAU Revenue'!$D$53)</f>
        <v>10.561100288612208</v>
      </c>
    </row>
    <row r="20" spans="1:6" x14ac:dyDescent="0.55000000000000004">
      <c r="A20" s="81">
        <v>210018</v>
      </c>
      <c r="B20" s="81" t="s">
        <v>137</v>
      </c>
      <c r="C20" s="116">
        <v>4.7597276636893802E-2</v>
      </c>
      <c r="D20" s="130">
        <v>14.658424058127256</v>
      </c>
      <c r="E20" s="130">
        <v>0.29235090121061375</v>
      </c>
      <c r="F20" s="127">
        <f>(D20*'Statewide PAU Revenue'!$C$53)+(E20*'Statewide PAU Revenue'!$D$53)</f>
        <v>14.541817337161712</v>
      </c>
    </row>
    <row r="21" spans="1:6" x14ac:dyDescent="0.55000000000000004">
      <c r="A21" s="81">
        <v>210019</v>
      </c>
      <c r="B21" s="81" t="s">
        <v>138</v>
      </c>
      <c r="C21" s="116">
        <v>5.3215903652648187E-2</v>
      </c>
      <c r="D21" s="130">
        <v>15.367258222566116</v>
      </c>
      <c r="E21" s="130">
        <v>1.3149864987277373</v>
      </c>
      <c r="F21" s="127">
        <f>(D21*'Statewide PAU Revenue'!$C$53)+(E21*'Statewide PAU Revenue'!$D$53)</f>
        <v>15.25319856896866</v>
      </c>
    </row>
    <row r="22" spans="1:6" x14ac:dyDescent="0.55000000000000004">
      <c r="A22" s="81">
        <v>210022</v>
      </c>
      <c r="B22" s="81" t="s">
        <v>83</v>
      </c>
      <c r="C22" s="116">
        <v>5.5106388855049149E-2</v>
      </c>
      <c r="D22" s="130">
        <v>6.9388696486566452</v>
      </c>
      <c r="E22" s="130">
        <v>0.16430835332806099</v>
      </c>
      <c r="F22" s="127">
        <f>(D22*'Statewide PAU Revenue'!$C$53)+(E22*'Statewide PAU Revenue'!$D$53)</f>
        <v>6.8838818054235045</v>
      </c>
    </row>
    <row r="23" spans="1:6" x14ac:dyDescent="0.55000000000000004">
      <c r="A23" s="81">
        <v>210023</v>
      </c>
      <c r="B23" s="81" t="s">
        <v>139</v>
      </c>
      <c r="C23" s="116">
        <v>3.8201798702434737E-2</v>
      </c>
      <c r="D23" s="130">
        <v>9.7449860755214388</v>
      </c>
      <c r="E23" s="130">
        <v>0.62666001182654962</v>
      </c>
      <c r="F23" s="127">
        <f>(D23*'Statewide PAU Revenue'!$C$53)+(E23*'Statewide PAU Revenue'!$D$53)</f>
        <v>9.6709743333168401</v>
      </c>
    </row>
    <row r="24" spans="1:6" x14ac:dyDescent="0.55000000000000004">
      <c r="A24" s="81">
        <v>210024</v>
      </c>
      <c r="B24" s="81" t="s">
        <v>140</v>
      </c>
      <c r="C24" s="116">
        <v>5.3949561008293782E-2</v>
      </c>
      <c r="D24" s="130">
        <v>25.294283618348771</v>
      </c>
      <c r="E24" s="130">
        <v>2.8315810999829489</v>
      </c>
      <c r="F24" s="127">
        <f>(D24*'Statewide PAU Revenue'!$C$53)+(E24*'Statewide PAU Revenue'!$D$53)</f>
        <v>25.111958075656538</v>
      </c>
    </row>
    <row r="25" spans="1:6" x14ac:dyDescent="0.55000000000000004">
      <c r="A25" s="81">
        <v>210027</v>
      </c>
      <c r="B25" s="81" t="s">
        <v>141</v>
      </c>
      <c r="C25" s="116">
        <v>5.1388116992853956E-2</v>
      </c>
      <c r="D25" s="130">
        <v>15.569567316810147</v>
      </c>
      <c r="E25" s="130">
        <v>0.37111078998916519</v>
      </c>
      <c r="F25" s="127">
        <f>(D25*'Statewide PAU Revenue'!$C$53)+(E25*'Statewide PAU Revenue'!$D$53)</f>
        <v>15.446204296173104</v>
      </c>
    </row>
    <row r="26" spans="1:6" x14ac:dyDescent="0.55000000000000004">
      <c r="A26" s="81">
        <v>210028</v>
      </c>
      <c r="B26" s="81" t="s">
        <v>142</v>
      </c>
      <c r="C26" s="116">
        <v>4.2601188449855283E-2</v>
      </c>
      <c r="D26" s="130">
        <v>16.392613734162705</v>
      </c>
      <c r="E26" s="130">
        <v>0.1242210759536598</v>
      </c>
      <c r="F26" s="127">
        <f>(D26*'Statewide PAU Revenue'!$C$53)+(E26*'Statewide PAU Revenue'!$D$53)</f>
        <v>16.260566242650356</v>
      </c>
    </row>
    <row r="27" spans="1:6" x14ac:dyDescent="0.55000000000000004">
      <c r="A27" s="81">
        <v>210029</v>
      </c>
      <c r="B27" s="81" t="s">
        <v>143</v>
      </c>
      <c r="C27" s="116">
        <v>5.2880697454664768E-2</v>
      </c>
      <c r="D27" s="130">
        <v>27.167225660160806</v>
      </c>
      <c r="E27" s="130">
        <v>2.3679355987948685</v>
      </c>
      <c r="F27" s="127">
        <f>(D27*'Statewide PAU Revenue'!$C$53)+(E27*'Statewide PAU Revenue'!$D$53)</f>
        <v>26.965934474689078</v>
      </c>
    </row>
    <row r="28" spans="1:6" x14ac:dyDescent="0.55000000000000004">
      <c r="A28" s="81">
        <v>210030</v>
      </c>
      <c r="B28" s="81" t="s">
        <v>88</v>
      </c>
      <c r="C28" s="116">
        <v>2.0498229969204401E-2</v>
      </c>
      <c r="D28" s="130">
        <v>7.7099586090200729</v>
      </c>
      <c r="E28" s="130">
        <v>0</v>
      </c>
      <c r="F28" s="127">
        <f>(D28*'Statewide PAU Revenue'!$C$53)+(E28*'Statewide PAU Revenue'!$D$53)</f>
        <v>7.6473783212575084</v>
      </c>
    </row>
    <row r="29" spans="1:6" x14ac:dyDescent="0.55000000000000004">
      <c r="A29" s="81">
        <v>210032</v>
      </c>
      <c r="B29" s="81" t="s">
        <v>89</v>
      </c>
      <c r="C29" s="116">
        <v>5.2425598673428234E-2</v>
      </c>
      <c r="D29" s="130">
        <v>13.784219924586994</v>
      </c>
      <c r="E29" s="130">
        <v>0.32846538280640614</v>
      </c>
      <c r="F29" s="127">
        <f>(D29*'Statewide PAU Revenue'!$C$53)+(E29*'Statewide PAU Revenue'!$D$53)</f>
        <v>13.675002089059069</v>
      </c>
    </row>
    <row r="30" spans="1:6" x14ac:dyDescent="0.55000000000000004">
      <c r="A30" s="81">
        <v>210033</v>
      </c>
      <c r="B30" s="81" t="s">
        <v>90</v>
      </c>
      <c r="C30" s="116">
        <v>6.0507933458546041E-2</v>
      </c>
      <c r="D30" s="130">
        <v>15.184430583647568</v>
      </c>
      <c r="E30" s="130">
        <v>0.51497627946619517</v>
      </c>
      <c r="F30" s="127">
        <f>(D30*'Statewide PAU Revenue'!$C$53)+(E30*'Statewide PAU Revenue'!$D$53)</f>
        <v>15.065361374819203</v>
      </c>
    </row>
    <row r="31" spans="1:6" x14ac:dyDescent="0.55000000000000004">
      <c r="A31" s="81">
        <v>210034</v>
      </c>
      <c r="B31" s="81" t="s">
        <v>144</v>
      </c>
      <c r="C31" s="116">
        <v>6.7616715232245578E-2</v>
      </c>
      <c r="D31" s="130">
        <v>33.949905082340727</v>
      </c>
      <c r="E31" s="130">
        <v>1.6594507899681694</v>
      </c>
      <c r="F31" s="127">
        <f>(D31*'Statewide PAU Revenue'!$C$53)+(E31*'Statewide PAU Revenue'!$D$53)</f>
        <v>33.687809522030392</v>
      </c>
    </row>
    <row r="32" spans="1:6" x14ac:dyDescent="0.55000000000000004">
      <c r="A32" s="81">
        <v>210035</v>
      </c>
      <c r="B32" s="81" t="s">
        <v>145</v>
      </c>
      <c r="C32" s="116">
        <v>5.2681271800138214E-2</v>
      </c>
      <c r="D32" s="130">
        <v>10.752922934505222</v>
      </c>
      <c r="E32" s="130">
        <v>0.5714996645213789</v>
      </c>
      <c r="F32" s="127">
        <f>(D32*'Statewide PAU Revenue'!$C$53)+(E32*'Statewide PAU Revenue'!$D$53)</f>
        <v>10.670282231697474</v>
      </c>
    </row>
    <row r="33" spans="1:6" x14ac:dyDescent="0.55000000000000004">
      <c r="A33" s="81">
        <v>210037</v>
      </c>
      <c r="B33" s="81" t="s">
        <v>93</v>
      </c>
      <c r="C33" s="116">
        <v>3.1092525392398623E-2</v>
      </c>
      <c r="D33" s="130">
        <v>9.8049542903948641</v>
      </c>
      <c r="E33" s="130">
        <v>0.39301604421482411</v>
      </c>
      <c r="F33" s="127">
        <f>(D33*'Statewide PAU Revenue'!$C$53)+(E33*'Statewide PAU Revenue'!$D$53)</f>
        <v>9.7285593531820567</v>
      </c>
    </row>
    <row r="34" spans="1:6" x14ac:dyDescent="0.55000000000000004">
      <c r="A34" s="81">
        <v>210038</v>
      </c>
      <c r="B34" s="81" t="s">
        <v>94</v>
      </c>
      <c r="C34" s="116">
        <v>7.0323057902803854E-2</v>
      </c>
      <c r="D34" s="130">
        <v>33.050952986502303</v>
      </c>
      <c r="E34" s="130">
        <v>2.9782274658080721</v>
      </c>
      <c r="F34" s="127">
        <f>(D34*'Statewide PAU Revenue'!$C$53)+(E34*'Statewide PAU Revenue'!$D$53)</f>
        <v>32.806858314620676</v>
      </c>
    </row>
    <row r="35" spans="1:6" x14ac:dyDescent="0.55000000000000004">
      <c r="A35" s="81">
        <v>210039</v>
      </c>
      <c r="B35" s="81" t="s">
        <v>95</v>
      </c>
      <c r="C35" s="116">
        <v>5.4195780886902703E-2</v>
      </c>
      <c r="D35" s="130">
        <v>8.4726944056763163</v>
      </c>
      <c r="E35" s="130">
        <v>0.33464530848992691</v>
      </c>
      <c r="F35" s="127">
        <f>(D35*'Statewide PAU Revenue'!$C$53)+(E35*'Statewide PAU Revenue'!$D$53)</f>
        <v>8.4066393877243399</v>
      </c>
    </row>
    <row r="36" spans="1:6" x14ac:dyDescent="0.55000000000000004">
      <c r="A36" s="81">
        <v>210040</v>
      </c>
      <c r="B36" s="81" t="s">
        <v>96</v>
      </c>
      <c r="C36" s="116">
        <v>5.3302169894829547E-2</v>
      </c>
      <c r="D36" s="130">
        <v>19.676918315145059</v>
      </c>
      <c r="E36" s="130">
        <v>1.1944114748497072</v>
      </c>
      <c r="F36" s="127">
        <f>(D36*'Statewide PAU Revenue'!$C$53)+(E36*'Statewide PAU Revenue'!$D$53)</f>
        <v>19.526899274149681</v>
      </c>
    </row>
    <row r="37" spans="1:6" x14ac:dyDescent="0.55000000000000004">
      <c r="A37" s="81">
        <v>210043</v>
      </c>
      <c r="B37" s="81" t="s">
        <v>97</v>
      </c>
      <c r="C37" s="116">
        <v>6.8936404146255292E-2</v>
      </c>
      <c r="D37" s="130">
        <v>13.206939219334577</v>
      </c>
      <c r="E37" s="130">
        <v>1.3745518716909435</v>
      </c>
      <c r="F37" s="127">
        <f>(D37*'Statewide PAU Revenue'!$C$53)+(E37*'Statewide PAU Revenue'!$D$53)</f>
        <v>13.110897950803333</v>
      </c>
    </row>
    <row r="38" spans="1:6" x14ac:dyDescent="0.55000000000000004">
      <c r="A38" s="81">
        <v>210044</v>
      </c>
      <c r="B38" s="81" t="s">
        <v>98</v>
      </c>
      <c r="C38" s="116">
        <v>3.5654648509403433E-2</v>
      </c>
      <c r="D38" s="130">
        <v>9.8540272978258461</v>
      </c>
      <c r="E38" s="130">
        <v>1.1272325631666835</v>
      </c>
      <c r="F38" s="127">
        <f>(D38*'Statewide PAU Revenue'!$C$53)+(E38*'Statewide PAU Revenue'!$D$53)</f>
        <v>9.7831935419739153</v>
      </c>
    </row>
    <row r="39" spans="1:6" x14ac:dyDescent="0.55000000000000004">
      <c r="A39" s="81">
        <v>210045</v>
      </c>
      <c r="B39" s="81" t="s">
        <v>99</v>
      </c>
      <c r="C39" s="116">
        <v>2.5927843091684511E-3</v>
      </c>
      <c r="D39" s="130">
        <v>12.0423849635228</v>
      </c>
      <c r="E39" s="130">
        <v>1.4627236408129325</v>
      </c>
      <c r="F39" s="127">
        <f>(D39*'Statewide PAU Revenue'!$C$53)+(E39*'Statewide PAU Revenue'!$D$53)</f>
        <v>11.956511837144264</v>
      </c>
    </row>
    <row r="40" spans="1:6" x14ac:dyDescent="0.55000000000000004">
      <c r="A40" s="81">
        <v>210048</v>
      </c>
      <c r="B40" s="81" t="s">
        <v>146</v>
      </c>
      <c r="C40" s="116">
        <v>6.337603157923126E-2</v>
      </c>
      <c r="D40" s="130">
        <v>8.9221832993266297</v>
      </c>
      <c r="E40" s="130">
        <v>0.39432477458403326</v>
      </c>
      <c r="F40" s="127">
        <f>(D40*'Statewide PAU Revenue'!$C$53)+(E40*'Statewide PAU Revenue'!$D$53)</f>
        <v>8.8529642713732919</v>
      </c>
    </row>
    <row r="41" spans="1:6" x14ac:dyDescent="0.55000000000000004">
      <c r="A41" s="81">
        <v>210049</v>
      </c>
      <c r="B41" s="81" t="s">
        <v>147</v>
      </c>
      <c r="C41" s="116">
        <v>5.9566561104361482E-2</v>
      </c>
      <c r="D41" s="130">
        <v>12.335559752304848</v>
      </c>
      <c r="E41" s="130">
        <v>1.1482736747369744</v>
      </c>
      <c r="F41" s="127">
        <f>(D41*'Statewide PAU Revenue'!$C$53)+(E41*'Statewide PAU Revenue'!$D$53)</f>
        <v>12.244754649771966</v>
      </c>
    </row>
    <row r="42" spans="1:6" x14ac:dyDescent="0.55000000000000004">
      <c r="A42" s="81">
        <v>210051</v>
      </c>
      <c r="B42" s="81" t="s">
        <v>102</v>
      </c>
      <c r="C42" s="116">
        <v>8.0965141543577215E-2</v>
      </c>
      <c r="D42" s="130">
        <v>14.208009652886883</v>
      </c>
      <c r="E42" s="130">
        <v>0.1175950114936688</v>
      </c>
      <c r="F42" s="127">
        <f>(D42*'Statewide PAU Revenue'!$C$53)+(E42*'Statewide PAU Revenue'!$D$53)</f>
        <v>14.093640400382643</v>
      </c>
    </row>
    <row r="43" spans="1:6" x14ac:dyDescent="0.55000000000000004">
      <c r="A43" s="81">
        <v>210055</v>
      </c>
      <c r="B43" s="81" t="s">
        <v>148</v>
      </c>
      <c r="C43" s="116">
        <v>0</v>
      </c>
      <c r="D43" s="130" t="s">
        <v>209</v>
      </c>
      <c r="E43" s="130" t="s">
        <v>209</v>
      </c>
      <c r="F43" s="127" t="e">
        <f>(D43*'Statewide PAU Revenue'!$C$53)+(E43*'Statewide PAU Revenue'!$D$53)</f>
        <v>#VALUE!</v>
      </c>
    </row>
    <row r="44" spans="1:6" x14ac:dyDescent="0.55000000000000004">
      <c r="A44" s="81">
        <v>210056</v>
      </c>
      <c r="B44" s="81" t="s">
        <v>149</v>
      </c>
      <c r="C44" s="116">
        <v>7.2516304556026021E-2</v>
      </c>
      <c r="D44" s="130">
        <v>24.34289666531409</v>
      </c>
      <c r="E44" s="130">
        <v>2.5455234422000701</v>
      </c>
      <c r="F44" s="127">
        <f>(D44*'Statewide PAU Revenue'!$C$53)+(E44*'Statewide PAU Revenue'!$D$53)</f>
        <v>24.165971475706115</v>
      </c>
    </row>
    <row r="45" spans="1:6" x14ac:dyDescent="0.55000000000000004">
      <c r="A45" s="81">
        <v>210057</v>
      </c>
      <c r="B45" s="81" t="s">
        <v>104</v>
      </c>
      <c r="C45" s="116">
        <v>4.5927580142043845E-2</v>
      </c>
      <c r="D45" s="130">
        <v>7.8074294491747436</v>
      </c>
      <c r="E45" s="130">
        <v>0.61328136129909872</v>
      </c>
      <c r="F45" s="127">
        <f>(D45*'Statewide PAU Revenue'!$C$53)+(E45*'Statewide PAU Revenue'!$D$53)</f>
        <v>7.749035898654375</v>
      </c>
    </row>
    <row r="46" spans="1:6" x14ac:dyDescent="0.55000000000000004">
      <c r="A46" s="81">
        <v>210058</v>
      </c>
      <c r="B46" s="81" t="s">
        <v>105</v>
      </c>
      <c r="C46" s="116">
        <v>7.6003878601422258E-3</v>
      </c>
      <c r="D46" s="130" t="s">
        <v>209</v>
      </c>
      <c r="E46" s="130" t="s">
        <v>209</v>
      </c>
      <c r="F46" s="127" t="e">
        <f>(D46*'Statewide PAU Revenue'!$C$53)+(E46*'Statewide PAU Revenue'!$D$53)</f>
        <v>#VALUE!</v>
      </c>
    </row>
    <row r="47" spans="1:6" x14ac:dyDescent="0.55000000000000004">
      <c r="A47" s="81">
        <v>210060</v>
      </c>
      <c r="B47" s="81" t="s">
        <v>150</v>
      </c>
      <c r="C47" s="116">
        <v>3.8919287419122178E-2</v>
      </c>
      <c r="D47" s="130">
        <v>14.787357646135312</v>
      </c>
      <c r="E47" s="130">
        <v>0</v>
      </c>
      <c r="F47" s="127">
        <f>(D47*'Statewide PAU Revenue'!$C$53)+(E47*'Statewide PAU Revenue'!$D$53)</f>
        <v>14.667331437997117</v>
      </c>
    </row>
    <row r="48" spans="1:6" x14ac:dyDescent="0.55000000000000004">
      <c r="A48" s="81">
        <v>210061</v>
      </c>
      <c r="B48" s="81" t="s">
        <v>107</v>
      </c>
      <c r="C48" s="116">
        <v>3.6141258034340748E-2</v>
      </c>
      <c r="D48" s="130">
        <v>8.9661296241714208</v>
      </c>
      <c r="E48" s="130">
        <v>0.42523948789955757</v>
      </c>
      <c r="F48" s="127">
        <f>(D48*'Statewide PAU Revenue'!$C$53)+(E48*'Statewide PAU Revenue'!$D$53)</f>
        <v>8.8968048210718269</v>
      </c>
    </row>
    <row r="49" spans="1:6" x14ac:dyDescent="0.55000000000000004">
      <c r="A49" s="81">
        <v>210062</v>
      </c>
      <c r="B49" s="81" t="s">
        <v>151</v>
      </c>
      <c r="C49" s="116">
        <v>5.8313993583464653E-2</v>
      </c>
      <c r="D49" s="130">
        <v>17.957175977596208</v>
      </c>
      <c r="E49" s="130">
        <v>0.13924826400008825</v>
      </c>
      <c r="F49" s="127">
        <f>(D49*'Statewide PAU Revenue'!$C$53)+(E49*'Statewide PAU Revenue'!$D$53)</f>
        <v>17.812551200707663</v>
      </c>
    </row>
    <row r="50" spans="1:6" x14ac:dyDescent="0.55000000000000004">
      <c r="A50" s="81">
        <v>210063</v>
      </c>
      <c r="B50" s="81" t="s">
        <v>152</v>
      </c>
      <c r="C50" s="116">
        <v>4.5326526244991276E-2</v>
      </c>
      <c r="D50" s="130">
        <v>11.748713389980081</v>
      </c>
      <c r="E50" s="130">
        <v>1.2762730471222519</v>
      </c>
      <c r="F50" s="127">
        <f>(D50*'Statewide PAU Revenue'!$C$53)+(E50*'Statewide PAU Revenue'!$D$53)</f>
        <v>11.663710556182037</v>
      </c>
    </row>
    <row r="51" spans="1:6" x14ac:dyDescent="0.55000000000000004">
      <c r="A51" s="81">
        <v>210064</v>
      </c>
      <c r="B51" s="81" t="s">
        <v>110</v>
      </c>
      <c r="C51" s="116">
        <v>6.8654102950811063E-2</v>
      </c>
      <c r="D51" s="130">
        <v>0</v>
      </c>
      <c r="E51" s="130">
        <v>0</v>
      </c>
      <c r="F51" s="127">
        <f>(D51*'Statewide PAU Revenue'!$C$53)+(E51*'Statewide PAU Revenue'!$D$53)</f>
        <v>0</v>
      </c>
    </row>
    <row r="52" spans="1:6" x14ac:dyDescent="0.55000000000000004">
      <c r="A52" s="81">
        <v>210065</v>
      </c>
      <c r="B52" s="81" t="s">
        <v>111</v>
      </c>
      <c r="C52" s="116">
        <v>5.8151616672721562E-2</v>
      </c>
      <c r="D52" s="130">
        <v>10.317186791679543</v>
      </c>
      <c r="E52" s="130">
        <v>0.54997721106609743</v>
      </c>
      <c r="F52" s="127">
        <f>(D52*'Statewide PAU Revenue'!$C$53)+(E52*'Statewide PAU Revenue'!$D$53)</f>
        <v>10.237908183688448</v>
      </c>
    </row>
    <row r="53" spans="1:6" x14ac:dyDescent="0.55000000000000004">
      <c r="A53" s="82" t="s">
        <v>153</v>
      </c>
      <c r="B53" s="82" t="s">
        <v>154</v>
      </c>
      <c r="C53" s="116">
        <v>5.2057357321456797E-2</v>
      </c>
      <c r="D53" s="130">
        <v>14.412601282148492</v>
      </c>
      <c r="E53" s="130">
        <v>0.84936156878616775</v>
      </c>
      <c r="F53" s="127">
        <f>(D53*'Statewide PAU Revenue'!$C$53)+(E53*'Statewide PAU Revenue'!$D$53)</f>
        <v>14.302511009645363</v>
      </c>
    </row>
    <row r="54" spans="1:6" x14ac:dyDescent="0.55000000000000004">
      <c r="A54" s="119"/>
      <c r="B54" s="119"/>
      <c r="C54" s="119"/>
      <c r="D54" s="81"/>
      <c r="E54" s="81"/>
      <c r="F54" s="81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3"/>
  <sheetViews>
    <sheetView workbookViewId="0"/>
  </sheetViews>
  <sheetFormatPr defaultColWidth="9.15625" defaultRowHeight="14.4" x14ac:dyDescent="0.55000000000000004"/>
  <cols>
    <col min="1" max="1" width="13" style="22" customWidth="1"/>
    <col min="2" max="2" width="23" style="22" customWidth="1"/>
    <col min="3" max="3" width="20" style="22" customWidth="1"/>
    <col min="4" max="4" width="12.15625" style="22" customWidth="1"/>
    <col min="5" max="5" width="27" style="22" customWidth="1"/>
    <col min="6" max="6" width="18" style="22" bestFit="1" customWidth="1"/>
    <col min="7" max="7" width="18" style="22" customWidth="1"/>
    <col min="8" max="8" width="15.41796875" style="22" customWidth="1"/>
    <col min="9" max="9" width="9.15625" style="22"/>
    <col min="10" max="10" width="9.15625" style="22" customWidth="1"/>
    <col min="11" max="11" width="9.15625" style="22"/>
    <col min="12" max="13" width="20.41796875" style="22" bestFit="1" customWidth="1"/>
    <col min="14" max="16384" width="9.15625" style="22"/>
  </cols>
  <sheetData>
    <row r="1" spans="1:13" x14ac:dyDescent="0.55000000000000004">
      <c r="A1" s="22" t="s">
        <v>177</v>
      </c>
      <c r="H1" s="113"/>
    </row>
    <row r="2" spans="1:13" x14ac:dyDescent="0.55000000000000004">
      <c r="A2" s="82" t="s">
        <v>132</v>
      </c>
      <c r="B2" s="82" t="s">
        <v>58</v>
      </c>
      <c r="C2" s="82" t="s">
        <v>156</v>
      </c>
      <c r="D2" s="82" t="s">
        <v>158</v>
      </c>
      <c r="E2" s="82" t="s">
        <v>157</v>
      </c>
      <c r="F2" s="82" t="s">
        <v>130</v>
      </c>
      <c r="G2" s="82" t="s">
        <v>160</v>
      </c>
      <c r="H2" s="82" t="s">
        <v>131</v>
      </c>
      <c r="I2" s="82" t="s">
        <v>1</v>
      </c>
      <c r="J2" s="101" t="s">
        <v>179</v>
      </c>
      <c r="K2" s="101" t="s">
        <v>180</v>
      </c>
      <c r="L2" s="101" t="s">
        <v>189</v>
      </c>
      <c r="M2" s="101" t="s">
        <v>190</v>
      </c>
    </row>
    <row r="3" spans="1:13" x14ac:dyDescent="0.55000000000000004">
      <c r="A3" s="81">
        <v>210001</v>
      </c>
      <c r="B3" s="81" t="s">
        <v>69</v>
      </c>
      <c r="C3" s="100">
        <v>22219552.549999997</v>
      </c>
      <c r="D3" s="100">
        <v>162863.74000000005</v>
      </c>
      <c r="E3" s="100">
        <v>21505340.309999965</v>
      </c>
      <c r="F3" s="98">
        <f>SUM(C3:E3)</f>
        <v>43887756.599999964</v>
      </c>
      <c r="G3" s="98">
        <f>D3+C3</f>
        <v>22382416.289999995</v>
      </c>
      <c r="H3" s="85">
        <v>367623301.22000003</v>
      </c>
      <c r="I3" s="99"/>
      <c r="J3" s="74"/>
      <c r="K3" s="74"/>
    </row>
    <row r="4" spans="1:13" x14ac:dyDescent="0.55000000000000004">
      <c r="A4" s="81">
        <v>210002</v>
      </c>
      <c r="B4" s="81" t="s">
        <v>60</v>
      </c>
      <c r="C4" s="100">
        <v>26715894.879999999</v>
      </c>
      <c r="D4" s="100">
        <v>994584.64000000025</v>
      </c>
      <c r="E4" s="100">
        <v>96310368.029999778</v>
      </c>
      <c r="F4" s="98">
        <f t="shared" ref="F4:F50" si="0">SUM(C4:E4)</f>
        <v>124020847.54999977</v>
      </c>
      <c r="G4" s="98">
        <f t="shared" ref="G4:G51" si="1">D4+C4</f>
        <v>27710479.52</v>
      </c>
      <c r="H4" s="85">
        <v>1843075164.3099999</v>
      </c>
      <c r="I4" s="99"/>
      <c r="J4" s="74"/>
      <c r="K4" s="74"/>
    </row>
    <row r="5" spans="1:13" x14ac:dyDescent="0.55000000000000004">
      <c r="A5" s="81">
        <v>210003</v>
      </c>
      <c r="B5" s="81" t="s">
        <v>133</v>
      </c>
      <c r="C5" s="100">
        <v>22422003.309999987</v>
      </c>
      <c r="D5" s="100">
        <v>0</v>
      </c>
      <c r="E5" s="100">
        <v>24590223.619999986</v>
      </c>
      <c r="F5" s="98">
        <f t="shared" si="0"/>
        <v>47012226.929999977</v>
      </c>
      <c r="G5" s="98">
        <f t="shared" si="1"/>
        <v>22422003.309999987</v>
      </c>
      <c r="H5" s="85">
        <v>337537465.69</v>
      </c>
      <c r="I5" s="99"/>
      <c r="J5" s="74"/>
      <c r="K5" s="74"/>
    </row>
    <row r="6" spans="1:13" x14ac:dyDescent="0.55000000000000004">
      <c r="A6" s="81">
        <v>210004</v>
      </c>
      <c r="B6" s="81" t="s">
        <v>70</v>
      </c>
      <c r="C6" s="100">
        <v>22951978.89999995</v>
      </c>
      <c r="D6" s="100">
        <v>77535.56</v>
      </c>
      <c r="E6" s="100">
        <v>33414240.77999999</v>
      </c>
      <c r="F6" s="98">
        <f t="shared" si="0"/>
        <v>56443755.239999935</v>
      </c>
      <c r="G6" s="98">
        <f t="shared" si="1"/>
        <v>23029514.459999949</v>
      </c>
      <c r="H6" s="85">
        <v>522924047.35000002</v>
      </c>
      <c r="I6" s="99"/>
      <c r="J6" s="74"/>
      <c r="K6" s="74"/>
    </row>
    <row r="7" spans="1:13" x14ac:dyDescent="0.55000000000000004">
      <c r="A7" s="81">
        <v>210005</v>
      </c>
      <c r="B7" s="81" t="s">
        <v>71</v>
      </c>
      <c r="C7" s="100">
        <v>21478433.920000035</v>
      </c>
      <c r="D7" s="100">
        <v>64453.200000000004</v>
      </c>
      <c r="E7" s="100">
        <v>22421283.669999991</v>
      </c>
      <c r="F7" s="98">
        <f t="shared" si="0"/>
        <v>43964170.790000021</v>
      </c>
      <c r="G7" s="98">
        <f t="shared" si="1"/>
        <v>21542887.120000035</v>
      </c>
      <c r="H7" s="85">
        <v>364700635.18000001</v>
      </c>
      <c r="I7" s="99"/>
      <c r="J7" s="74"/>
      <c r="K7" s="74"/>
    </row>
    <row r="8" spans="1:13" x14ac:dyDescent="0.55000000000000004">
      <c r="A8" s="81">
        <v>210006</v>
      </c>
      <c r="B8" s="81" t="s">
        <v>72</v>
      </c>
      <c r="C8" s="100">
        <v>9006619.8300000038</v>
      </c>
      <c r="D8" s="100">
        <v>0</v>
      </c>
      <c r="E8" s="100">
        <v>9366055.0600000024</v>
      </c>
      <c r="F8" s="98">
        <f t="shared" si="0"/>
        <v>18372674.890000008</v>
      </c>
      <c r="G8" s="98">
        <f t="shared" si="1"/>
        <v>9006619.8300000038</v>
      </c>
      <c r="H8" s="85">
        <v>108548066.54000001</v>
      </c>
      <c r="I8" s="99"/>
      <c r="J8" s="74"/>
      <c r="K8" s="74"/>
    </row>
    <row r="9" spans="1:13" x14ac:dyDescent="0.55000000000000004">
      <c r="A9" s="81">
        <v>210008</v>
      </c>
      <c r="B9" s="81" t="s">
        <v>73</v>
      </c>
      <c r="C9" s="100">
        <v>13766913.620000001</v>
      </c>
      <c r="D9" s="100">
        <v>0</v>
      </c>
      <c r="E9" s="100">
        <v>16144161.410000006</v>
      </c>
      <c r="F9" s="98">
        <f t="shared" si="0"/>
        <v>29911075.030000009</v>
      </c>
      <c r="G9" s="98">
        <f t="shared" si="1"/>
        <v>13766913.620000001</v>
      </c>
      <c r="H9" s="85">
        <v>572417102.88</v>
      </c>
      <c r="I9" s="99"/>
      <c r="J9" s="74"/>
      <c r="K9" s="74"/>
    </row>
    <row r="10" spans="1:13" x14ac:dyDescent="0.55000000000000004">
      <c r="A10" s="81">
        <v>210009</v>
      </c>
      <c r="B10" s="81" t="s">
        <v>74</v>
      </c>
      <c r="C10" s="100">
        <v>51271312.880000032</v>
      </c>
      <c r="D10" s="100">
        <v>2127505.5100000007</v>
      </c>
      <c r="E10" s="100">
        <v>155958210.88000062</v>
      </c>
      <c r="F10" s="98">
        <f t="shared" si="0"/>
        <v>209357029.27000064</v>
      </c>
      <c r="G10" s="98">
        <f t="shared" si="1"/>
        <v>53398818.39000003</v>
      </c>
      <c r="H10" s="85">
        <v>2547975356.8099999</v>
      </c>
      <c r="I10" s="99"/>
      <c r="J10" s="74"/>
      <c r="K10" s="74"/>
    </row>
    <row r="11" spans="1:13" x14ac:dyDescent="0.55000000000000004">
      <c r="A11" s="81">
        <v>210010</v>
      </c>
      <c r="B11" s="81" t="s">
        <v>75</v>
      </c>
      <c r="C11" s="100">
        <v>3515505.5299999993</v>
      </c>
      <c r="D11" s="100">
        <v>0</v>
      </c>
      <c r="E11" s="100">
        <v>3054034.3000000003</v>
      </c>
      <c r="F11" s="98">
        <f t="shared" si="0"/>
        <v>6569539.8300000001</v>
      </c>
      <c r="G11" s="98">
        <f t="shared" si="1"/>
        <v>3515505.5299999993</v>
      </c>
      <c r="H11" s="85">
        <v>42530360.210000001</v>
      </c>
      <c r="I11" s="99"/>
      <c r="J11" s="74"/>
      <c r="K11" s="74"/>
    </row>
    <row r="12" spans="1:13" x14ac:dyDescent="0.55000000000000004">
      <c r="A12" s="81">
        <v>210011</v>
      </c>
      <c r="B12" s="81" t="s">
        <v>134</v>
      </c>
      <c r="C12" s="100">
        <v>31661133.18999999</v>
      </c>
      <c r="D12" s="100">
        <v>331214.16000000003</v>
      </c>
      <c r="E12" s="100">
        <v>31514130.890000012</v>
      </c>
      <c r="F12" s="98">
        <f t="shared" si="0"/>
        <v>63506478.240000002</v>
      </c>
      <c r="G12" s="98">
        <f t="shared" si="1"/>
        <v>31992347.34999999</v>
      </c>
      <c r="H12" s="85">
        <v>432172199.74000001</v>
      </c>
      <c r="I12" s="99"/>
      <c r="J12" s="74"/>
      <c r="K12" s="74"/>
    </row>
    <row r="13" spans="1:13" x14ac:dyDescent="0.55000000000000004">
      <c r="A13" s="81">
        <v>210012</v>
      </c>
      <c r="B13" s="81" t="s">
        <v>77</v>
      </c>
      <c r="C13" s="100">
        <v>30978488.799999978</v>
      </c>
      <c r="D13" s="100">
        <v>825207.76000000024</v>
      </c>
      <c r="E13" s="100">
        <v>37744493.230000027</v>
      </c>
      <c r="F13" s="98">
        <f t="shared" si="0"/>
        <v>69548189.790000007</v>
      </c>
      <c r="G13" s="98">
        <f t="shared" si="1"/>
        <v>31803696.55999998</v>
      </c>
      <c r="H13" s="85">
        <v>814162042.42999995</v>
      </c>
      <c r="I13" s="99"/>
      <c r="J13" s="74"/>
      <c r="K13" s="74"/>
    </row>
    <row r="14" spans="1:13" x14ac:dyDescent="0.55000000000000004">
      <c r="A14" s="81">
        <v>210013</v>
      </c>
      <c r="B14" s="81" t="s">
        <v>78</v>
      </c>
      <c r="C14" s="100">
        <v>6854268.4100000001</v>
      </c>
      <c r="D14" s="100">
        <v>0</v>
      </c>
      <c r="E14" s="100">
        <v>12010420.579999996</v>
      </c>
      <c r="F14" s="98">
        <f t="shared" si="0"/>
        <v>18864688.989999995</v>
      </c>
      <c r="G14" s="98">
        <f t="shared" si="1"/>
        <v>6854268.4100000001</v>
      </c>
      <c r="H14" s="85">
        <v>102609102.47</v>
      </c>
      <c r="I14" s="99"/>
      <c r="J14" s="74"/>
      <c r="K14" s="74"/>
    </row>
    <row r="15" spans="1:13" x14ac:dyDescent="0.55000000000000004">
      <c r="A15" s="81">
        <v>210015</v>
      </c>
      <c r="B15" s="81" t="s">
        <v>135</v>
      </c>
      <c r="C15" s="100">
        <v>38014149.720000103</v>
      </c>
      <c r="D15" s="100">
        <v>33500.83</v>
      </c>
      <c r="E15" s="100">
        <v>38779950.869999968</v>
      </c>
      <c r="F15" s="98">
        <f t="shared" si="0"/>
        <v>76827601.420000076</v>
      </c>
      <c r="G15" s="98">
        <f t="shared" si="1"/>
        <v>38047650.550000101</v>
      </c>
      <c r="H15" s="85">
        <v>570539269.5</v>
      </c>
      <c r="I15" s="99"/>
      <c r="J15" s="74"/>
      <c r="K15" s="74"/>
    </row>
    <row r="16" spans="1:13" x14ac:dyDescent="0.55000000000000004">
      <c r="A16" s="81">
        <v>210016</v>
      </c>
      <c r="B16" s="81" t="s">
        <v>136</v>
      </c>
      <c r="C16" s="100">
        <v>19012166.55999998</v>
      </c>
      <c r="D16" s="100">
        <v>0</v>
      </c>
      <c r="E16" s="100">
        <v>19782174.43</v>
      </c>
      <c r="F16" s="98">
        <f t="shared" si="0"/>
        <v>38794340.98999998</v>
      </c>
      <c r="G16" s="98">
        <f t="shared" si="1"/>
        <v>19012166.55999998</v>
      </c>
      <c r="H16" s="85">
        <v>299628065.62</v>
      </c>
      <c r="I16" s="99"/>
      <c r="J16" s="74"/>
      <c r="K16" s="74"/>
    </row>
    <row r="17" spans="1:11" x14ac:dyDescent="0.55000000000000004">
      <c r="A17" s="81">
        <v>210017</v>
      </c>
      <c r="B17" s="81" t="s">
        <v>81</v>
      </c>
      <c r="C17" s="100">
        <v>3108026.089999998</v>
      </c>
      <c r="D17" s="100">
        <v>39555.549999999996</v>
      </c>
      <c r="E17" s="100">
        <v>1083034.1300000001</v>
      </c>
      <c r="F17" s="98">
        <f t="shared" si="0"/>
        <v>4230615.7699999977</v>
      </c>
      <c r="G17" s="98">
        <f t="shared" si="1"/>
        <v>3147581.6399999978</v>
      </c>
      <c r="H17" s="85">
        <v>66173930.909999996</v>
      </c>
      <c r="I17" s="99"/>
      <c r="J17" s="74"/>
      <c r="K17" s="74"/>
    </row>
    <row r="18" spans="1:11" x14ac:dyDescent="0.55000000000000004">
      <c r="A18" s="81">
        <v>210018</v>
      </c>
      <c r="B18" s="81" t="s">
        <v>137</v>
      </c>
      <c r="C18" s="100">
        <v>9990132.5400000177</v>
      </c>
      <c r="D18" s="100">
        <v>35275.72</v>
      </c>
      <c r="E18" s="100">
        <v>11359834.159999996</v>
      </c>
      <c r="F18" s="98">
        <f t="shared" si="0"/>
        <v>21385242.420000017</v>
      </c>
      <c r="G18" s="98">
        <f t="shared" si="1"/>
        <v>10025408.260000018</v>
      </c>
      <c r="H18" s="85">
        <v>182273431.56</v>
      </c>
      <c r="I18" s="99"/>
      <c r="J18" s="74"/>
      <c r="K18" s="74"/>
    </row>
    <row r="19" spans="1:11" x14ac:dyDescent="0.55000000000000004">
      <c r="A19" s="81">
        <v>210019</v>
      </c>
      <c r="B19" s="81" t="s">
        <v>138</v>
      </c>
      <c r="C19" s="100">
        <v>19396820.440000024</v>
      </c>
      <c r="D19" s="100">
        <v>118918.95</v>
      </c>
      <c r="E19" s="100">
        <v>25472486.189999998</v>
      </c>
      <c r="F19" s="98">
        <f t="shared" si="0"/>
        <v>44988225.580000021</v>
      </c>
      <c r="G19" s="98">
        <f t="shared" si="1"/>
        <v>19515739.390000023</v>
      </c>
      <c r="H19" s="85">
        <v>465248555.81</v>
      </c>
      <c r="I19" s="99"/>
      <c r="J19" s="74"/>
      <c r="K19" s="74"/>
    </row>
    <row r="20" spans="1:11" x14ac:dyDescent="0.55000000000000004">
      <c r="A20" s="81">
        <v>210022</v>
      </c>
      <c r="B20" s="81" t="s">
        <v>83</v>
      </c>
      <c r="C20" s="100">
        <v>11125882.390000004</v>
      </c>
      <c r="D20" s="100">
        <v>3402.21</v>
      </c>
      <c r="E20" s="100">
        <v>21078011.030000012</v>
      </c>
      <c r="F20" s="98">
        <f t="shared" si="0"/>
        <v>32207295.630000018</v>
      </c>
      <c r="G20" s="98">
        <f t="shared" si="1"/>
        <v>11129284.600000005</v>
      </c>
      <c r="H20" s="85">
        <v>341744254.61000001</v>
      </c>
      <c r="I20" s="99"/>
      <c r="J20" s="74"/>
      <c r="K20" s="74"/>
    </row>
    <row r="21" spans="1:11" x14ac:dyDescent="0.55000000000000004">
      <c r="A21" s="81">
        <v>210023</v>
      </c>
      <c r="B21" s="81" t="s">
        <v>139</v>
      </c>
      <c r="C21" s="100">
        <v>32061683.819999982</v>
      </c>
      <c r="D21" s="100">
        <v>163123.08999999997</v>
      </c>
      <c r="E21" s="100">
        <v>28852859.190000009</v>
      </c>
      <c r="F21" s="98">
        <f t="shared" si="0"/>
        <v>61077666.099999994</v>
      </c>
      <c r="G21" s="98">
        <f t="shared" si="1"/>
        <v>32224806.909999982</v>
      </c>
      <c r="H21" s="85">
        <v>655618367.76999998</v>
      </c>
      <c r="I21" s="99"/>
      <c r="J21" s="74"/>
      <c r="K21" s="74"/>
    </row>
    <row r="22" spans="1:11" x14ac:dyDescent="0.55000000000000004">
      <c r="A22" s="81">
        <v>210024</v>
      </c>
      <c r="B22" s="81" t="s">
        <v>140</v>
      </c>
      <c r="C22" s="100">
        <v>27739434.200000025</v>
      </c>
      <c r="D22" s="100">
        <v>5333.29</v>
      </c>
      <c r="E22" s="100">
        <v>26036855.199999988</v>
      </c>
      <c r="F22" s="98">
        <f t="shared" si="0"/>
        <v>53781622.690000013</v>
      </c>
      <c r="G22" s="98">
        <f t="shared" si="1"/>
        <v>27744767.490000024</v>
      </c>
      <c r="H22" s="85">
        <v>425662847.98000002</v>
      </c>
      <c r="I22" s="99"/>
      <c r="J22" s="74"/>
      <c r="K22" s="74"/>
    </row>
    <row r="23" spans="1:11" x14ac:dyDescent="0.55000000000000004">
      <c r="A23" s="81">
        <v>210027</v>
      </c>
      <c r="B23" s="81" t="s">
        <v>141</v>
      </c>
      <c r="C23" s="100">
        <v>16177727.930000013</v>
      </c>
      <c r="D23" s="100">
        <v>18164.71</v>
      </c>
      <c r="E23" s="100">
        <v>17933344.689999986</v>
      </c>
      <c r="F23" s="98">
        <f t="shared" si="0"/>
        <v>34129237.329999998</v>
      </c>
      <c r="G23" s="98">
        <f t="shared" si="1"/>
        <v>16195892.640000014</v>
      </c>
      <c r="H23" s="85">
        <v>339054315.77999997</v>
      </c>
      <c r="I23" s="99"/>
      <c r="J23" s="74"/>
      <c r="K23" s="74"/>
    </row>
    <row r="24" spans="1:11" x14ac:dyDescent="0.55000000000000004">
      <c r="A24" s="81">
        <v>210028</v>
      </c>
      <c r="B24" s="81" t="s">
        <v>142</v>
      </c>
      <c r="C24" s="100">
        <v>12150863.529999981</v>
      </c>
      <c r="D24" s="100">
        <v>2957.49</v>
      </c>
      <c r="E24" s="100">
        <v>9206250.4699999951</v>
      </c>
      <c r="F24" s="98">
        <f t="shared" si="0"/>
        <v>21360071.489999976</v>
      </c>
      <c r="G24" s="98">
        <f t="shared" si="1"/>
        <v>12153821.019999981</v>
      </c>
      <c r="H24" s="85">
        <v>195148369.02000001</v>
      </c>
      <c r="I24" s="99"/>
      <c r="J24" s="74"/>
      <c r="K24" s="74"/>
    </row>
    <row r="25" spans="1:11" x14ac:dyDescent="0.55000000000000004">
      <c r="A25" s="81">
        <v>210029</v>
      </c>
      <c r="B25" s="81" t="s">
        <v>143</v>
      </c>
      <c r="C25" s="100">
        <v>32695716.769999966</v>
      </c>
      <c r="D25" s="100">
        <v>206541.63999999998</v>
      </c>
      <c r="E25" s="100">
        <v>44128826.599999994</v>
      </c>
      <c r="F25" s="98">
        <f t="shared" si="0"/>
        <v>77031085.009999961</v>
      </c>
      <c r="G25" s="98">
        <f t="shared" si="1"/>
        <v>32902258.409999967</v>
      </c>
      <c r="H25" s="85">
        <v>709174943.78999996</v>
      </c>
      <c r="I25" s="99"/>
      <c r="J25" s="74"/>
      <c r="K25" s="74"/>
    </row>
    <row r="26" spans="1:11" x14ac:dyDescent="0.55000000000000004">
      <c r="A26" s="81">
        <v>210030</v>
      </c>
      <c r="B26" s="81" t="s">
        <v>88</v>
      </c>
      <c r="C26" s="100">
        <v>2247260.4000000013</v>
      </c>
      <c r="D26" s="100">
        <v>0</v>
      </c>
      <c r="E26" s="100">
        <v>985924.79999999993</v>
      </c>
      <c r="F26" s="98">
        <f t="shared" si="0"/>
        <v>3233185.2000000011</v>
      </c>
      <c r="G26" s="98">
        <f t="shared" si="1"/>
        <v>2247260.4000000013</v>
      </c>
      <c r="H26" s="85">
        <v>43979923.619999997</v>
      </c>
      <c r="I26" s="99"/>
      <c r="J26" s="74"/>
      <c r="K26" s="74"/>
    </row>
    <row r="27" spans="1:11" x14ac:dyDescent="0.55000000000000004">
      <c r="A27" s="81">
        <v>210032</v>
      </c>
      <c r="B27" s="81" t="s">
        <v>89</v>
      </c>
      <c r="C27" s="100">
        <v>8788625.0000000056</v>
      </c>
      <c r="D27" s="100">
        <v>0</v>
      </c>
      <c r="E27" s="100">
        <v>9836828.7299999911</v>
      </c>
      <c r="F27" s="98">
        <f t="shared" si="0"/>
        <v>18625453.729999997</v>
      </c>
      <c r="G27" s="98">
        <f t="shared" si="1"/>
        <v>8788625.0000000056</v>
      </c>
      <c r="H27" s="85">
        <v>165492462.25</v>
      </c>
      <c r="I27" s="99"/>
      <c r="J27" s="74"/>
      <c r="K27" s="74"/>
    </row>
    <row r="28" spans="1:11" x14ac:dyDescent="0.55000000000000004">
      <c r="A28" s="81">
        <v>210033</v>
      </c>
      <c r="B28" s="81" t="s">
        <v>90</v>
      </c>
      <c r="C28" s="100">
        <v>19408060.909999967</v>
      </c>
      <c r="D28" s="100">
        <v>50305.05</v>
      </c>
      <c r="E28" s="100">
        <v>15853752.610000005</v>
      </c>
      <c r="F28" s="98">
        <f t="shared" si="0"/>
        <v>35312118.56999997</v>
      </c>
      <c r="G28" s="98">
        <f t="shared" si="1"/>
        <v>19458365.959999967</v>
      </c>
      <c r="H28" s="85">
        <v>238129563.22999999</v>
      </c>
      <c r="I28" s="99"/>
      <c r="J28" s="74"/>
      <c r="K28" s="74"/>
    </row>
    <row r="29" spans="1:11" x14ac:dyDescent="0.55000000000000004">
      <c r="A29" s="81">
        <v>210034</v>
      </c>
      <c r="B29" s="81" t="s">
        <v>144</v>
      </c>
      <c r="C29" s="100">
        <v>18333145.770000026</v>
      </c>
      <c r="D29" s="100">
        <v>0</v>
      </c>
      <c r="E29" s="100">
        <v>16567625.039999992</v>
      </c>
      <c r="F29" s="98">
        <f t="shared" si="0"/>
        <v>34900770.810000017</v>
      </c>
      <c r="G29" s="98">
        <f t="shared" si="1"/>
        <v>18333145.770000026</v>
      </c>
      <c r="H29" s="85">
        <v>191504794.93000001</v>
      </c>
      <c r="I29" s="99"/>
      <c r="J29" s="74"/>
      <c r="K29" s="74"/>
    </row>
    <row r="30" spans="1:11" x14ac:dyDescent="0.55000000000000004">
      <c r="A30" s="81">
        <v>210035</v>
      </c>
      <c r="B30" s="81" t="s">
        <v>145</v>
      </c>
      <c r="C30" s="100">
        <v>11244821.60999999</v>
      </c>
      <c r="D30" s="100">
        <v>61335.859999999993</v>
      </c>
      <c r="E30" s="100">
        <v>11072539.220000017</v>
      </c>
      <c r="F30" s="98">
        <f t="shared" si="0"/>
        <v>22378696.690000005</v>
      </c>
      <c r="G30" s="98">
        <f t="shared" si="1"/>
        <v>11306157.469999989</v>
      </c>
      <c r="H30" s="85">
        <v>160601894.88</v>
      </c>
      <c r="I30" s="99"/>
      <c r="J30" s="74"/>
      <c r="K30" s="74"/>
    </row>
    <row r="31" spans="1:11" x14ac:dyDescent="0.55000000000000004">
      <c r="A31" s="81">
        <v>210037</v>
      </c>
      <c r="B31" s="81" t="s">
        <v>93</v>
      </c>
      <c r="C31" s="100">
        <v>8808971.2600000091</v>
      </c>
      <c r="D31" s="100">
        <v>49035.560000000005</v>
      </c>
      <c r="E31" s="100">
        <v>9800666.2800000012</v>
      </c>
      <c r="F31" s="98">
        <f t="shared" si="0"/>
        <v>18658673.100000009</v>
      </c>
      <c r="G31" s="98">
        <f t="shared" si="1"/>
        <v>8858006.8200000096</v>
      </c>
      <c r="H31" s="85">
        <v>249245662.50999999</v>
      </c>
      <c r="I31" s="99"/>
      <c r="J31" s="74"/>
      <c r="K31" s="74"/>
    </row>
    <row r="32" spans="1:11" x14ac:dyDescent="0.55000000000000004">
      <c r="A32" s="81">
        <v>210038</v>
      </c>
      <c r="B32" s="81" t="s">
        <v>94</v>
      </c>
      <c r="C32" s="100">
        <v>15347817.849999992</v>
      </c>
      <c r="D32" s="100">
        <v>0</v>
      </c>
      <c r="E32" s="100">
        <v>17439936.129999995</v>
      </c>
      <c r="F32" s="98">
        <f t="shared" si="0"/>
        <v>32787753.979999989</v>
      </c>
      <c r="G32" s="98">
        <f t="shared" si="1"/>
        <v>15347817.849999992</v>
      </c>
      <c r="H32" s="85">
        <v>231520868.40000001</v>
      </c>
      <c r="I32" s="99"/>
      <c r="J32" s="74"/>
      <c r="K32" s="74"/>
    </row>
    <row r="33" spans="1:11" x14ac:dyDescent="0.55000000000000004">
      <c r="A33" s="81">
        <v>210039</v>
      </c>
      <c r="B33" s="81" t="s">
        <v>95</v>
      </c>
      <c r="C33" s="100">
        <v>9587439.6299999878</v>
      </c>
      <c r="D33" s="100">
        <v>61895.029999999984</v>
      </c>
      <c r="E33" s="100">
        <v>9101301.1499999985</v>
      </c>
      <c r="F33" s="98">
        <f t="shared" si="0"/>
        <v>18750635.809999987</v>
      </c>
      <c r="G33" s="98">
        <f t="shared" si="1"/>
        <v>9649334.6599999871</v>
      </c>
      <c r="H33" s="85">
        <v>155084228.18000001</v>
      </c>
      <c r="I33" s="99"/>
      <c r="J33" s="74"/>
      <c r="K33" s="74"/>
    </row>
    <row r="34" spans="1:11" x14ac:dyDescent="0.55000000000000004">
      <c r="A34" s="81">
        <v>210040</v>
      </c>
      <c r="B34" s="81" t="s">
        <v>96</v>
      </c>
      <c r="C34" s="100">
        <v>18524163.529999971</v>
      </c>
      <c r="D34" s="100">
        <v>0</v>
      </c>
      <c r="E34" s="100">
        <v>19171234.350000035</v>
      </c>
      <c r="F34" s="98">
        <f t="shared" si="0"/>
        <v>37695397.88000001</v>
      </c>
      <c r="G34" s="98">
        <f t="shared" si="1"/>
        <v>18524163.529999971</v>
      </c>
      <c r="H34" s="85">
        <v>273007188.74000001</v>
      </c>
      <c r="I34" s="99"/>
      <c r="J34" s="74"/>
      <c r="K34" s="74"/>
    </row>
    <row r="35" spans="1:11" x14ac:dyDescent="0.55000000000000004">
      <c r="A35" s="81">
        <v>210043</v>
      </c>
      <c r="B35" s="81" t="s">
        <v>97</v>
      </c>
      <c r="C35" s="100">
        <v>26007201.780000057</v>
      </c>
      <c r="D35" s="100">
        <v>299729.06999999983</v>
      </c>
      <c r="E35" s="100">
        <v>37514401.580000021</v>
      </c>
      <c r="F35" s="98">
        <f t="shared" si="0"/>
        <v>63821332.430000082</v>
      </c>
      <c r="G35" s="98">
        <f t="shared" si="1"/>
        <v>26306930.850000057</v>
      </c>
      <c r="H35" s="85">
        <v>467192411.33999997</v>
      </c>
      <c r="I35" s="99"/>
      <c r="J35" s="74"/>
      <c r="K35" s="74"/>
    </row>
    <row r="36" spans="1:11" x14ac:dyDescent="0.55000000000000004">
      <c r="A36" s="81">
        <v>210044</v>
      </c>
      <c r="B36" s="81" t="s">
        <v>98</v>
      </c>
      <c r="C36" s="100">
        <v>23074810.390000019</v>
      </c>
      <c r="D36" s="100">
        <v>142263.94</v>
      </c>
      <c r="E36" s="100">
        <v>21908865.800000004</v>
      </c>
      <c r="F36" s="98">
        <f t="shared" si="0"/>
        <v>45125940.130000025</v>
      </c>
      <c r="G36" s="98">
        <f t="shared" si="1"/>
        <v>23217074.330000021</v>
      </c>
      <c r="H36" s="85">
        <v>488694507.13</v>
      </c>
      <c r="I36" s="99"/>
      <c r="J36" s="74"/>
      <c r="K36" s="74"/>
    </row>
    <row r="37" spans="1:11" x14ac:dyDescent="0.55000000000000004">
      <c r="A37" s="81">
        <v>210045</v>
      </c>
      <c r="B37" s="81" t="s">
        <v>99</v>
      </c>
      <c r="C37" s="100">
        <v>843021.79999999981</v>
      </c>
      <c r="D37" s="100">
        <v>0</v>
      </c>
      <c r="E37" s="100">
        <v>57081.83</v>
      </c>
      <c r="F37" s="98">
        <f t="shared" si="0"/>
        <v>900103.62999999977</v>
      </c>
      <c r="G37" s="98">
        <f t="shared" si="1"/>
        <v>843021.79999999981</v>
      </c>
      <c r="H37" s="85">
        <v>15779079.6</v>
      </c>
      <c r="I37" s="99"/>
      <c r="J37" s="74"/>
      <c r="K37" s="74"/>
    </row>
    <row r="38" spans="1:11" x14ac:dyDescent="0.55000000000000004">
      <c r="A38" s="81">
        <v>210048</v>
      </c>
      <c r="B38" s="81" t="s">
        <v>146</v>
      </c>
      <c r="C38" s="100">
        <v>15468996.979999993</v>
      </c>
      <c r="D38" s="100">
        <v>35556.450000000004</v>
      </c>
      <c r="E38" s="100">
        <v>22101791.279999997</v>
      </c>
      <c r="F38" s="98">
        <f t="shared" si="0"/>
        <v>37606344.709999993</v>
      </c>
      <c r="G38" s="98">
        <f t="shared" si="1"/>
        <v>15504553.429999992</v>
      </c>
      <c r="H38" s="85">
        <v>307511120.42000002</v>
      </c>
      <c r="I38" s="99"/>
      <c r="J38" s="74"/>
      <c r="K38" s="74"/>
    </row>
    <row r="39" spans="1:11" x14ac:dyDescent="0.55000000000000004">
      <c r="A39" s="81">
        <v>210049</v>
      </c>
      <c r="B39" s="81" t="s">
        <v>147</v>
      </c>
      <c r="C39" s="100">
        <v>18278324.900000002</v>
      </c>
      <c r="D39" s="100">
        <v>178684.04</v>
      </c>
      <c r="E39" s="100">
        <v>22586134.59000003</v>
      </c>
      <c r="F39" s="98">
        <f t="shared" si="0"/>
        <v>41043143.530000031</v>
      </c>
      <c r="G39" s="98">
        <f t="shared" si="1"/>
        <v>18457008.940000001</v>
      </c>
      <c r="H39" s="85">
        <v>328307634.00999999</v>
      </c>
      <c r="I39" s="99"/>
      <c r="J39" s="74"/>
      <c r="K39" s="74"/>
    </row>
    <row r="40" spans="1:11" x14ac:dyDescent="0.55000000000000004">
      <c r="A40" s="81">
        <v>210051</v>
      </c>
      <c r="B40" s="81" t="s">
        <v>102</v>
      </c>
      <c r="C40" s="100">
        <v>22940662.710000001</v>
      </c>
      <c r="D40" s="100">
        <v>0</v>
      </c>
      <c r="E40" s="100">
        <v>22472353.88000001</v>
      </c>
      <c r="F40" s="98">
        <f t="shared" si="0"/>
        <v>45413016.590000011</v>
      </c>
      <c r="G40" s="98">
        <f t="shared" si="1"/>
        <v>22940662.710000001</v>
      </c>
      <c r="H40" s="85">
        <v>264501422.87</v>
      </c>
      <c r="I40" s="99"/>
      <c r="J40" s="74"/>
      <c r="K40" s="74"/>
    </row>
    <row r="41" spans="1:11" x14ac:dyDescent="0.55000000000000004">
      <c r="A41" s="81">
        <v>210055</v>
      </c>
      <c r="B41" s="81" t="s">
        <v>148</v>
      </c>
      <c r="C41" s="100"/>
      <c r="D41" s="100"/>
      <c r="E41" s="100"/>
      <c r="F41" s="98"/>
      <c r="G41" s="98"/>
      <c r="H41" s="85"/>
      <c r="I41" s="99"/>
      <c r="J41" s="74"/>
      <c r="K41" s="74"/>
    </row>
    <row r="42" spans="1:11" x14ac:dyDescent="0.55000000000000004">
      <c r="A42" s="81">
        <v>210056</v>
      </c>
      <c r="B42" s="81" t="s">
        <v>149</v>
      </c>
      <c r="C42" s="100">
        <v>25967319.390000053</v>
      </c>
      <c r="D42" s="100">
        <v>14461.14</v>
      </c>
      <c r="E42" s="100">
        <v>24919033.52</v>
      </c>
      <c r="F42" s="98">
        <f t="shared" si="0"/>
        <v>50900814.050000057</v>
      </c>
      <c r="G42" s="98">
        <f t="shared" si="1"/>
        <v>25981780.530000053</v>
      </c>
      <c r="H42" s="85">
        <v>265138189.25999999</v>
      </c>
      <c r="I42" s="99"/>
      <c r="J42" s="74"/>
      <c r="K42" s="74"/>
    </row>
    <row r="43" spans="1:11" x14ac:dyDescent="0.55000000000000004">
      <c r="A43" s="81">
        <v>210057</v>
      </c>
      <c r="B43" s="81" t="s">
        <v>104</v>
      </c>
      <c r="C43" s="100">
        <v>18230021.569999982</v>
      </c>
      <c r="D43" s="100">
        <v>317250.26000000007</v>
      </c>
      <c r="E43" s="100">
        <v>25473256.229999974</v>
      </c>
      <c r="F43" s="98">
        <f t="shared" si="0"/>
        <v>44020528.059999958</v>
      </c>
      <c r="G43" s="98">
        <f t="shared" si="1"/>
        <v>18547271.829999983</v>
      </c>
      <c r="H43" s="85">
        <v>462376204.79000002</v>
      </c>
      <c r="I43" s="99"/>
      <c r="J43" s="74"/>
      <c r="K43" s="74"/>
    </row>
    <row r="44" spans="1:11" x14ac:dyDescent="0.55000000000000004">
      <c r="A44" s="81">
        <v>210058</v>
      </c>
      <c r="B44" s="81" t="s">
        <v>105</v>
      </c>
      <c r="C44" s="100">
        <v>10199.76</v>
      </c>
      <c r="D44" s="100">
        <v>0</v>
      </c>
      <c r="E44" s="100">
        <v>171696.37999999998</v>
      </c>
      <c r="F44" s="98">
        <f t="shared" si="0"/>
        <v>181896.13999999998</v>
      </c>
      <c r="G44" s="98">
        <f t="shared" si="1"/>
        <v>10199.76</v>
      </c>
      <c r="H44" s="85">
        <v>126158320.16</v>
      </c>
      <c r="I44" s="99"/>
      <c r="J44" s="74"/>
      <c r="K44" s="74"/>
    </row>
    <row r="45" spans="1:11" x14ac:dyDescent="0.55000000000000004">
      <c r="A45" s="81">
        <v>210060</v>
      </c>
      <c r="B45" s="81" t="s">
        <v>150</v>
      </c>
      <c r="C45" s="100">
        <v>5395945.0600000042</v>
      </c>
      <c r="D45" s="100">
        <v>0</v>
      </c>
      <c r="E45" s="100">
        <v>2075256.530000001</v>
      </c>
      <c r="F45" s="98">
        <f t="shared" si="0"/>
        <v>7471201.5900000054</v>
      </c>
      <c r="G45" s="98">
        <f t="shared" si="1"/>
        <v>5395945.0600000042</v>
      </c>
      <c r="H45" s="85">
        <v>53811916.469999999</v>
      </c>
      <c r="I45" s="99"/>
      <c r="J45" s="74"/>
      <c r="K45" s="74"/>
    </row>
    <row r="46" spans="1:11" x14ac:dyDescent="0.55000000000000004">
      <c r="A46" s="81">
        <v>210061</v>
      </c>
      <c r="B46" s="81" t="s">
        <v>107</v>
      </c>
      <c r="C46" s="100">
        <v>6278304.0600000033</v>
      </c>
      <c r="D46" s="100">
        <v>4072.27</v>
      </c>
      <c r="E46" s="100">
        <v>3683012.8600000017</v>
      </c>
      <c r="F46" s="98">
        <f t="shared" si="0"/>
        <v>9965389.1900000051</v>
      </c>
      <c r="G46" s="98">
        <f t="shared" si="1"/>
        <v>6282376.3300000029</v>
      </c>
      <c r="H46" s="85">
        <v>113252750.09999999</v>
      </c>
      <c r="I46" s="99"/>
      <c r="J46" s="74"/>
      <c r="K46" s="74"/>
    </row>
    <row r="47" spans="1:11" x14ac:dyDescent="0.55000000000000004">
      <c r="A47" s="81">
        <v>210062</v>
      </c>
      <c r="B47" s="81" t="s">
        <v>151</v>
      </c>
      <c r="C47" s="100">
        <v>21903224.72000004</v>
      </c>
      <c r="D47" s="100">
        <v>0</v>
      </c>
      <c r="E47" s="100">
        <v>19736412.470000032</v>
      </c>
      <c r="F47" s="98">
        <f t="shared" si="0"/>
        <v>41639637.190000072</v>
      </c>
      <c r="G47" s="98">
        <f t="shared" si="1"/>
        <v>21903224.72000004</v>
      </c>
      <c r="H47" s="85">
        <v>279418752.54000002</v>
      </c>
      <c r="I47" s="99"/>
      <c r="J47" s="74"/>
      <c r="K47" s="74"/>
    </row>
    <row r="48" spans="1:11" x14ac:dyDescent="0.55000000000000004">
      <c r="A48" s="81">
        <v>210063</v>
      </c>
      <c r="B48" s="81" t="s">
        <v>152</v>
      </c>
      <c r="C48" s="100">
        <v>12878477.54999999</v>
      </c>
      <c r="D48" s="100">
        <v>131123.69</v>
      </c>
      <c r="E48" s="100">
        <v>22239397.349999975</v>
      </c>
      <c r="F48" s="98">
        <f t="shared" si="0"/>
        <v>35248998.589999966</v>
      </c>
      <c r="G48" s="98">
        <f t="shared" si="1"/>
        <v>13009601.239999989</v>
      </c>
      <c r="H48" s="85">
        <v>397336946.31999999</v>
      </c>
      <c r="I48" s="99"/>
      <c r="J48" s="74"/>
      <c r="K48" s="74"/>
    </row>
    <row r="49" spans="1:13" x14ac:dyDescent="0.55000000000000004">
      <c r="A49" s="81">
        <v>210064</v>
      </c>
      <c r="B49" s="81" t="s">
        <v>110</v>
      </c>
      <c r="C49" s="100">
        <v>0</v>
      </c>
      <c r="D49" s="100">
        <v>0</v>
      </c>
      <c r="E49" s="100">
        <v>4432198.6900000004</v>
      </c>
      <c r="F49" s="98">
        <f t="shared" si="0"/>
        <v>4432198.6900000004</v>
      </c>
      <c r="G49" s="98">
        <f t="shared" si="1"/>
        <v>0</v>
      </c>
      <c r="H49" s="85">
        <v>58310674.420000002</v>
      </c>
      <c r="I49" s="99"/>
      <c r="J49" s="74"/>
      <c r="K49" s="74"/>
    </row>
    <row r="50" spans="1:13" x14ac:dyDescent="0.55000000000000004">
      <c r="A50" s="81">
        <v>210065</v>
      </c>
      <c r="B50" s="81" t="s">
        <v>111</v>
      </c>
      <c r="C50" s="100">
        <v>7250428.9299999997</v>
      </c>
      <c r="D50" s="100">
        <v>0</v>
      </c>
      <c r="E50" s="100">
        <v>7582051.6800000034</v>
      </c>
      <c r="F50" s="98">
        <f t="shared" si="0"/>
        <v>14832480.610000003</v>
      </c>
      <c r="G50" s="98">
        <f t="shared" si="1"/>
        <v>7250428.9299999997</v>
      </c>
      <c r="H50" s="85">
        <v>118043611.48999999</v>
      </c>
      <c r="I50" s="99"/>
      <c r="J50" s="74"/>
      <c r="K50" s="74"/>
    </row>
    <row r="51" spans="1:13" x14ac:dyDescent="0.55000000000000004">
      <c r="A51" s="81"/>
      <c r="B51" s="81"/>
      <c r="C51" s="100"/>
      <c r="D51" s="100"/>
      <c r="E51" s="100"/>
      <c r="F51" s="81"/>
      <c r="G51" s="98">
        <f t="shared" si="1"/>
        <v>0</v>
      </c>
      <c r="H51" s="81"/>
      <c r="I51" s="103"/>
      <c r="J51" s="74"/>
      <c r="K51" s="74"/>
    </row>
    <row r="52" spans="1:13" s="75" customFormat="1" x14ac:dyDescent="0.55000000000000004">
      <c r="A52" s="123" t="s">
        <v>153</v>
      </c>
      <c r="B52" s="123" t="s">
        <v>153</v>
      </c>
      <c r="C52" s="124">
        <f>SUM(C3:C50)</f>
        <v>801131955.37000012</v>
      </c>
      <c r="D52" s="124">
        <f>SUM(D3:D50)</f>
        <v>6555850.4100000011</v>
      </c>
      <c r="E52" s="124">
        <f>SUM(E3:E50)</f>
        <v>1054529342.7000003</v>
      </c>
      <c r="F52" s="124">
        <f>SUM(F3:F50)</f>
        <v>1862217148.4800007</v>
      </c>
      <c r="G52" s="125">
        <f>D52+C52</f>
        <v>807687805.78000009</v>
      </c>
      <c r="H52" s="126">
        <f>SUM(H3:H50)</f>
        <v>17760941324.84</v>
      </c>
      <c r="I52" s="102">
        <f>F52/H52</f>
        <v>0.1048490119088199</v>
      </c>
      <c r="J52" s="104">
        <f t="shared" ref="J52" si="2">G52/H52</f>
        <v>4.5475506675447912E-2</v>
      </c>
      <c r="K52" s="102">
        <f t="shared" ref="K52" si="3">E52/H52</f>
        <v>5.9373505233371975E-2</v>
      </c>
      <c r="L52" s="122">
        <f>J52/I52</f>
        <v>0.43372375044406603</v>
      </c>
      <c r="M52" s="122">
        <f>K52/I52</f>
        <v>0.56627624955593381</v>
      </c>
    </row>
    <row r="53" spans="1:13" x14ac:dyDescent="0.55000000000000004">
      <c r="C53" s="4">
        <f>C52/G52</f>
        <v>0.9918831875842562</v>
      </c>
      <c r="D53" s="4">
        <f>D52/G52</f>
        <v>8.1168124157438362E-3</v>
      </c>
      <c r="J53" s="74"/>
      <c r="K53" s="7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50"/>
  <sheetViews>
    <sheetView workbookViewId="0">
      <selection activeCell="D20" sqref="D20"/>
    </sheetView>
  </sheetViews>
  <sheetFormatPr defaultRowHeight="14.4" x14ac:dyDescent="0.55000000000000004"/>
  <sheetData>
    <row r="1" spans="1:4" x14ac:dyDescent="0.55000000000000004">
      <c r="A1" t="s">
        <v>125</v>
      </c>
      <c r="B1" t="s">
        <v>0</v>
      </c>
      <c r="C1" t="s">
        <v>126</v>
      </c>
      <c r="D1" t="s">
        <v>127</v>
      </c>
    </row>
    <row r="2" spans="1:4" x14ac:dyDescent="0.55000000000000004">
      <c r="A2" s="1">
        <v>210001</v>
      </c>
      <c r="B2" s="2" t="s">
        <v>2</v>
      </c>
      <c r="C2">
        <f>VLOOKUP(A2,[3]Sheet2!$A:$J,10,FALSE)</f>
        <v>18.96677973468735</v>
      </c>
      <c r="D2">
        <f>VLOOKUP(A2,[3]Sheet2!$A:$I,9,FALSE)</f>
        <v>17.970282908782881</v>
      </c>
    </row>
    <row r="3" spans="1:4" x14ac:dyDescent="0.55000000000000004">
      <c r="A3" s="1">
        <v>210002</v>
      </c>
      <c r="B3" s="2" t="s">
        <v>3</v>
      </c>
      <c r="C3" s="22">
        <f>VLOOKUP(A3,[3]Sheet2!$A:$J,10,FALSE)</f>
        <v>23.179755966181013</v>
      </c>
      <c r="D3" s="22">
        <f>VLOOKUP(A3,[3]Sheet2!$A:$I,9,FALSE)</f>
        <v>24.079025018006444</v>
      </c>
    </row>
    <row r="4" spans="1:4" x14ac:dyDescent="0.55000000000000004">
      <c r="A4" s="1">
        <v>210003</v>
      </c>
      <c r="B4" s="2" t="s">
        <v>4</v>
      </c>
      <c r="C4" s="22">
        <f>VLOOKUP(A4,[3]Sheet2!$A:$J,10,FALSE)</f>
        <v>15.306754810803417</v>
      </c>
      <c r="D4" s="22">
        <f>VLOOKUP(A4,[3]Sheet2!$A:$I,9,FALSE)</f>
        <v>14.388784729339887</v>
      </c>
    </row>
    <row r="5" spans="1:4" x14ac:dyDescent="0.55000000000000004">
      <c r="A5" s="1">
        <v>210004</v>
      </c>
      <c r="B5" s="2" t="s">
        <v>5</v>
      </c>
      <c r="C5" s="22">
        <f>VLOOKUP(A5,[3]Sheet2!$A:$J,10,FALSE)</f>
        <v>6.4356847642630184</v>
      </c>
      <c r="D5" s="22">
        <f>VLOOKUP(A5,[3]Sheet2!$A:$I,9,FALSE)</f>
        <v>6.5696781120644285</v>
      </c>
    </row>
    <row r="6" spans="1:4" x14ac:dyDescent="0.55000000000000004">
      <c r="A6" s="1">
        <v>210005</v>
      </c>
      <c r="B6" s="2" t="s">
        <v>6</v>
      </c>
      <c r="C6" s="22">
        <f>VLOOKUP(A6,[3]Sheet2!$A:$J,10,FALSE)</f>
        <v>10.648007522040173</v>
      </c>
      <c r="D6" s="22">
        <f>VLOOKUP(A6,[3]Sheet2!$A:$I,9,FALSE)</f>
        <v>11.803571519189685</v>
      </c>
    </row>
    <row r="7" spans="1:4" x14ac:dyDescent="0.55000000000000004">
      <c r="A7" s="1">
        <v>210006</v>
      </c>
      <c r="B7" s="2" t="s">
        <v>7</v>
      </c>
      <c r="C7" s="22">
        <f>VLOOKUP(A7,[3]Sheet2!$A:$J,10,FALSE)</f>
        <v>14.078247740968541</v>
      </c>
      <c r="D7" s="22">
        <f>VLOOKUP(A7,[3]Sheet2!$A:$I,9,FALSE)</f>
        <v>14.697946768506055</v>
      </c>
    </row>
    <row r="8" spans="1:4" x14ac:dyDescent="0.55000000000000004">
      <c r="A8" s="1">
        <v>210008</v>
      </c>
      <c r="B8" s="2" t="s">
        <v>8</v>
      </c>
      <c r="C8" s="22">
        <f>VLOOKUP(A8,[3]Sheet2!$A:$J,10,FALSE)</f>
        <v>21.015656340025313</v>
      </c>
      <c r="D8" s="22">
        <f>VLOOKUP(A8,[3]Sheet2!$A:$I,9,FALSE)</f>
        <v>20.993625889650875</v>
      </c>
    </row>
    <row r="9" spans="1:4" x14ac:dyDescent="0.55000000000000004">
      <c r="A9" s="1">
        <v>210009</v>
      </c>
      <c r="B9" s="2" t="s">
        <v>9</v>
      </c>
      <c r="C9" s="22">
        <f>VLOOKUP(A9,[3]Sheet2!$A:$J,10,FALSE)</f>
        <v>32.381991160488077</v>
      </c>
      <c r="D9" s="22">
        <f>VLOOKUP(A9,[3]Sheet2!$A:$I,9,FALSE)</f>
        <v>30.000417772167999</v>
      </c>
    </row>
    <row r="10" spans="1:4" x14ac:dyDescent="0.55000000000000004">
      <c r="A10" s="1">
        <v>210010</v>
      </c>
      <c r="B10" s="2" t="s">
        <v>10</v>
      </c>
      <c r="C10" s="22" t="e">
        <f>VLOOKUP(A10,[3]Sheet2!$A:$J,10,FALSE)</f>
        <v>#DIV/0!</v>
      </c>
      <c r="D10" s="22" t="e">
        <f>VLOOKUP(A10,[3]Sheet2!$A:$I,9,FALSE)</f>
        <v>#DIV/0!</v>
      </c>
    </row>
    <row r="11" spans="1:4" x14ac:dyDescent="0.55000000000000004">
      <c r="A11" s="1">
        <v>210011</v>
      </c>
      <c r="B11" s="2" t="s">
        <v>11</v>
      </c>
      <c r="C11" s="22">
        <f>VLOOKUP(A11,[3]Sheet2!$A:$J,10,FALSE)</f>
        <v>17.10430357297783</v>
      </c>
      <c r="D11" s="22">
        <f>VLOOKUP(A11,[3]Sheet2!$A:$I,9,FALSE)</f>
        <v>17.001159290675616</v>
      </c>
    </row>
    <row r="12" spans="1:4" x14ac:dyDescent="0.55000000000000004">
      <c r="A12" s="1">
        <v>210012</v>
      </c>
      <c r="B12" s="2" t="s">
        <v>12</v>
      </c>
      <c r="C12" s="22">
        <f>VLOOKUP(A12,[3]Sheet2!$A:$J,10,FALSE)</f>
        <v>28.946436139500737</v>
      </c>
      <c r="D12" s="22">
        <f>VLOOKUP(A12,[3]Sheet2!$A:$I,9,FALSE)</f>
        <v>28.968174843180819</v>
      </c>
    </row>
    <row r="13" spans="1:4" x14ac:dyDescent="0.55000000000000004">
      <c r="A13" s="1">
        <v>210013</v>
      </c>
      <c r="B13" s="2" t="s">
        <v>13</v>
      </c>
      <c r="C13" s="22">
        <f>VLOOKUP(A13,[3]Sheet2!$A:$J,10,FALSE)</f>
        <v>26.137533640252322</v>
      </c>
      <c r="D13" s="22">
        <f>VLOOKUP(A13,[3]Sheet2!$A:$I,9,FALSE)</f>
        <v>27.585313087376623</v>
      </c>
    </row>
    <row r="14" spans="1:4" x14ac:dyDescent="0.55000000000000004">
      <c r="A14" s="1">
        <v>210015</v>
      </c>
      <c r="B14" s="2" t="s">
        <v>14</v>
      </c>
      <c r="C14" s="22">
        <f>VLOOKUP(A14,[3]Sheet2!$A:$J,10,FALSE)</f>
        <v>30.288834341477649</v>
      </c>
      <c r="D14" s="22">
        <f>VLOOKUP(A14,[3]Sheet2!$A:$I,9,FALSE)</f>
        <v>32.84062267882932</v>
      </c>
    </row>
    <row r="15" spans="1:4" x14ac:dyDescent="0.55000000000000004">
      <c r="A15" s="1">
        <v>210016</v>
      </c>
      <c r="B15" s="2" t="s">
        <v>15</v>
      </c>
      <c r="C15" s="22">
        <f>VLOOKUP(A15,[3]Sheet2!$A:$J,10,FALSE)</f>
        <v>7.7872117704039328</v>
      </c>
      <c r="D15" s="22">
        <f>VLOOKUP(A15,[3]Sheet2!$A:$I,9,FALSE)</f>
        <v>7.8846518333025672</v>
      </c>
    </row>
    <row r="16" spans="1:4" x14ac:dyDescent="0.55000000000000004">
      <c r="A16" s="1">
        <v>210017</v>
      </c>
      <c r="B16" s="2" t="s">
        <v>16</v>
      </c>
      <c r="C16" s="22">
        <f>VLOOKUP(A16,[3]Sheet2!$A:$J,10,FALSE)</f>
        <v>10.869565217391305</v>
      </c>
      <c r="D16" s="22">
        <f>VLOOKUP(A16,[3]Sheet2!$A:$I,9,FALSE)</f>
        <v>11.349104859335037</v>
      </c>
    </row>
    <row r="17" spans="1:4" x14ac:dyDescent="0.55000000000000004">
      <c r="A17" s="1">
        <v>210018</v>
      </c>
      <c r="B17" s="2" t="s">
        <v>17</v>
      </c>
      <c r="C17" s="22">
        <f>VLOOKUP(A17,[3]Sheet2!$A:$J,10,FALSE)</f>
        <v>21.773721831883709</v>
      </c>
      <c r="D17" s="22">
        <f>VLOOKUP(A17,[3]Sheet2!$A:$I,9,FALSE)</f>
        <v>20.082012517245495</v>
      </c>
    </row>
    <row r="18" spans="1:4" x14ac:dyDescent="0.55000000000000004">
      <c r="A18" s="1">
        <v>210019</v>
      </c>
      <c r="B18" s="2" t="s">
        <v>18</v>
      </c>
      <c r="C18" s="22">
        <f>VLOOKUP(A18,[3]Sheet2!$A:$J,10,FALSE)</f>
        <v>18.615749725918555</v>
      </c>
      <c r="D18" s="22">
        <f>VLOOKUP(A18,[3]Sheet2!$A:$I,9,FALSE)</f>
        <v>18.828584538182781</v>
      </c>
    </row>
    <row r="19" spans="1:4" x14ac:dyDescent="0.55000000000000004">
      <c r="A19" s="1">
        <v>210022</v>
      </c>
      <c r="B19" s="2" t="s">
        <v>19</v>
      </c>
      <c r="C19" s="22">
        <f>VLOOKUP(A19,[3]Sheet2!$A:$J,10,FALSE)</f>
        <v>8.723309458342472</v>
      </c>
      <c r="D19" s="22">
        <f>VLOOKUP(A19,[3]Sheet2!$A:$I,9,FALSE)</f>
        <v>7.8451128465786315</v>
      </c>
    </row>
    <row r="20" spans="1:4" x14ac:dyDescent="0.55000000000000004">
      <c r="A20" s="1">
        <v>210023</v>
      </c>
      <c r="B20" s="2" t="s">
        <v>20</v>
      </c>
      <c r="C20" s="22">
        <f>VLOOKUP(A20,[3]Sheet2!$A:$J,10,FALSE)</f>
        <v>10.382816741883316</v>
      </c>
      <c r="D20" s="22">
        <f>VLOOKUP(A20,[3]Sheet2!$A:$I,9,FALSE)</f>
        <v>9.5549470758919455</v>
      </c>
    </row>
    <row r="21" spans="1:4" x14ac:dyDescent="0.55000000000000004">
      <c r="A21" s="1">
        <v>210024</v>
      </c>
      <c r="B21" s="2" t="s">
        <v>21</v>
      </c>
      <c r="C21" s="22">
        <f>VLOOKUP(A21,[3]Sheet2!$A:$J,10,FALSE)</f>
        <v>29.815434833366961</v>
      </c>
      <c r="D21" s="22">
        <f>VLOOKUP(A21,[3]Sheet2!$A:$I,9,FALSE)</f>
        <v>28.406826287068995</v>
      </c>
    </row>
    <row r="22" spans="1:4" x14ac:dyDescent="0.55000000000000004">
      <c r="A22" s="1">
        <v>210027</v>
      </c>
      <c r="B22" s="2" t="s">
        <v>22</v>
      </c>
      <c r="C22" s="22">
        <f>VLOOKUP(A22,[3]Sheet2!$A:$J,10,FALSE)</f>
        <v>18.161851847824906</v>
      </c>
      <c r="D22" s="22">
        <f>VLOOKUP(A22,[3]Sheet2!$A:$I,9,FALSE)</f>
        <v>18.037902427886447</v>
      </c>
    </row>
    <row r="23" spans="1:4" x14ac:dyDescent="0.55000000000000004">
      <c r="A23" s="1">
        <v>210028</v>
      </c>
      <c r="B23" s="2" t="s">
        <v>23</v>
      </c>
      <c r="C23" s="22">
        <f>VLOOKUP(A23,[3]Sheet2!$A:$J,10,FALSE)</f>
        <v>20.352703434777023</v>
      </c>
      <c r="D23" s="22">
        <f>VLOOKUP(A23,[3]Sheet2!$A:$I,9,FALSE)</f>
        <v>19.859680302544973</v>
      </c>
    </row>
    <row r="24" spans="1:4" x14ac:dyDescent="0.55000000000000004">
      <c r="A24" s="1">
        <v>210029</v>
      </c>
      <c r="B24" s="2" t="s">
        <v>24</v>
      </c>
      <c r="C24" s="22">
        <f>VLOOKUP(A24,[3]Sheet2!$A:$J,10,FALSE)</f>
        <v>34.015247133526593</v>
      </c>
      <c r="D24" s="22">
        <f>VLOOKUP(A24,[3]Sheet2!$A:$I,9,FALSE)</f>
        <v>35.563771832457022</v>
      </c>
    </row>
    <row r="25" spans="1:4" x14ac:dyDescent="0.55000000000000004">
      <c r="A25" s="1">
        <v>210030</v>
      </c>
      <c r="B25" s="2" t="s">
        <v>25</v>
      </c>
      <c r="C25" s="22">
        <f>VLOOKUP(A25,[3]Sheet2!$A:$J,10,FALSE)</f>
        <v>7.6545732688301937</v>
      </c>
      <c r="D25" s="22">
        <f>VLOOKUP(A25,[3]Sheet2!$A:$I,9,FALSE)</f>
        <v>6.006243331884459</v>
      </c>
    </row>
    <row r="26" spans="1:4" x14ac:dyDescent="0.55000000000000004">
      <c r="A26" s="1">
        <v>210032</v>
      </c>
      <c r="B26" s="2" t="s">
        <v>26</v>
      </c>
      <c r="C26" s="22">
        <f>VLOOKUP(A26,[3]Sheet2!$A:$J,10,FALSE)</f>
        <v>10.853943868126665</v>
      </c>
      <c r="D26" s="22">
        <f>VLOOKUP(A26,[3]Sheet2!$A:$I,9,FALSE)</f>
        <v>10.222965988380635</v>
      </c>
    </row>
    <row r="27" spans="1:4" x14ac:dyDescent="0.55000000000000004">
      <c r="A27" s="1">
        <v>210033</v>
      </c>
      <c r="B27" s="2" t="s">
        <v>27</v>
      </c>
      <c r="C27" s="22">
        <f>VLOOKUP(A27,[3]Sheet2!$A:$J,10,FALSE)</f>
        <v>17.162183926558225</v>
      </c>
      <c r="D27" s="22">
        <f>VLOOKUP(A27,[3]Sheet2!$A:$I,9,FALSE)</f>
        <v>19.07553551296505</v>
      </c>
    </row>
    <row r="28" spans="1:4" x14ac:dyDescent="0.55000000000000004">
      <c r="A28" s="1">
        <v>210034</v>
      </c>
      <c r="B28" s="2" t="s">
        <v>28</v>
      </c>
      <c r="C28" s="22">
        <f>VLOOKUP(A28,[3]Sheet2!$A:$J,10,FALSE)</f>
        <v>34.375786157711154</v>
      </c>
      <c r="D28" s="22">
        <f>VLOOKUP(A28,[3]Sheet2!$A:$I,9,FALSE)</f>
        <v>33.08628770882887</v>
      </c>
    </row>
    <row r="29" spans="1:4" x14ac:dyDescent="0.55000000000000004">
      <c r="A29" s="1">
        <v>210035</v>
      </c>
      <c r="B29" s="2" t="s">
        <v>29</v>
      </c>
      <c r="C29" s="22">
        <f>VLOOKUP(A29,[3]Sheet2!$A:$J,10,FALSE)</f>
        <v>9.1191294945362937</v>
      </c>
      <c r="D29" s="22">
        <f>VLOOKUP(A29,[3]Sheet2!$A:$I,9,FALSE)</f>
        <v>8.1036978307166105</v>
      </c>
    </row>
    <row r="30" spans="1:4" x14ac:dyDescent="0.55000000000000004">
      <c r="A30" s="1">
        <v>210037</v>
      </c>
      <c r="B30" s="2" t="s">
        <v>30</v>
      </c>
      <c r="C30" s="22">
        <f>VLOOKUP(A30,[3]Sheet2!$A:$J,10,FALSE)</f>
        <v>12.227772227772228</v>
      </c>
      <c r="D30" s="22">
        <f>VLOOKUP(A30,[3]Sheet2!$A:$I,9,FALSE)</f>
        <v>10.256410256410257</v>
      </c>
    </row>
    <row r="31" spans="1:4" x14ac:dyDescent="0.55000000000000004">
      <c r="A31" s="1">
        <v>210038</v>
      </c>
      <c r="B31" s="2" t="s">
        <v>31</v>
      </c>
      <c r="C31" s="22">
        <f>VLOOKUP(A31,[3]Sheet2!$A:$J,10,FALSE)</f>
        <v>29.452026624001231</v>
      </c>
      <c r="D31" s="22">
        <f>VLOOKUP(A31,[3]Sheet2!$A:$I,9,FALSE)</f>
        <v>28.874106396961359</v>
      </c>
    </row>
    <row r="32" spans="1:4" x14ac:dyDescent="0.55000000000000004">
      <c r="A32" s="1">
        <v>210039</v>
      </c>
      <c r="B32" s="2" t="s">
        <v>32</v>
      </c>
      <c r="C32" s="22">
        <f>VLOOKUP(A32,[3]Sheet2!$A:$J,10,FALSE)</f>
        <v>8.469349317194931</v>
      </c>
      <c r="D32" s="22">
        <f>VLOOKUP(A32,[3]Sheet2!$A:$I,9,FALSE)</f>
        <v>8.2727246385210513</v>
      </c>
    </row>
    <row r="33" spans="1:4" x14ac:dyDescent="0.55000000000000004">
      <c r="A33" s="1">
        <v>210040</v>
      </c>
      <c r="B33" s="2" t="s">
        <v>33</v>
      </c>
      <c r="C33" s="22">
        <f>VLOOKUP(A33,[3]Sheet2!$A:$J,10,FALSE)</f>
        <v>19.370590958334585</v>
      </c>
      <c r="D33" s="22">
        <f>VLOOKUP(A33,[3]Sheet2!$A:$I,9,FALSE)</f>
        <v>22.007595270210935</v>
      </c>
    </row>
    <row r="34" spans="1:4" x14ac:dyDescent="0.55000000000000004">
      <c r="A34" s="1">
        <v>210043</v>
      </c>
      <c r="B34" s="2" t="s">
        <v>34</v>
      </c>
      <c r="C34" s="22">
        <f>VLOOKUP(A34,[3]Sheet2!$A:$J,10,FALSE)</f>
        <v>12.035189618635016</v>
      </c>
      <c r="D34" s="22">
        <f>VLOOKUP(A34,[3]Sheet2!$A:$I,9,FALSE)</f>
        <v>11.853711939787146</v>
      </c>
    </row>
    <row r="35" spans="1:4" x14ac:dyDescent="0.55000000000000004">
      <c r="A35" s="1">
        <v>210044</v>
      </c>
      <c r="B35" s="2" t="s">
        <v>35</v>
      </c>
      <c r="C35" s="22">
        <f>VLOOKUP(A35,[3]Sheet2!$A:$J,10,FALSE)</f>
        <v>10.917358873062915</v>
      </c>
      <c r="D35" s="22">
        <f>VLOOKUP(A35,[3]Sheet2!$A:$I,9,FALSE)</f>
        <v>11.232794326264177</v>
      </c>
    </row>
    <row r="36" spans="1:4" x14ac:dyDescent="0.55000000000000004">
      <c r="A36" s="1">
        <v>210045</v>
      </c>
      <c r="B36" s="2" t="s">
        <v>36</v>
      </c>
      <c r="C36" s="22">
        <f>VLOOKUP(A36,[3]Sheet2!$A:$J,10,FALSE)</f>
        <v>12.69648724648691</v>
      </c>
      <c r="D36" s="22">
        <f>VLOOKUP(A36,[3]Sheet2!$A:$I,9,FALSE)</f>
        <v>13.562941864867112</v>
      </c>
    </row>
    <row r="37" spans="1:4" x14ac:dyDescent="0.55000000000000004">
      <c r="A37" s="1">
        <v>210048</v>
      </c>
      <c r="B37" s="2" t="s">
        <v>37</v>
      </c>
      <c r="C37" s="22">
        <f>VLOOKUP(A37,[3]Sheet2!$A:$J,10,FALSE)</f>
        <v>8.2344499140545029</v>
      </c>
      <c r="D37" s="22">
        <f>VLOOKUP(A37,[3]Sheet2!$A:$I,9,FALSE)</f>
        <v>8.6972766425911061</v>
      </c>
    </row>
    <row r="38" spans="1:4" x14ac:dyDescent="0.55000000000000004">
      <c r="A38" s="1">
        <v>210049</v>
      </c>
      <c r="B38" s="2" t="s">
        <v>38</v>
      </c>
      <c r="C38" s="22">
        <f>VLOOKUP(A38,[3]Sheet2!$A:$J,10,FALSE)</f>
        <v>13.159762676405023</v>
      </c>
      <c r="D38" s="22">
        <f>VLOOKUP(A38,[3]Sheet2!$A:$I,9,FALSE)</f>
        <v>13.302201322281926</v>
      </c>
    </row>
    <row r="39" spans="1:4" x14ac:dyDescent="0.55000000000000004">
      <c r="A39" s="1">
        <v>210051</v>
      </c>
      <c r="B39" s="2" t="s">
        <v>39</v>
      </c>
      <c r="C39" s="22">
        <f>VLOOKUP(A39,[3]Sheet2!$A:$J,10,FALSE)</f>
        <v>13.020872299570788</v>
      </c>
      <c r="D39" s="22">
        <f>VLOOKUP(A39,[3]Sheet2!$A:$I,9,FALSE)</f>
        <v>12.660860186207415</v>
      </c>
    </row>
    <row r="40" spans="1:4" x14ac:dyDescent="0.55000000000000004">
      <c r="A40" s="1">
        <v>210055</v>
      </c>
      <c r="B40" s="2" t="s">
        <v>40</v>
      </c>
      <c r="C40" s="22" t="e">
        <f>VLOOKUP(A40,[3]Sheet2!$A:$J,10,FALSE)</f>
        <v>#DIV/0!</v>
      </c>
      <c r="D40" s="22" t="e">
        <f>VLOOKUP(A40,[3]Sheet2!$A:$I,9,FALSE)</f>
        <v>#DIV/0!</v>
      </c>
    </row>
    <row r="41" spans="1:4" x14ac:dyDescent="0.55000000000000004">
      <c r="A41" s="1">
        <v>210056</v>
      </c>
      <c r="B41" s="2" t="s">
        <v>41</v>
      </c>
      <c r="C41" s="22">
        <f>VLOOKUP(A41,[3]Sheet2!$A:$J,10,FALSE)</f>
        <v>30.418579319332476</v>
      </c>
      <c r="D41" s="22">
        <f>VLOOKUP(A41,[3]Sheet2!$A:$I,9,FALSE)</f>
        <v>30.168931342212019</v>
      </c>
    </row>
    <row r="42" spans="1:4" x14ac:dyDescent="0.55000000000000004">
      <c r="A42" s="1">
        <v>210057</v>
      </c>
      <c r="B42" s="2" t="s">
        <v>42</v>
      </c>
      <c r="C42" s="22">
        <f>VLOOKUP(A42,[3]Sheet2!$A:$J,10,FALSE)</f>
        <v>6.8205658799388518</v>
      </c>
      <c r="D42" s="22">
        <f>VLOOKUP(A42,[3]Sheet2!$A:$I,9,FALSE)</f>
        <v>6.4102595843798893</v>
      </c>
    </row>
    <row r="43" spans="1:4" x14ac:dyDescent="0.55000000000000004">
      <c r="A43" s="1">
        <v>210058</v>
      </c>
      <c r="B43" s="2" t="s">
        <v>43</v>
      </c>
      <c r="C43" s="22" t="e">
        <f>VLOOKUP(A43,[3]Sheet2!$A:$J,10,FALSE)</f>
        <v>#DIV/0!</v>
      </c>
      <c r="D43" s="22" t="e">
        <f>VLOOKUP(A43,[3]Sheet2!$A:$I,9,FALSE)</f>
        <v>#DIV/0!</v>
      </c>
    </row>
    <row r="44" spans="1:4" x14ac:dyDescent="0.55000000000000004">
      <c r="A44" s="1">
        <v>210060</v>
      </c>
      <c r="B44" s="2" t="s">
        <v>44</v>
      </c>
      <c r="C44" s="22">
        <f>VLOOKUP(A44,[3]Sheet2!$A:$J,10,FALSE)</f>
        <v>9.1216525124247045</v>
      </c>
      <c r="D44" s="22">
        <f>VLOOKUP(A44,[3]Sheet2!$A:$I,9,FALSE)</f>
        <v>8.872635043152334</v>
      </c>
    </row>
    <row r="45" spans="1:4" x14ac:dyDescent="0.55000000000000004">
      <c r="A45" s="1">
        <v>210061</v>
      </c>
      <c r="B45" s="2" t="s">
        <v>45</v>
      </c>
      <c r="C45" s="22">
        <f>VLOOKUP(A45,[3]Sheet2!$A:$J,10,FALSE)</f>
        <v>13.780355142791933</v>
      </c>
      <c r="D45" s="22">
        <f>VLOOKUP(A45,[3]Sheet2!$A:$I,9,FALSE)</f>
        <v>11.703422668535717</v>
      </c>
    </row>
    <row r="46" spans="1:4" x14ac:dyDescent="0.55000000000000004">
      <c r="A46" s="1">
        <v>210062</v>
      </c>
      <c r="B46" s="2" t="s">
        <v>46</v>
      </c>
      <c r="C46" s="22">
        <f>VLOOKUP(A46,[3]Sheet2!$A:$J,10,FALSE)</f>
        <v>16.120971448754094</v>
      </c>
      <c r="D46" s="22">
        <f>VLOOKUP(A46,[3]Sheet2!$A:$I,9,FALSE)</f>
        <v>16.488735326242608</v>
      </c>
    </row>
    <row r="47" spans="1:4" x14ac:dyDescent="0.55000000000000004">
      <c r="A47" s="1">
        <v>210063</v>
      </c>
      <c r="B47" s="2" t="s">
        <v>47</v>
      </c>
      <c r="C47" s="22">
        <f>VLOOKUP(A47,[3]Sheet2!$A:$J,10,FALSE)</f>
        <v>13.317680634080176</v>
      </c>
      <c r="D47" s="22">
        <f>VLOOKUP(A47,[3]Sheet2!$A:$I,9,FALSE)</f>
        <v>12.717226000062062</v>
      </c>
    </row>
    <row r="48" spans="1:4" x14ac:dyDescent="0.55000000000000004">
      <c r="A48" s="1">
        <v>210064</v>
      </c>
      <c r="B48" s="2" t="s">
        <v>48</v>
      </c>
      <c r="C48" s="22">
        <f>VLOOKUP(A48,[3]Sheet2!$A:$J,10,FALSE)</f>
        <v>14.391770672846812</v>
      </c>
      <c r="D48" s="22">
        <f>VLOOKUP(A48,[3]Sheet2!$A:$I,9,FALSE)</f>
        <v>15.144216644503524</v>
      </c>
    </row>
    <row r="49" spans="1:4" x14ac:dyDescent="0.55000000000000004">
      <c r="A49" s="1">
        <v>210065</v>
      </c>
      <c r="B49" s="2" t="s">
        <v>49</v>
      </c>
      <c r="C49" s="22">
        <f>VLOOKUP(A49,[3]Sheet2!$A:$J,10,FALSE)</f>
        <v>6.0725825275728704</v>
      </c>
      <c r="D49" s="22">
        <f>VLOOKUP(A49,[3]Sheet2!$A:$I,9,FALSE)</f>
        <v>6.4021169660085153</v>
      </c>
    </row>
    <row r="50" spans="1:4" x14ac:dyDescent="0.55000000000000004">
      <c r="A50" t="s">
        <v>67</v>
      </c>
      <c r="B50" s="3" t="s">
        <v>67</v>
      </c>
      <c r="C50" s="22">
        <f>VLOOKUP(A50,[3]Sheet2!$A:$J,10,FALSE)</f>
        <v>15.046267570155051</v>
      </c>
      <c r="D50" s="22">
        <f>VLOOKUP(A50,[3]Sheet2!$A:$I,9,FALSE)</f>
        <v>14.94106232725415</v>
      </c>
    </row>
  </sheetData>
  <autoFilter ref="A1:D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defaultRowHeight="14.4" x14ac:dyDescent="0.55000000000000004"/>
  <cols>
    <col min="1" max="1" width="30.578125" customWidth="1"/>
    <col min="3" max="3" width="47.26171875" customWidth="1"/>
    <col min="4" max="4" width="43.41796875" customWidth="1"/>
  </cols>
  <sheetData>
    <row r="1" spans="1:4" x14ac:dyDescent="0.55000000000000004">
      <c r="A1" s="45" t="s">
        <v>117</v>
      </c>
      <c r="B1" s="45" t="s">
        <v>116</v>
      </c>
      <c r="C1" s="45" t="s">
        <v>119</v>
      </c>
      <c r="D1" s="45" t="s">
        <v>120</v>
      </c>
    </row>
    <row r="2" spans="1:4" x14ac:dyDescent="0.55000000000000004">
      <c r="A2" s="40" t="s">
        <v>114</v>
      </c>
      <c r="B2" s="42">
        <v>43564</v>
      </c>
      <c r="C2" s="40"/>
      <c r="D2" s="43"/>
    </row>
    <row r="3" spans="1:4" x14ac:dyDescent="0.55000000000000004">
      <c r="A3" s="43" t="s">
        <v>115</v>
      </c>
      <c r="B3" s="44">
        <v>43636</v>
      </c>
      <c r="C3" s="43" t="s">
        <v>118</v>
      </c>
      <c r="D3" s="41"/>
    </row>
    <row r="4" spans="1:4" ht="37.799999999999997" x14ac:dyDescent="0.55000000000000004">
      <c r="A4" s="132" t="s">
        <v>115</v>
      </c>
      <c r="B4" s="133">
        <v>43675</v>
      </c>
      <c r="C4" s="46" t="s">
        <v>122</v>
      </c>
      <c r="D4" s="46" t="s">
        <v>121</v>
      </c>
    </row>
    <row r="5" spans="1:4" ht="37.799999999999997" x14ac:dyDescent="0.55000000000000004">
      <c r="A5" s="132"/>
      <c r="B5" s="133"/>
      <c r="C5" s="46" t="s">
        <v>124</v>
      </c>
      <c r="D5" s="46" t="s">
        <v>123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81A2BA-45E2-4F15-BEF2-14F8ABF2633C}"/>
</file>

<file path=customXml/itemProps2.xml><?xml version="1.0" encoding="utf-8"?>
<ds:datastoreItem xmlns:ds="http://schemas.openxmlformats.org/officeDocument/2006/customXml" ds:itemID="{6ED5328F-A379-4829-AF49-3B8FF6A3F08D}"/>
</file>

<file path=customXml/itemProps3.xml><?xml version="1.0" encoding="utf-8"?>
<ds:datastoreItem xmlns:ds="http://schemas.openxmlformats.org/officeDocument/2006/customXml" ds:itemID="{B99453C9-2167-4F75-B937-EDC322655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Savings</vt:lpstr>
      <vt:lpstr>Hospital PAU Savings</vt:lpstr>
      <vt:lpstr>PAU Performance</vt:lpstr>
      <vt:lpstr>Statewide PAU Revenue</vt:lpstr>
      <vt:lpstr>Sheet1</vt:lpstr>
      <vt:lpstr>change log</vt:lpstr>
      <vt:lpstr>'Hospital PAU Savings'!Print_Area</vt:lpstr>
      <vt:lpstr>'Hospital PAU Savings'!Print_Titles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cp:lastPrinted>2019-04-30T18:56:27Z</cp:lastPrinted>
  <dcterms:created xsi:type="dcterms:W3CDTF">2017-08-22T16:40:20Z</dcterms:created>
  <dcterms:modified xsi:type="dcterms:W3CDTF">2020-03-17T18:09:32Z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