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l Quality Revenue Adjustments\RY 2020 Revenue Adjustments\"/>
    </mc:Choice>
  </mc:AlternateContent>
  <bookViews>
    <workbookView xWindow="0" yWindow="0" windowWidth="27825" windowHeight="9045" activeTab="2"/>
  </bookViews>
  <sheets>
    <sheet name="Source  PAU%" sheetId="1" r:id="rId1"/>
    <sheet name="Savings" sheetId="2" r:id="rId2"/>
    <sheet name="PAU Savings" sheetId="3" r:id="rId3"/>
  </sheets>
  <externalReferences>
    <externalReference r:id="rId4"/>
    <externalReference r:id="rId5"/>
    <externalReference r:id="rId6"/>
  </externalReferences>
  <definedNames>
    <definedName name="_xlnm._FilterDatabase" localSheetId="2" hidden="1">'PAU Savings'!$A$3:$J$3</definedName>
    <definedName name="_xlnm._FilterDatabase" localSheetId="0" hidden="1">'Source  PAU%'!$A$2:$J$2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2">'PAU Savings'!$A$1:$J$57</definedName>
    <definedName name="_xlnm.Print_Titles" localSheetId="2">'PAU Savings'!$2:$3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D6" i="3"/>
  <c r="C15" i="2" l="1"/>
  <c r="C4" i="2"/>
  <c r="C3" i="2" l="1"/>
  <c r="C16" i="2" s="1"/>
  <c r="E6" i="3" l="1"/>
  <c r="C5" i="2" l="1"/>
  <c r="C6" i="2" s="1"/>
  <c r="G55" i="1"/>
  <c r="J55" i="1" s="1"/>
  <c r="I55" i="1"/>
  <c r="H55" i="1"/>
  <c r="F55" i="1"/>
  <c r="E55" i="1"/>
  <c r="C52" i="1"/>
  <c r="C17" i="2" l="1"/>
  <c r="F3" i="1"/>
  <c r="E5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3" i="3"/>
  <c r="E44" i="3"/>
  <c r="E45" i="3"/>
  <c r="E46" i="3"/>
  <c r="E47" i="3"/>
  <c r="E48" i="3"/>
  <c r="E49" i="3"/>
  <c r="E50" i="3"/>
  <c r="E51" i="3"/>
  <c r="E4" i="3"/>
  <c r="D5" i="3"/>
  <c r="F5" i="3" s="1"/>
  <c r="D7" i="3"/>
  <c r="D8" i="3"/>
  <c r="D9" i="3"/>
  <c r="F9" i="3" s="1"/>
  <c r="D10" i="3"/>
  <c r="F10" i="3" s="1"/>
  <c r="D11" i="3"/>
  <c r="D12" i="3"/>
  <c r="D13" i="3"/>
  <c r="F13" i="3" s="1"/>
  <c r="D14" i="3"/>
  <c r="F14" i="3" s="1"/>
  <c r="D15" i="3"/>
  <c r="D16" i="3"/>
  <c r="D17" i="3"/>
  <c r="F17" i="3" s="1"/>
  <c r="D18" i="3"/>
  <c r="F18" i="3" s="1"/>
  <c r="D19" i="3"/>
  <c r="D20" i="3"/>
  <c r="D21" i="3"/>
  <c r="F21" i="3" s="1"/>
  <c r="D22" i="3"/>
  <c r="F22" i="3" s="1"/>
  <c r="D23" i="3"/>
  <c r="D24" i="3"/>
  <c r="D25" i="3"/>
  <c r="F25" i="3" s="1"/>
  <c r="D26" i="3"/>
  <c r="F26" i="3" s="1"/>
  <c r="D27" i="3"/>
  <c r="D28" i="3"/>
  <c r="D29" i="3"/>
  <c r="F29" i="3" s="1"/>
  <c r="D30" i="3"/>
  <c r="F30" i="3" s="1"/>
  <c r="D31" i="3"/>
  <c r="D32" i="3"/>
  <c r="D33" i="3"/>
  <c r="F33" i="3" s="1"/>
  <c r="D34" i="3"/>
  <c r="F34" i="3" s="1"/>
  <c r="D35" i="3"/>
  <c r="D36" i="3"/>
  <c r="D37" i="3"/>
  <c r="F37" i="3" s="1"/>
  <c r="D38" i="3"/>
  <c r="F38" i="3" s="1"/>
  <c r="D39" i="3"/>
  <c r="D40" i="3"/>
  <c r="D41" i="3"/>
  <c r="F41" i="3" s="1"/>
  <c r="D43" i="3"/>
  <c r="F43" i="3" s="1"/>
  <c r="D44" i="3"/>
  <c r="D45" i="3"/>
  <c r="D46" i="3"/>
  <c r="F46" i="3" s="1"/>
  <c r="D47" i="3"/>
  <c r="F47" i="3" s="1"/>
  <c r="D48" i="3"/>
  <c r="D49" i="3"/>
  <c r="D50" i="3"/>
  <c r="F50" i="3" s="1"/>
  <c r="D51" i="3"/>
  <c r="F51" i="3" s="1"/>
  <c r="D4" i="3"/>
  <c r="G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3" i="3"/>
  <c r="G44" i="3"/>
  <c r="G45" i="3"/>
  <c r="G46" i="3"/>
  <c r="G47" i="3"/>
  <c r="G48" i="3"/>
  <c r="G49" i="3"/>
  <c r="G50" i="3"/>
  <c r="G51" i="3"/>
  <c r="G4" i="3"/>
  <c r="G52" i="1"/>
  <c r="E52" i="1"/>
  <c r="G53" i="3" l="1"/>
  <c r="E53" i="3"/>
  <c r="F49" i="3"/>
  <c r="H49" i="3" s="1"/>
  <c r="F45" i="3"/>
  <c r="H45" i="3" s="1"/>
  <c r="F40" i="3"/>
  <c r="F36" i="3"/>
  <c r="F32" i="3"/>
  <c r="F28" i="3"/>
  <c r="H28" i="3" s="1"/>
  <c r="F24" i="3"/>
  <c r="F16" i="3"/>
  <c r="F12" i="3"/>
  <c r="H12" i="3" s="1"/>
  <c r="F8" i="3"/>
  <c r="H8" i="3" s="1"/>
  <c r="F48" i="3"/>
  <c r="F44" i="3"/>
  <c r="F35" i="3"/>
  <c r="H35" i="3" s="1"/>
  <c r="F31" i="3"/>
  <c r="H31" i="3" s="1"/>
  <c r="F27" i="3"/>
  <c r="F23" i="3"/>
  <c r="F19" i="3"/>
  <c r="H19" i="3" s="1"/>
  <c r="F15" i="3"/>
  <c r="H15" i="3" s="1"/>
  <c r="F11" i="3"/>
  <c r="F7" i="3"/>
  <c r="F6" i="3"/>
  <c r="H6" i="3" s="1"/>
  <c r="F20" i="3"/>
  <c r="H20" i="3" s="1"/>
  <c r="F39" i="3"/>
  <c r="H39" i="3" s="1"/>
  <c r="H47" i="3"/>
  <c r="H48" i="3"/>
  <c r="H43" i="3"/>
  <c r="H27" i="3"/>
  <c r="H23" i="3"/>
  <c r="H11" i="3"/>
  <c r="H7" i="3"/>
  <c r="H44" i="3"/>
  <c r="H36" i="3"/>
  <c r="H16" i="3"/>
  <c r="H51" i="3"/>
  <c r="H50" i="3"/>
  <c r="H46" i="3"/>
  <c r="H38" i="3"/>
  <c r="H34" i="3"/>
  <c r="H30" i="3"/>
  <c r="H26" i="3"/>
  <c r="H22" i="3"/>
  <c r="H18" i="3"/>
  <c r="H14" i="3"/>
  <c r="H10" i="3"/>
  <c r="D53" i="3"/>
  <c r="H40" i="3"/>
  <c r="H32" i="3"/>
  <c r="H24" i="3"/>
  <c r="H41" i="3"/>
  <c r="H37" i="3"/>
  <c r="H33" i="3"/>
  <c r="H29" i="3"/>
  <c r="H25" i="3"/>
  <c r="H21" i="3"/>
  <c r="H17" i="3"/>
  <c r="H13" i="3"/>
  <c r="H9" i="3"/>
  <c r="H5" i="3"/>
  <c r="F4" i="3"/>
  <c r="F53" i="3" l="1"/>
  <c r="H53" i="3"/>
  <c r="H4" i="3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D52" i="1"/>
  <c r="F52" i="1" l="1"/>
  <c r="H52" i="1" l="1"/>
  <c r="I5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3" i="1" l="1"/>
  <c r="J44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7" i="2" l="1"/>
  <c r="J52" i="1"/>
  <c r="C9" i="2" l="1"/>
  <c r="C10" i="2" l="1"/>
  <c r="C18" i="2" s="1"/>
  <c r="I53" i="3" l="1"/>
  <c r="J53" i="3" s="1"/>
  <c r="C21" i="2" s="1"/>
  <c r="I8" i="3"/>
  <c r="J8" i="3" s="1"/>
  <c r="I12" i="3"/>
  <c r="J12" i="3" s="1"/>
  <c r="I16" i="3"/>
  <c r="J16" i="3" s="1"/>
  <c r="I20" i="3"/>
  <c r="J20" i="3" s="1"/>
  <c r="I24" i="3"/>
  <c r="J24" i="3" s="1"/>
  <c r="I28" i="3"/>
  <c r="J28" i="3" s="1"/>
  <c r="I32" i="3"/>
  <c r="J32" i="3" s="1"/>
  <c r="I36" i="3"/>
  <c r="J36" i="3" s="1"/>
  <c r="I40" i="3"/>
  <c r="J40" i="3" s="1"/>
  <c r="I44" i="3"/>
  <c r="J44" i="3" s="1"/>
  <c r="I48" i="3"/>
  <c r="J48" i="3" s="1"/>
  <c r="I4" i="3"/>
  <c r="J4" i="3" s="1"/>
  <c r="I49" i="3"/>
  <c r="J49" i="3" s="1"/>
  <c r="I10" i="3"/>
  <c r="J10" i="3" s="1"/>
  <c r="I18" i="3"/>
  <c r="J18" i="3" s="1"/>
  <c r="I22" i="3"/>
  <c r="J22" i="3" s="1"/>
  <c r="I30" i="3"/>
  <c r="J30" i="3" s="1"/>
  <c r="I38" i="3"/>
  <c r="J38" i="3" s="1"/>
  <c r="I46" i="3"/>
  <c r="J46" i="3" s="1"/>
  <c r="I7" i="3"/>
  <c r="J7" i="3" s="1"/>
  <c r="I15" i="3"/>
  <c r="J15" i="3" s="1"/>
  <c r="I19" i="3"/>
  <c r="J19" i="3" s="1"/>
  <c r="I27" i="3"/>
  <c r="J27" i="3" s="1"/>
  <c r="I35" i="3"/>
  <c r="J35" i="3" s="1"/>
  <c r="I43" i="3"/>
  <c r="J43" i="3" s="1"/>
  <c r="I51" i="3"/>
  <c r="J51" i="3" s="1"/>
  <c r="I5" i="3"/>
  <c r="J5" i="3" s="1"/>
  <c r="I9" i="3"/>
  <c r="J9" i="3" s="1"/>
  <c r="I13" i="3"/>
  <c r="J13" i="3" s="1"/>
  <c r="I17" i="3"/>
  <c r="J17" i="3" s="1"/>
  <c r="I21" i="3"/>
  <c r="J21" i="3" s="1"/>
  <c r="I25" i="3"/>
  <c r="J25" i="3" s="1"/>
  <c r="I29" i="3"/>
  <c r="J29" i="3" s="1"/>
  <c r="I33" i="3"/>
  <c r="J33" i="3" s="1"/>
  <c r="I37" i="3"/>
  <c r="J37" i="3" s="1"/>
  <c r="I41" i="3"/>
  <c r="J41" i="3" s="1"/>
  <c r="I45" i="3"/>
  <c r="J45" i="3" s="1"/>
  <c r="I6" i="3"/>
  <c r="J6" i="3" s="1"/>
  <c r="I14" i="3"/>
  <c r="J14" i="3" s="1"/>
  <c r="I26" i="3"/>
  <c r="J26" i="3" s="1"/>
  <c r="I34" i="3"/>
  <c r="J34" i="3" s="1"/>
  <c r="I42" i="3"/>
  <c r="I50" i="3"/>
  <c r="J50" i="3" s="1"/>
  <c r="I11" i="3"/>
  <c r="J11" i="3" s="1"/>
  <c r="I23" i="3"/>
  <c r="J23" i="3" s="1"/>
  <c r="I31" i="3"/>
  <c r="J31" i="3" s="1"/>
  <c r="I39" i="3"/>
  <c r="J39" i="3" s="1"/>
  <c r="I47" i="3"/>
  <c r="J47" i="3" s="1"/>
  <c r="C11" i="2"/>
</calcChain>
</file>

<file path=xl/sharedStrings.xml><?xml version="1.0" encoding="utf-8"?>
<sst xmlns="http://schemas.openxmlformats.org/spreadsheetml/2006/main" count="170" uniqueCount="166">
  <si>
    <t>HOSPID</t>
  </si>
  <si>
    <t>hospname</t>
  </si>
  <si>
    <t>NOPAU</t>
  </si>
  <si>
    <t>Readmissions</t>
  </si>
  <si>
    <t>PQI</t>
  </si>
  <si>
    <t>Total PAU Charges</t>
  </si>
  <si>
    <t>Total Charges</t>
  </si>
  <si>
    <t>% Readmission</t>
  </si>
  <si>
    <t>% PQI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</si>
  <si>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</si>
  <si>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</si>
  <si>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</si>
  <si>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</si>
  <si>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</si>
  <si>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</si>
  <si>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</si>
  <si>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</si>
  <si>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</si>
  <si>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</si>
  <si>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</si>
  <si>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</si>
  <si>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</si>
  <si>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</si>
  <si>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</si>
  <si>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</si>
  <si>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</si>
  <si>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</si>
  <si>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</si>
  <si>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</si>
  <si>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</si>
  <si>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</si>
  <si>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</si>
  <si>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</si>
  <si>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</si>
  <si>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</si>
  <si>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</si>
  <si>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</si>
  <si>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</si>
  <si>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</si>
  <si>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</si>
  <si>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</si>
  <si>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</si>
  <si>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</si>
  <si>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</si>
  <si>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</si>
  <si>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</si>
  <si>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</si>
  <si>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</si>
  <si>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</si>
  <si>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</si>
  <si>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</si>
  <si>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</si>
  <si>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</si>
  <si>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</si>
  <si>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</si>
  <si>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</si>
  <si>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</si>
  <si>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</si>
  <si>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Grand Total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</si>
  <si>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</si>
  <si>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</si>
  <si>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</si>
  <si>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</si>
  <si>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</si>
  <si>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</si>
  <si>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</si>
  <si>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Required Percent Reduction  PAU</t>
  </si>
  <si>
    <t>Hosp ID</t>
  </si>
  <si>
    <t>Hospital Name</t>
  </si>
  <si>
    <t>E</t>
  </si>
  <si>
    <t>F</t>
  </si>
  <si>
    <t>Percentages have been rounded for display but full numbers may be used in calculations. Final scaling percentages are rounded to two decimal places.</t>
  </si>
  <si>
    <t>UMMC</t>
  </si>
  <si>
    <t>PRMC</t>
  </si>
  <si>
    <t>Calculated sending</t>
  </si>
  <si>
    <t>RY20</t>
  </si>
  <si>
    <t>RY19 Total Approved Permanent Revenue</t>
  </si>
  <si>
    <t>RY20 Inflation Factor + Volume</t>
  </si>
  <si>
    <t>Total experienced PAU $ CY 2018</t>
  </si>
  <si>
    <t>C</t>
  </si>
  <si>
    <t>D = B*C</t>
  </si>
  <si>
    <t>Proposed Required Revenue Reduction $</t>
  </si>
  <si>
    <t>E=D/A</t>
  </si>
  <si>
    <t>G=A*F</t>
  </si>
  <si>
    <t>H=D/G</t>
  </si>
  <si>
    <t xml:space="preserve"> RY19 Estimated Permanent Total Revenue</t>
  </si>
  <si>
    <t>CY18 PAU Revenue</t>
  </si>
  <si>
    <t>G</t>
  </si>
  <si>
    <t>I</t>
  </si>
  <si>
    <t>CY18 Readmission Revenue (sending, calculated)</t>
  </si>
  <si>
    <t>F=D+E</t>
  </si>
  <si>
    <t>H=F/G</t>
  </si>
  <si>
    <t>RY20 PAU Savings Adjustment $</t>
  </si>
  <si>
    <t>RY20 PAU Savings Adjustment %</t>
  </si>
  <si>
    <t>RY</t>
  </si>
  <si>
    <t>Total</t>
  </si>
  <si>
    <t>RY18 PAU Savings Revenue Impact</t>
  </si>
  <si>
    <t>4.9.19</t>
  </si>
  <si>
    <t>CY18 PQI Revenue</t>
  </si>
  <si>
    <t>Table 1. Hospital  PAU % Charges CY2018</t>
  </si>
  <si>
    <t>Actual statewide revenue</t>
  </si>
  <si>
    <t>Table 2: Calculation of Statewide Reduction (calculated)</t>
  </si>
  <si>
    <t>Adjusted proposed required revenue reduction $</t>
  </si>
  <si>
    <t>Adjusted proposed required revenue reduction %</t>
  </si>
  <si>
    <t>Required Percent reduction pau</t>
  </si>
  <si>
    <t>J = D-I</t>
  </si>
  <si>
    <t>K = round(J/A)</t>
  </si>
  <si>
    <t>Adjusted proposed required revenue reduction 2</t>
  </si>
  <si>
    <t>L = K*A</t>
  </si>
  <si>
    <t>M = L/G</t>
  </si>
  <si>
    <t xml:space="preserve">CY18 PAU % </t>
  </si>
  <si>
    <t>*Prince Georges Hospital revenue includes Laurel Inpatient Revenue. Prince Georges Hospital PAU revenue includes Laurel PAU Revenue</t>
  </si>
  <si>
    <t>J=I*C</t>
  </si>
  <si>
    <t>Meritus</t>
  </si>
  <si>
    <t>UM-PG*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</si>
  <si>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</si>
  <si>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</si>
  <si>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</si>
  <si>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</si>
  <si>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</si>
  <si>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</si>
  <si>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</si>
  <si>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</si>
  <si>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</si>
  <si>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</si>
  <si>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</si>
  <si>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</si>
  <si>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</si>
  <si>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</si>
  <si>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</si>
  <si>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</si>
  <si>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</si>
  <si>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</si>
  <si>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</si>
  <si>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</si>
  <si>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</si>
  <si>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</si>
  <si>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</si>
  <si>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</si>
  <si>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</si>
  <si>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</si>
  <si>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</si>
  <si>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</si>
  <si>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</si>
  <si>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</si>
  <si>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</si>
  <si>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</si>
  <si>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</si>
  <si>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</si>
  <si>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</si>
  <si>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</si>
  <si>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</si>
  <si>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</si>
  <si>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</si>
  <si>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</si>
  <si>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</si>
  <si>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</si>
  <si>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UM-Laurel*</t>
  </si>
  <si>
    <t>CY18 Total Revenue (experienced)</t>
  </si>
  <si>
    <t>Bayview</t>
  </si>
  <si>
    <t>Hospital-specific readmission revenue is calculated revenue from sending readmissions. Statewide reduction calculated based on actual readmissions revenue.</t>
  </si>
  <si>
    <t>I=H*Savings adjustment</t>
  </si>
  <si>
    <t>RY2020 PAU Savings Reductions</t>
  </si>
  <si>
    <t>Scores updated</t>
  </si>
  <si>
    <t>Cumulative difference from prior year inflation analyses</t>
  </si>
  <si>
    <t>File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</si>
</sst>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##,###,###,###,###,###,##0"/>
    <numFmt numFmtId="166" formatCode="##0.00%"/>
    <numFmt numFmtId="167" formatCode="_(&quot;$&quot;* #,##0_);_(&quot;$&quot;* \(#,##0\);_(&quot;$&quot;* &quot;-&quot;??_);_(@_)"/>
    <numFmt numFmtId="168" formatCode="0.00000%"/>
    <numFmt numFmtId="169" formatCode="0.000%"/>
    <numFmt numFmtId="170" formatCode="0.0000%"/>
    <numFmt numFmtId="171" formatCode="0.000000%"/>
    <numFmt numFmtId="172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0" xfId="3" applyFill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0" fontId="5" fillId="0" borderId="1" xfId="0" applyFont="1" applyFill="1" applyBorder="1" applyAlignment="1">
      <alignment horizontal="left"/>
    </xf>
    <xf numFmtId="164" fontId="6" fillId="0" borderId="2" xfId="0" applyNumberFormat="1" applyFont="1" applyBorder="1"/>
    <xf numFmtId="165" fontId="9" fillId="3" borderId="3" xfId="0" applyNumberFormat="1" applyFont="1" applyFill="1" applyBorder="1" applyAlignment="1" applyProtection="1">
      <alignment horizontal="right" wrapText="1"/>
    </xf>
    <xf numFmtId="166" fontId="9" fillId="3" borderId="3" xfId="0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65" fontId="10" fillId="4" borderId="3" xfId="0" applyNumberFormat="1" applyFont="1" applyFill="1" applyBorder="1" applyAlignment="1" applyProtection="1">
      <alignment horizontal="right" wrapText="1"/>
    </xf>
    <xf numFmtId="166" fontId="10" fillId="4" borderId="3" xfId="0" applyNumberFormat="1" applyFont="1" applyFill="1" applyBorder="1" applyAlignment="1" applyProtection="1">
      <alignment horizontal="right" wrapText="1"/>
    </xf>
    <xf numFmtId="10" fontId="4" fillId="0" borderId="0" xfId="0" applyNumberFormat="1" applyFont="1" applyFill="1" applyBorder="1"/>
    <xf numFmtId="0" fontId="5" fillId="0" borderId="0" xfId="0" applyFont="1" applyFill="1"/>
    <xf numFmtId="0" fontId="6" fillId="0" borderId="0" xfId="0" applyFont="1" applyFill="1" applyBorder="1"/>
    <xf numFmtId="10" fontId="6" fillId="0" borderId="0" xfId="0" applyNumberFormat="1" applyFont="1" applyFill="1" applyBorder="1"/>
    <xf numFmtId="0" fontId="11" fillId="0" borderId="0" xfId="0" applyFont="1" applyFill="1"/>
    <xf numFmtId="0" fontId="11" fillId="0" borderId="0" xfId="0" applyFont="1"/>
    <xf numFmtId="167" fontId="4" fillId="0" borderId="0" xfId="0" applyNumberFormat="1" applyFont="1" applyFill="1" applyBorder="1"/>
    <xf numFmtId="0" fontId="11" fillId="0" borderId="4" xfId="0" applyFont="1" applyBorder="1" applyAlignment="1">
      <alignment vertical="center"/>
    </xf>
    <xf numFmtId="164" fontId="4" fillId="0" borderId="0" xfId="0" applyNumberFormat="1" applyFont="1" applyFill="1" applyBorder="1"/>
    <xf numFmtId="0" fontId="12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10" fontId="0" fillId="0" borderId="0" xfId="2" applyNumberFormat="1" applyFont="1"/>
    <xf numFmtId="0" fontId="13" fillId="0" borderId="7" xfId="0" applyFont="1" applyBorder="1"/>
    <xf numFmtId="169" fontId="0" fillId="0" borderId="0" xfId="2" applyNumberFormat="1" applyFont="1"/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17" fillId="0" borderId="0" xfId="0" applyFont="1"/>
    <xf numFmtId="0" fontId="0" fillId="0" borderId="0" xfId="0" applyFont="1"/>
    <xf numFmtId="168" fontId="0" fillId="0" borderId="0" xfId="0" applyNumberFormat="1" applyFont="1"/>
    <xf numFmtId="8" fontId="0" fillId="0" borderId="0" xfId="0" applyNumberFormat="1" applyFont="1"/>
    <xf numFmtId="0" fontId="0" fillId="0" borderId="12" xfId="0" applyFont="1" applyBorder="1"/>
    <xf numFmtId="0" fontId="13" fillId="0" borderId="5" xfId="0" applyFont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0" fontId="13" fillId="0" borderId="2" xfId="0" applyFont="1" applyFill="1" applyBorder="1" applyAlignment="1"/>
    <xf numFmtId="6" fontId="13" fillId="0" borderId="8" xfId="0" applyNumberFormat="1" applyFont="1" applyBorder="1"/>
    <xf numFmtId="164" fontId="13" fillId="0" borderId="8" xfId="1" applyNumberFormat="1" applyFont="1" applyBorder="1"/>
    <xf numFmtId="0" fontId="19" fillId="0" borderId="9" xfId="0" applyFont="1" applyBorder="1" applyAlignment="1">
      <alignment vertical="center"/>
    </xf>
    <xf numFmtId="0" fontId="13" fillId="0" borderId="10" xfId="0" applyFont="1" applyFill="1" applyBorder="1" applyAlignment="1"/>
    <xf numFmtId="10" fontId="12" fillId="0" borderId="11" xfId="2" applyNumberFormat="1" applyFont="1" applyFill="1" applyBorder="1"/>
    <xf numFmtId="0" fontId="20" fillId="2" borderId="12" xfId="0" applyFont="1" applyFill="1" applyBorder="1" applyAlignment="1">
      <alignment horizontal="centerContinuous" vertical="center" wrapText="1"/>
    </xf>
    <xf numFmtId="3" fontId="21" fillId="0" borderId="0" xfId="0" applyNumberFormat="1" applyFont="1"/>
    <xf numFmtId="169" fontId="6" fillId="0" borderId="0" xfId="2" applyNumberFormat="1" applyFont="1" applyFill="1" applyBorder="1"/>
    <xf numFmtId="0" fontId="9" fillId="3" borderId="3" xfId="0" applyNumberFormat="1" applyFont="1" applyFill="1" applyBorder="1" applyAlignment="1" applyProtection="1">
      <alignment horizontal="right" wrapText="1"/>
    </xf>
    <xf numFmtId="166" fontId="9" fillId="0" borderId="3" xfId="0" applyNumberFormat="1" applyFont="1" applyFill="1" applyBorder="1" applyAlignment="1" applyProtection="1">
      <alignment horizontal="right" wrapText="1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 applyBorder="1"/>
    <xf numFmtId="0" fontId="23" fillId="0" borderId="0" xfId="0" applyFont="1" applyFill="1"/>
    <xf numFmtId="0" fontId="22" fillId="0" borderId="0" xfId="0" applyFont="1" applyBorder="1" applyAlignment="1">
      <alignment vertical="center"/>
    </xf>
    <xf numFmtId="0" fontId="23" fillId="0" borderId="15" xfId="0" applyFont="1" applyBorder="1"/>
    <xf numFmtId="0" fontId="23" fillId="0" borderId="0" xfId="0" applyFont="1" applyAlignment="1">
      <alignment horizontal="right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4" fontId="23" fillId="0" borderId="0" xfId="0" applyNumberFormat="1" applyFont="1"/>
    <xf numFmtId="170" fontId="23" fillId="0" borderId="0" xfId="2" applyNumberFormat="1" applyFont="1" applyAlignment="1">
      <alignment horizontal="right"/>
    </xf>
    <xf numFmtId="165" fontId="25" fillId="3" borderId="3" xfId="0" applyNumberFormat="1" applyFont="1" applyFill="1" applyBorder="1" applyAlignment="1" applyProtection="1">
      <alignment horizontal="right" wrapText="1"/>
    </xf>
    <xf numFmtId="0" fontId="13" fillId="0" borderId="16" xfId="0" applyFont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10" fontId="21" fillId="0" borderId="0" xfId="2" applyNumberFormat="1" applyFont="1"/>
    <xf numFmtId="44" fontId="0" fillId="0" borderId="12" xfId="1" applyFont="1" applyBorder="1"/>
    <xf numFmtId="0" fontId="0" fillId="0" borderId="0" xfId="0"/>
    <xf numFmtId="167" fontId="0" fillId="0" borderId="0" xfId="1" applyNumberFormat="1" applyFont="1"/>
    <xf numFmtId="165" fontId="9" fillId="0" borderId="3" xfId="0" applyNumberFormat="1" applyFont="1" applyFill="1" applyBorder="1" applyAlignment="1" applyProtection="1">
      <alignment horizontal="right" wrapText="1"/>
    </xf>
    <xf numFmtId="172" fontId="0" fillId="0" borderId="0" xfId="0" applyNumberFormat="1" applyFont="1"/>
    <xf numFmtId="164" fontId="13" fillId="0" borderId="8" xfId="1" applyNumberFormat="1" applyFont="1" applyFill="1" applyBorder="1"/>
    <xf numFmtId="164" fontId="0" fillId="0" borderId="0" xfId="0" applyNumberFormat="1" applyFont="1"/>
    <xf numFmtId="170" fontId="0" fillId="0" borderId="0" xfId="2" applyNumberFormat="1" applyFont="1"/>
    <xf numFmtId="171" fontId="13" fillId="0" borderId="8" xfId="0" applyNumberFormat="1" applyFont="1" applyBorder="1"/>
    <xf numFmtId="164" fontId="23" fillId="0" borderId="0" xfId="0" applyNumberFormat="1" applyFont="1" applyAlignment="1">
      <alignment horizontal="right"/>
    </xf>
    <xf numFmtId="168" fontId="13" fillId="0" borderId="8" xfId="2" applyNumberFormat="1" applyFont="1" applyBorder="1" applyAlignment="1">
      <alignment vertical="center"/>
    </xf>
    <xf numFmtId="172" fontId="23" fillId="0" borderId="0" xfId="0" applyNumberFormat="1" applyFont="1" applyBorder="1"/>
    <xf numFmtId="169" fontId="23" fillId="0" borderId="0" xfId="2" applyNumberFormat="1" applyFont="1" applyBorder="1"/>
    <xf numFmtId="172" fontId="23" fillId="0" borderId="0" xfId="0" applyNumberFormat="1" applyFont="1" applyFill="1" applyBorder="1"/>
    <xf numFmtId="0" fontId="26" fillId="0" borderId="13" xfId="0" applyFont="1" applyBorder="1"/>
    <xf numFmtId="164" fontId="15" fillId="0" borderId="14" xfId="0" applyNumberFormat="1" applyFont="1" applyBorder="1" applyAlignment="1">
      <alignment horizontal="right"/>
    </xf>
    <xf numFmtId="10" fontId="14" fillId="0" borderId="14" xfId="4" applyNumberFormat="1" applyFont="1" applyFill="1" applyBorder="1" applyAlignment="1">
      <alignment horizontal="right"/>
    </xf>
    <xf numFmtId="10" fontId="15" fillId="6" borderId="14" xfId="2" applyNumberFormat="1" applyFont="1" applyFill="1" applyBorder="1" applyAlignment="1">
      <alignment horizontal="right"/>
    </xf>
    <xf numFmtId="0" fontId="26" fillId="0" borderId="12" xfId="0" applyFont="1" applyBorder="1"/>
    <xf numFmtId="0" fontId="26" fillId="0" borderId="12" xfId="0" applyFont="1" applyFill="1" applyBorder="1"/>
    <xf numFmtId="0" fontId="26" fillId="0" borderId="0" xfId="0" applyFont="1" applyFill="1" applyBorder="1"/>
    <xf numFmtId="164" fontId="15" fillId="0" borderId="0" xfId="0" applyNumberFormat="1" applyFont="1" applyBorder="1" applyAlignment="1">
      <alignment horizontal="right"/>
    </xf>
    <xf numFmtId="10" fontId="14" fillId="0" borderId="0" xfId="4" applyNumberFormat="1" applyFont="1" applyFill="1" applyBorder="1" applyAlignment="1">
      <alignment horizontal="right"/>
    </xf>
    <xf numFmtId="10" fontId="15" fillId="0" borderId="0" xfId="2" applyNumberFormat="1" applyFont="1" applyFill="1" applyBorder="1" applyAlignment="1">
      <alignment horizontal="right"/>
    </xf>
    <xf numFmtId="0" fontId="27" fillId="7" borderId="12" xfId="0" applyFont="1" applyFill="1" applyBorder="1" applyAlignment="1"/>
    <xf numFmtId="164" fontId="28" fillId="7" borderId="12" xfId="0" applyNumberFormat="1" applyFont="1" applyFill="1" applyBorder="1" applyAlignment="1">
      <alignment horizontal="right"/>
    </xf>
    <xf numFmtId="10" fontId="29" fillId="7" borderId="14" xfId="2" applyNumberFormat="1" applyFont="1" applyFill="1" applyBorder="1" applyAlignment="1">
      <alignment horizontal="right"/>
    </xf>
    <xf numFmtId="10" fontId="10" fillId="7" borderId="14" xfId="2" applyNumberFormat="1" applyFont="1" applyFill="1" applyBorder="1" applyAlignment="1">
      <alignment horizontal="right"/>
    </xf>
    <xf numFmtId="0" fontId="30" fillId="2" borderId="12" xfId="0" applyFont="1" applyFill="1" applyBorder="1" applyAlignment="1">
      <alignment horizontal="centerContinuous" vertical="center" wrapText="1"/>
    </xf>
    <xf numFmtId="0" fontId="31" fillId="2" borderId="12" xfId="0" applyFont="1" applyFill="1" applyBorder="1" applyAlignment="1">
      <alignment horizontal="centerContinuous" vertical="center" wrapText="1"/>
    </xf>
    <xf numFmtId="0" fontId="31" fillId="2" borderId="12" xfId="0" applyFont="1" applyFill="1" applyBorder="1" applyAlignment="1">
      <alignment horizontal="center" vertical="center" wrapText="1"/>
    </xf>
    <xf numFmtId="164" fontId="31" fillId="2" borderId="12" xfId="0" applyNumberFormat="1" applyFont="1" applyFill="1" applyBorder="1" applyAlignment="1">
      <alignment horizontal="center" vertical="center" wrapText="1"/>
    </xf>
    <xf numFmtId="164" fontId="14" fillId="0" borderId="12" xfId="1" applyNumberFormat="1" applyFont="1" applyBorder="1" applyAlignment="1">
      <alignment horizontal="right"/>
    </xf>
    <xf numFmtId="164" fontId="14" fillId="0" borderId="18" xfId="1" applyNumberFormat="1" applyFont="1" applyBorder="1" applyAlignment="1">
      <alignment horizontal="right"/>
    </xf>
    <xf numFmtId="164" fontId="29" fillId="7" borderId="12" xfId="1" applyNumberFormat="1" applyFont="1" applyFill="1" applyBorder="1" applyAlignment="1">
      <alignment horizontal="right"/>
    </xf>
    <xf numFmtId="0" fontId="13" fillId="0" borderId="12" xfId="0" applyFont="1" applyFill="1" applyBorder="1" applyAlignment="1"/>
    <xf numFmtId="167" fontId="0" fillId="0" borderId="12" xfId="1" applyNumberFormat="1" applyFont="1" applyBorder="1"/>
    <xf numFmtId="0" fontId="0" fillId="0" borderId="12" xfId="0" applyFont="1" applyFill="1" applyBorder="1"/>
    <xf numFmtId="164" fontId="0" fillId="0" borderId="12" xfId="1" applyNumberFormat="1" applyFont="1" applyBorder="1"/>
    <xf numFmtId="0" fontId="2" fillId="0" borderId="12" xfId="0" applyFont="1" applyFill="1" applyBorder="1"/>
    <xf numFmtId="0" fontId="2" fillId="0" borderId="12" xfId="0" applyFont="1" applyBorder="1"/>
    <xf numFmtId="168" fontId="2" fillId="0" borderId="12" xfId="0" applyNumberFormat="1" applyFont="1" applyBorder="1"/>
    <xf numFmtId="44" fontId="2" fillId="0" borderId="12" xfId="1" applyFont="1" applyBorder="1"/>
    <xf numFmtId="14" fontId="14" fillId="0" borderId="0" xfId="0" applyNumberFormat="1" applyFont="1" applyFill="1" applyBorder="1"/>
  </cellXfs>
  <cellStyles count="5">
    <cellStyle name="Currency" xfId="1" builtinId="4"/>
    <cellStyle name="Hyperlink" xfId="3" builtinId="8"/>
    <cellStyle name="Normal" xfId="0" builtinId="0"/>
    <cellStyle name="Percent" xfId="2" builtinId="5"/>
    <cellStyle name="Percent 3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0\RY2020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9 updated"/>
      <sheetName val="FY19 original"/>
      <sheetName val="Sheet1"/>
    </sheetNames>
    <sheetDataSet>
      <sheetData sheetId="0">
        <row r="1">
          <cell r="F1" t="str">
            <v>RY20</v>
          </cell>
        </row>
        <row r="52">
          <cell r="C52">
            <v>16944586254.054193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M60"/>
  <sheetViews>
    <sheetView workbookViewId="0">
      <selection activeCell="C10" sqref="C7:C10"/>
    </sheetView>
  </sheetViews>
  <sheetFormatPr defaultColWidth="9.28515625" defaultRowHeight="15" x14ac:dyDescent="0.2"/>
  <cols>
    <col min="1" max="1" width="12.28515625" style="4" customWidth="1"/>
    <col min="2" max="2" width="47.42578125" style="4" customWidth="1"/>
    <col min="3" max="3" width="20.2851562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16" style="2" customWidth="1"/>
    <col min="8" max="8" width="15.28515625" style="2" customWidth="1"/>
    <col min="9" max="9" width="9.42578125" style="2" customWidth="1"/>
    <col min="10" max="11" width="12.42578125" style="2" customWidth="1"/>
    <col min="12" max="12" width="29.42578125" style="2" bestFit="1" customWidth="1"/>
    <col min="13" max="228" width="9.28515625" style="4"/>
    <col min="229" max="229" width="12.28515625" style="4" customWidth="1"/>
    <col min="230" max="230" width="47.42578125" style="4" customWidth="1"/>
    <col min="231" max="231" width="21.7109375" style="4" customWidth="1"/>
    <col min="232" max="232" width="17.7109375" style="4" customWidth="1"/>
    <col min="233" max="234" width="18.28515625" style="4" customWidth="1"/>
    <col min="235" max="235" width="19.42578125" style="4" customWidth="1"/>
    <col min="236" max="236" width="9.28515625" style="4"/>
    <col min="237" max="237" width="17.7109375" style="4" customWidth="1"/>
    <col min="238" max="484" width="9.28515625" style="4"/>
    <col min="485" max="485" width="12.28515625" style="4" customWidth="1"/>
    <col min="486" max="486" width="47.42578125" style="4" customWidth="1"/>
    <col min="487" max="487" width="21.7109375" style="4" customWidth="1"/>
    <col min="488" max="488" width="17.7109375" style="4" customWidth="1"/>
    <col min="489" max="490" width="18.28515625" style="4" customWidth="1"/>
    <col min="491" max="491" width="19.42578125" style="4" customWidth="1"/>
    <col min="492" max="492" width="9.28515625" style="4"/>
    <col min="493" max="493" width="17.7109375" style="4" customWidth="1"/>
    <col min="494" max="740" width="9.28515625" style="4"/>
    <col min="741" max="741" width="12.28515625" style="4" customWidth="1"/>
    <col min="742" max="742" width="47.42578125" style="4" customWidth="1"/>
    <col min="743" max="743" width="21.7109375" style="4" customWidth="1"/>
    <col min="744" max="744" width="17.7109375" style="4" customWidth="1"/>
    <col min="745" max="746" width="18.28515625" style="4" customWidth="1"/>
    <col min="747" max="747" width="19.42578125" style="4" customWidth="1"/>
    <col min="748" max="748" width="9.28515625" style="4"/>
    <col min="749" max="749" width="17.7109375" style="4" customWidth="1"/>
    <col min="750" max="996" width="9.28515625" style="4"/>
    <col min="997" max="997" width="12.28515625" style="4" customWidth="1"/>
    <col min="998" max="998" width="47.42578125" style="4" customWidth="1"/>
    <col min="999" max="999" width="21.7109375" style="4" customWidth="1"/>
    <col min="1000" max="1000" width="17.7109375" style="4" customWidth="1"/>
    <col min="1001" max="1002" width="18.28515625" style="4" customWidth="1"/>
    <col min="1003" max="1003" width="19.42578125" style="4" customWidth="1"/>
    <col min="1004" max="1004" width="9.28515625" style="4"/>
    <col min="1005" max="1005" width="17.7109375" style="4" customWidth="1"/>
    <col min="1006" max="1252" width="9.28515625" style="4"/>
    <col min="1253" max="1253" width="12.28515625" style="4" customWidth="1"/>
    <col min="1254" max="1254" width="47.42578125" style="4" customWidth="1"/>
    <col min="1255" max="1255" width="21.7109375" style="4" customWidth="1"/>
    <col min="1256" max="1256" width="17.7109375" style="4" customWidth="1"/>
    <col min="1257" max="1258" width="18.28515625" style="4" customWidth="1"/>
    <col min="1259" max="1259" width="19.42578125" style="4" customWidth="1"/>
    <col min="1260" max="1260" width="9.28515625" style="4"/>
    <col min="1261" max="1261" width="17.7109375" style="4" customWidth="1"/>
    <col min="1262" max="1508" width="9.28515625" style="4"/>
    <col min="1509" max="1509" width="12.28515625" style="4" customWidth="1"/>
    <col min="1510" max="1510" width="47.42578125" style="4" customWidth="1"/>
    <col min="1511" max="1511" width="21.7109375" style="4" customWidth="1"/>
    <col min="1512" max="1512" width="17.7109375" style="4" customWidth="1"/>
    <col min="1513" max="1514" width="18.28515625" style="4" customWidth="1"/>
    <col min="1515" max="1515" width="19.42578125" style="4" customWidth="1"/>
    <col min="1516" max="1516" width="9.28515625" style="4"/>
    <col min="1517" max="1517" width="17.7109375" style="4" customWidth="1"/>
    <col min="1518" max="1764" width="9.28515625" style="4"/>
    <col min="1765" max="1765" width="12.28515625" style="4" customWidth="1"/>
    <col min="1766" max="1766" width="47.42578125" style="4" customWidth="1"/>
    <col min="1767" max="1767" width="21.7109375" style="4" customWidth="1"/>
    <col min="1768" max="1768" width="17.7109375" style="4" customWidth="1"/>
    <col min="1769" max="1770" width="18.28515625" style="4" customWidth="1"/>
    <col min="1771" max="1771" width="19.42578125" style="4" customWidth="1"/>
    <col min="1772" max="1772" width="9.28515625" style="4"/>
    <col min="1773" max="1773" width="17.7109375" style="4" customWidth="1"/>
    <col min="1774" max="2020" width="9.28515625" style="4"/>
    <col min="2021" max="2021" width="12.28515625" style="4" customWidth="1"/>
    <col min="2022" max="2022" width="47.42578125" style="4" customWidth="1"/>
    <col min="2023" max="2023" width="21.7109375" style="4" customWidth="1"/>
    <col min="2024" max="2024" width="17.7109375" style="4" customWidth="1"/>
    <col min="2025" max="2026" width="18.28515625" style="4" customWidth="1"/>
    <col min="2027" max="2027" width="19.42578125" style="4" customWidth="1"/>
    <col min="2028" max="2028" width="9.28515625" style="4"/>
    <col min="2029" max="2029" width="17.7109375" style="4" customWidth="1"/>
    <col min="2030" max="2276" width="9.28515625" style="4"/>
    <col min="2277" max="2277" width="12.28515625" style="4" customWidth="1"/>
    <col min="2278" max="2278" width="47.42578125" style="4" customWidth="1"/>
    <col min="2279" max="2279" width="21.7109375" style="4" customWidth="1"/>
    <col min="2280" max="2280" width="17.7109375" style="4" customWidth="1"/>
    <col min="2281" max="2282" width="18.28515625" style="4" customWidth="1"/>
    <col min="2283" max="2283" width="19.42578125" style="4" customWidth="1"/>
    <col min="2284" max="2284" width="9.28515625" style="4"/>
    <col min="2285" max="2285" width="17.7109375" style="4" customWidth="1"/>
    <col min="2286" max="2532" width="9.28515625" style="4"/>
    <col min="2533" max="2533" width="12.28515625" style="4" customWidth="1"/>
    <col min="2534" max="2534" width="47.42578125" style="4" customWidth="1"/>
    <col min="2535" max="2535" width="21.7109375" style="4" customWidth="1"/>
    <col min="2536" max="2536" width="17.7109375" style="4" customWidth="1"/>
    <col min="2537" max="2538" width="18.28515625" style="4" customWidth="1"/>
    <col min="2539" max="2539" width="19.42578125" style="4" customWidth="1"/>
    <col min="2540" max="2540" width="9.28515625" style="4"/>
    <col min="2541" max="2541" width="17.7109375" style="4" customWidth="1"/>
    <col min="2542" max="2788" width="9.28515625" style="4"/>
    <col min="2789" max="2789" width="12.28515625" style="4" customWidth="1"/>
    <col min="2790" max="2790" width="47.42578125" style="4" customWidth="1"/>
    <col min="2791" max="2791" width="21.7109375" style="4" customWidth="1"/>
    <col min="2792" max="2792" width="17.7109375" style="4" customWidth="1"/>
    <col min="2793" max="2794" width="18.28515625" style="4" customWidth="1"/>
    <col min="2795" max="2795" width="19.42578125" style="4" customWidth="1"/>
    <col min="2796" max="2796" width="9.28515625" style="4"/>
    <col min="2797" max="2797" width="17.7109375" style="4" customWidth="1"/>
    <col min="2798" max="3044" width="9.28515625" style="4"/>
    <col min="3045" max="3045" width="12.28515625" style="4" customWidth="1"/>
    <col min="3046" max="3046" width="47.42578125" style="4" customWidth="1"/>
    <col min="3047" max="3047" width="21.7109375" style="4" customWidth="1"/>
    <col min="3048" max="3048" width="17.7109375" style="4" customWidth="1"/>
    <col min="3049" max="3050" width="18.28515625" style="4" customWidth="1"/>
    <col min="3051" max="3051" width="19.42578125" style="4" customWidth="1"/>
    <col min="3052" max="3052" width="9.28515625" style="4"/>
    <col min="3053" max="3053" width="17.7109375" style="4" customWidth="1"/>
    <col min="3054" max="3300" width="9.28515625" style="4"/>
    <col min="3301" max="3301" width="12.28515625" style="4" customWidth="1"/>
    <col min="3302" max="3302" width="47.42578125" style="4" customWidth="1"/>
    <col min="3303" max="3303" width="21.7109375" style="4" customWidth="1"/>
    <col min="3304" max="3304" width="17.7109375" style="4" customWidth="1"/>
    <col min="3305" max="3306" width="18.28515625" style="4" customWidth="1"/>
    <col min="3307" max="3307" width="19.42578125" style="4" customWidth="1"/>
    <col min="3308" max="3308" width="9.28515625" style="4"/>
    <col min="3309" max="3309" width="17.7109375" style="4" customWidth="1"/>
    <col min="3310" max="3556" width="9.28515625" style="4"/>
    <col min="3557" max="3557" width="12.28515625" style="4" customWidth="1"/>
    <col min="3558" max="3558" width="47.42578125" style="4" customWidth="1"/>
    <col min="3559" max="3559" width="21.7109375" style="4" customWidth="1"/>
    <col min="3560" max="3560" width="17.7109375" style="4" customWidth="1"/>
    <col min="3561" max="3562" width="18.28515625" style="4" customWidth="1"/>
    <col min="3563" max="3563" width="19.42578125" style="4" customWidth="1"/>
    <col min="3564" max="3564" width="9.28515625" style="4"/>
    <col min="3565" max="3565" width="17.7109375" style="4" customWidth="1"/>
    <col min="3566" max="3812" width="9.28515625" style="4"/>
    <col min="3813" max="3813" width="12.28515625" style="4" customWidth="1"/>
    <col min="3814" max="3814" width="47.42578125" style="4" customWidth="1"/>
    <col min="3815" max="3815" width="21.7109375" style="4" customWidth="1"/>
    <col min="3816" max="3816" width="17.7109375" style="4" customWidth="1"/>
    <col min="3817" max="3818" width="18.28515625" style="4" customWidth="1"/>
    <col min="3819" max="3819" width="19.42578125" style="4" customWidth="1"/>
    <col min="3820" max="3820" width="9.28515625" style="4"/>
    <col min="3821" max="3821" width="17.7109375" style="4" customWidth="1"/>
    <col min="3822" max="4068" width="9.28515625" style="4"/>
    <col min="4069" max="4069" width="12.28515625" style="4" customWidth="1"/>
    <col min="4070" max="4070" width="47.42578125" style="4" customWidth="1"/>
    <col min="4071" max="4071" width="21.7109375" style="4" customWidth="1"/>
    <col min="4072" max="4072" width="17.7109375" style="4" customWidth="1"/>
    <col min="4073" max="4074" width="18.28515625" style="4" customWidth="1"/>
    <col min="4075" max="4075" width="19.42578125" style="4" customWidth="1"/>
    <col min="4076" max="4076" width="9.28515625" style="4"/>
    <col min="4077" max="4077" width="17.7109375" style="4" customWidth="1"/>
    <col min="4078" max="4324" width="9.28515625" style="4"/>
    <col min="4325" max="4325" width="12.28515625" style="4" customWidth="1"/>
    <col min="4326" max="4326" width="47.42578125" style="4" customWidth="1"/>
    <col min="4327" max="4327" width="21.7109375" style="4" customWidth="1"/>
    <col min="4328" max="4328" width="17.7109375" style="4" customWidth="1"/>
    <col min="4329" max="4330" width="18.28515625" style="4" customWidth="1"/>
    <col min="4331" max="4331" width="19.42578125" style="4" customWidth="1"/>
    <col min="4332" max="4332" width="9.28515625" style="4"/>
    <col min="4333" max="4333" width="17.7109375" style="4" customWidth="1"/>
    <col min="4334" max="4580" width="9.28515625" style="4"/>
    <col min="4581" max="4581" width="12.28515625" style="4" customWidth="1"/>
    <col min="4582" max="4582" width="47.42578125" style="4" customWidth="1"/>
    <col min="4583" max="4583" width="21.7109375" style="4" customWidth="1"/>
    <col min="4584" max="4584" width="17.7109375" style="4" customWidth="1"/>
    <col min="4585" max="4586" width="18.28515625" style="4" customWidth="1"/>
    <col min="4587" max="4587" width="19.42578125" style="4" customWidth="1"/>
    <col min="4588" max="4588" width="9.28515625" style="4"/>
    <col min="4589" max="4589" width="17.7109375" style="4" customWidth="1"/>
    <col min="4590" max="4836" width="9.28515625" style="4"/>
    <col min="4837" max="4837" width="12.28515625" style="4" customWidth="1"/>
    <col min="4838" max="4838" width="47.42578125" style="4" customWidth="1"/>
    <col min="4839" max="4839" width="21.7109375" style="4" customWidth="1"/>
    <col min="4840" max="4840" width="17.7109375" style="4" customWidth="1"/>
    <col min="4841" max="4842" width="18.28515625" style="4" customWidth="1"/>
    <col min="4843" max="4843" width="19.42578125" style="4" customWidth="1"/>
    <col min="4844" max="4844" width="9.28515625" style="4"/>
    <col min="4845" max="4845" width="17.7109375" style="4" customWidth="1"/>
    <col min="4846" max="5092" width="9.28515625" style="4"/>
    <col min="5093" max="5093" width="12.28515625" style="4" customWidth="1"/>
    <col min="5094" max="5094" width="47.42578125" style="4" customWidth="1"/>
    <col min="5095" max="5095" width="21.7109375" style="4" customWidth="1"/>
    <col min="5096" max="5096" width="17.7109375" style="4" customWidth="1"/>
    <col min="5097" max="5098" width="18.28515625" style="4" customWidth="1"/>
    <col min="5099" max="5099" width="19.42578125" style="4" customWidth="1"/>
    <col min="5100" max="5100" width="9.28515625" style="4"/>
    <col min="5101" max="5101" width="17.7109375" style="4" customWidth="1"/>
    <col min="5102" max="5348" width="9.28515625" style="4"/>
    <col min="5349" max="5349" width="12.28515625" style="4" customWidth="1"/>
    <col min="5350" max="5350" width="47.42578125" style="4" customWidth="1"/>
    <col min="5351" max="5351" width="21.7109375" style="4" customWidth="1"/>
    <col min="5352" max="5352" width="17.7109375" style="4" customWidth="1"/>
    <col min="5353" max="5354" width="18.28515625" style="4" customWidth="1"/>
    <col min="5355" max="5355" width="19.42578125" style="4" customWidth="1"/>
    <col min="5356" max="5356" width="9.28515625" style="4"/>
    <col min="5357" max="5357" width="17.7109375" style="4" customWidth="1"/>
    <col min="5358" max="5604" width="9.28515625" style="4"/>
    <col min="5605" max="5605" width="12.28515625" style="4" customWidth="1"/>
    <col min="5606" max="5606" width="47.42578125" style="4" customWidth="1"/>
    <col min="5607" max="5607" width="21.7109375" style="4" customWidth="1"/>
    <col min="5608" max="5608" width="17.7109375" style="4" customWidth="1"/>
    <col min="5609" max="5610" width="18.28515625" style="4" customWidth="1"/>
    <col min="5611" max="5611" width="19.42578125" style="4" customWidth="1"/>
    <col min="5612" max="5612" width="9.28515625" style="4"/>
    <col min="5613" max="5613" width="17.7109375" style="4" customWidth="1"/>
    <col min="5614" max="5860" width="9.28515625" style="4"/>
    <col min="5861" max="5861" width="12.28515625" style="4" customWidth="1"/>
    <col min="5862" max="5862" width="47.42578125" style="4" customWidth="1"/>
    <col min="5863" max="5863" width="21.7109375" style="4" customWidth="1"/>
    <col min="5864" max="5864" width="17.7109375" style="4" customWidth="1"/>
    <col min="5865" max="5866" width="18.28515625" style="4" customWidth="1"/>
    <col min="5867" max="5867" width="19.42578125" style="4" customWidth="1"/>
    <col min="5868" max="5868" width="9.28515625" style="4"/>
    <col min="5869" max="5869" width="17.7109375" style="4" customWidth="1"/>
    <col min="5870" max="6116" width="9.28515625" style="4"/>
    <col min="6117" max="6117" width="12.28515625" style="4" customWidth="1"/>
    <col min="6118" max="6118" width="47.42578125" style="4" customWidth="1"/>
    <col min="6119" max="6119" width="21.7109375" style="4" customWidth="1"/>
    <col min="6120" max="6120" width="17.7109375" style="4" customWidth="1"/>
    <col min="6121" max="6122" width="18.28515625" style="4" customWidth="1"/>
    <col min="6123" max="6123" width="19.42578125" style="4" customWidth="1"/>
    <col min="6124" max="6124" width="9.28515625" style="4"/>
    <col min="6125" max="6125" width="17.7109375" style="4" customWidth="1"/>
    <col min="6126" max="6372" width="9.28515625" style="4"/>
    <col min="6373" max="6373" width="12.28515625" style="4" customWidth="1"/>
    <col min="6374" max="6374" width="47.42578125" style="4" customWidth="1"/>
    <col min="6375" max="6375" width="21.7109375" style="4" customWidth="1"/>
    <col min="6376" max="6376" width="17.7109375" style="4" customWidth="1"/>
    <col min="6377" max="6378" width="18.28515625" style="4" customWidth="1"/>
    <col min="6379" max="6379" width="19.42578125" style="4" customWidth="1"/>
    <col min="6380" max="6380" width="9.28515625" style="4"/>
    <col min="6381" max="6381" width="17.7109375" style="4" customWidth="1"/>
    <col min="6382" max="6628" width="9.28515625" style="4"/>
    <col min="6629" max="6629" width="12.28515625" style="4" customWidth="1"/>
    <col min="6630" max="6630" width="47.42578125" style="4" customWidth="1"/>
    <col min="6631" max="6631" width="21.7109375" style="4" customWidth="1"/>
    <col min="6632" max="6632" width="17.7109375" style="4" customWidth="1"/>
    <col min="6633" max="6634" width="18.28515625" style="4" customWidth="1"/>
    <col min="6635" max="6635" width="19.42578125" style="4" customWidth="1"/>
    <col min="6636" max="6636" width="9.28515625" style="4"/>
    <col min="6637" max="6637" width="17.7109375" style="4" customWidth="1"/>
    <col min="6638" max="6884" width="9.28515625" style="4"/>
    <col min="6885" max="6885" width="12.28515625" style="4" customWidth="1"/>
    <col min="6886" max="6886" width="47.42578125" style="4" customWidth="1"/>
    <col min="6887" max="6887" width="21.7109375" style="4" customWidth="1"/>
    <col min="6888" max="6888" width="17.7109375" style="4" customWidth="1"/>
    <col min="6889" max="6890" width="18.28515625" style="4" customWidth="1"/>
    <col min="6891" max="6891" width="19.42578125" style="4" customWidth="1"/>
    <col min="6892" max="6892" width="9.28515625" style="4"/>
    <col min="6893" max="6893" width="17.7109375" style="4" customWidth="1"/>
    <col min="6894" max="7140" width="9.28515625" style="4"/>
    <col min="7141" max="7141" width="12.28515625" style="4" customWidth="1"/>
    <col min="7142" max="7142" width="47.42578125" style="4" customWidth="1"/>
    <col min="7143" max="7143" width="21.7109375" style="4" customWidth="1"/>
    <col min="7144" max="7144" width="17.7109375" style="4" customWidth="1"/>
    <col min="7145" max="7146" width="18.28515625" style="4" customWidth="1"/>
    <col min="7147" max="7147" width="19.42578125" style="4" customWidth="1"/>
    <col min="7148" max="7148" width="9.28515625" style="4"/>
    <col min="7149" max="7149" width="17.7109375" style="4" customWidth="1"/>
    <col min="7150" max="7396" width="9.28515625" style="4"/>
    <col min="7397" max="7397" width="12.28515625" style="4" customWidth="1"/>
    <col min="7398" max="7398" width="47.42578125" style="4" customWidth="1"/>
    <col min="7399" max="7399" width="21.7109375" style="4" customWidth="1"/>
    <col min="7400" max="7400" width="17.7109375" style="4" customWidth="1"/>
    <col min="7401" max="7402" width="18.28515625" style="4" customWidth="1"/>
    <col min="7403" max="7403" width="19.42578125" style="4" customWidth="1"/>
    <col min="7404" max="7404" width="9.28515625" style="4"/>
    <col min="7405" max="7405" width="17.7109375" style="4" customWidth="1"/>
    <col min="7406" max="7652" width="9.28515625" style="4"/>
    <col min="7653" max="7653" width="12.28515625" style="4" customWidth="1"/>
    <col min="7654" max="7654" width="47.42578125" style="4" customWidth="1"/>
    <col min="7655" max="7655" width="21.7109375" style="4" customWidth="1"/>
    <col min="7656" max="7656" width="17.7109375" style="4" customWidth="1"/>
    <col min="7657" max="7658" width="18.28515625" style="4" customWidth="1"/>
    <col min="7659" max="7659" width="19.42578125" style="4" customWidth="1"/>
    <col min="7660" max="7660" width="9.28515625" style="4"/>
    <col min="7661" max="7661" width="17.7109375" style="4" customWidth="1"/>
    <col min="7662" max="7908" width="9.28515625" style="4"/>
    <col min="7909" max="7909" width="12.28515625" style="4" customWidth="1"/>
    <col min="7910" max="7910" width="47.42578125" style="4" customWidth="1"/>
    <col min="7911" max="7911" width="21.7109375" style="4" customWidth="1"/>
    <col min="7912" max="7912" width="17.7109375" style="4" customWidth="1"/>
    <col min="7913" max="7914" width="18.28515625" style="4" customWidth="1"/>
    <col min="7915" max="7915" width="19.42578125" style="4" customWidth="1"/>
    <col min="7916" max="7916" width="9.28515625" style="4"/>
    <col min="7917" max="7917" width="17.7109375" style="4" customWidth="1"/>
    <col min="7918" max="8164" width="9.28515625" style="4"/>
    <col min="8165" max="8165" width="12.28515625" style="4" customWidth="1"/>
    <col min="8166" max="8166" width="47.42578125" style="4" customWidth="1"/>
    <col min="8167" max="8167" width="21.7109375" style="4" customWidth="1"/>
    <col min="8168" max="8168" width="17.7109375" style="4" customWidth="1"/>
    <col min="8169" max="8170" width="18.28515625" style="4" customWidth="1"/>
    <col min="8171" max="8171" width="19.42578125" style="4" customWidth="1"/>
    <col min="8172" max="8172" width="9.28515625" style="4"/>
    <col min="8173" max="8173" width="17.7109375" style="4" customWidth="1"/>
    <col min="8174" max="8420" width="9.28515625" style="4"/>
    <col min="8421" max="8421" width="12.28515625" style="4" customWidth="1"/>
    <col min="8422" max="8422" width="47.42578125" style="4" customWidth="1"/>
    <col min="8423" max="8423" width="21.7109375" style="4" customWidth="1"/>
    <col min="8424" max="8424" width="17.7109375" style="4" customWidth="1"/>
    <col min="8425" max="8426" width="18.28515625" style="4" customWidth="1"/>
    <col min="8427" max="8427" width="19.42578125" style="4" customWidth="1"/>
    <col min="8428" max="8428" width="9.28515625" style="4"/>
    <col min="8429" max="8429" width="17.7109375" style="4" customWidth="1"/>
    <col min="8430" max="8676" width="9.28515625" style="4"/>
    <col min="8677" max="8677" width="12.28515625" style="4" customWidth="1"/>
    <col min="8678" max="8678" width="47.42578125" style="4" customWidth="1"/>
    <col min="8679" max="8679" width="21.7109375" style="4" customWidth="1"/>
    <col min="8680" max="8680" width="17.7109375" style="4" customWidth="1"/>
    <col min="8681" max="8682" width="18.28515625" style="4" customWidth="1"/>
    <col min="8683" max="8683" width="19.42578125" style="4" customWidth="1"/>
    <col min="8684" max="8684" width="9.28515625" style="4"/>
    <col min="8685" max="8685" width="17.7109375" style="4" customWidth="1"/>
    <col min="8686" max="8932" width="9.28515625" style="4"/>
    <col min="8933" max="8933" width="12.28515625" style="4" customWidth="1"/>
    <col min="8934" max="8934" width="47.42578125" style="4" customWidth="1"/>
    <col min="8935" max="8935" width="21.7109375" style="4" customWidth="1"/>
    <col min="8936" max="8936" width="17.7109375" style="4" customWidth="1"/>
    <col min="8937" max="8938" width="18.28515625" style="4" customWidth="1"/>
    <col min="8939" max="8939" width="19.42578125" style="4" customWidth="1"/>
    <col min="8940" max="8940" width="9.28515625" style="4"/>
    <col min="8941" max="8941" width="17.7109375" style="4" customWidth="1"/>
    <col min="8942" max="9188" width="9.28515625" style="4"/>
    <col min="9189" max="9189" width="12.28515625" style="4" customWidth="1"/>
    <col min="9190" max="9190" width="47.42578125" style="4" customWidth="1"/>
    <col min="9191" max="9191" width="21.7109375" style="4" customWidth="1"/>
    <col min="9192" max="9192" width="17.7109375" style="4" customWidth="1"/>
    <col min="9193" max="9194" width="18.28515625" style="4" customWidth="1"/>
    <col min="9195" max="9195" width="19.42578125" style="4" customWidth="1"/>
    <col min="9196" max="9196" width="9.28515625" style="4"/>
    <col min="9197" max="9197" width="17.7109375" style="4" customWidth="1"/>
    <col min="9198" max="9444" width="9.28515625" style="4"/>
    <col min="9445" max="9445" width="12.28515625" style="4" customWidth="1"/>
    <col min="9446" max="9446" width="47.42578125" style="4" customWidth="1"/>
    <col min="9447" max="9447" width="21.7109375" style="4" customWidth="1"/>
    <col min="9448" max="9448" width="17.7109375" style="4" customWidth="1"/>
    <col min="9449" max="9450" width="18.28515625" style="4" customWidth="1"/>
    <col min="9451" max="9451" width="19.42578125" style="4" customWidth="1"/>
    <col min="9452" max="9452" width="9.28515625" style="4"/>
    <col min="9453" max="9453" width="17.7109375" style="4" customWidth="1"/>
    <col min="9454" max="9700" width="9.28515625" style="4"/>
    <col min="9701" max="9701" width="12.28515625" style="4" customWidth="1"/>
    <col min="9702" max="9702" width="47.42578125" style="4" customWidth="1"/>
    <col min="9703" max="9703" width="21.7109375" style="4" customWidth="1"/>
    <col min="9704" max="9704" width="17.7109375" style="4" customWidth="1"/>
    <col min="9705" max="9706" width="18.28515625" style="4" customWidth="1"/>
    <col min="9707" max="9707" width="19.42578125" style="4" customWidth="1"/>
    <col min="9708" max="9708" width="9.28515625" style="4"/>
    <col min="9709" max="9709" width="17.7109375" style="4" customWidth="1"/>
    <col min="9710" max="9956" width="9.28515625" style="4"/>
    <col min="9957" max="9957" width="12.28515625" style="4" customWidth="1"/>
    <col min="9958" max="9958" width="47.42578125" style="4" customWidth="1"/>
    <col min="9959" max="9959" width="21.7109375" style="4" customWidth="1"/>
    <col min="9960" max="9960" width="17.7109375" style="4" customWidth="1"/>
    <col min="9961" max="9962" width="18.28515625" style="4" customWidth="1"/>
    <col min="9963" max="9963" width="19.42578125" style="4" customWidth="1"/>
    <col min="9964" max="9964" width="9.28515625" style="4"/>
    <col min="9965" max="9965" width="17.7109375" style="4" customWidth="1"/>
    <col min="9966" max="10212" width="9.28515625" style="4"/>
    <col min="10213" max="10213" width="12.28515625" style="4" customWidth="1"/>
    <col min="10214" max="10214" width="47.42578125" style="4" customWidth="1"/>
    <col min="10215" max="10215" width="21.7109375" style="4" customWidth="1"/>
    <col min="10216" max="10216" width="17.7109375" style="4" customWidth="1"/>
    <col min="10217" max="10218" width="18.28515625" style="4" customWidth="1"/>
    <col min="10219" max="10219" width="19.42578125" style="4" customWidth="1"/>
    <col min="10220" max="10220" width="9.28515625" style="4"/>
    <col min="10221" max="10221" width="17.7109375" style="4" customWidth="1"/>
    <col min="10222" max="10468" width="9.28515625" style="4"/>
    <col min="10469" max="10469" width="12.28515625" style="4" customWidth="1"/>
    <col min="10470" max="10470" width="47.42578125" style="4" customWidth="1"/>
    <col min="10471" max="10471" width="21.7109375" style="4" customWidth="1"/>
    <col min="10472" max="10472" width="17.7109375" style="4" customWidth="1"/>
    <col min="10473" max="10474" width="18.28515625" style="4" customWidth="1"/>
    <col min="10475" max="10475" width="19.42578125" style="4" customWidth="1"/>
    <col min="10476" max="10476" width="9.28515625" style="4"/>
    <col min="10477" max="10477" width="17.7109375" style="4" customWidth="1"/>
    <col min="10478" max="10724" width="9.28515625" style="4"/>
    <col min="10725" max="10725" width="12.28515625" style="4" customWidth="1"/>
    <col min="10726" max="10726" width="47.42578125" style="4" customWidth="1"/>
    <col min="10727" max="10727" width="21.7109375" style="4" customWidth="1"/>
    <col min="10728" max="10728" width="17.7109375" style="4" customWidth="1"/>
    <col min="10729" max="10730" width="18.28515625" style="4" customWidth="1"/>
    <col min="10731" max="10731" width="19.42578125" style="4" customWidth="1"/>
    <col min="10732" max="10732" width="9.28515625" style="4"/>
    <col min="10733" max="10733" width="17.7109375" style="4" customWidth="1"/>
    <col min="10734" max="10980" width="9.28515625" style="4"/>
    <col min="10981" max="10981" width="12.28515625" style="4" customWidth="1"/>
    <col min="10982" max="10982" width="47.42578125" style="4" customWidth="1"/>
    <col min="10983" max="10983" width="21.7109375" style="4" customWidth="1"/>
    <col min="10984" max="10984" width="17.7109375" style="4" customWidth="1"/>
    <col min="10985" max="10986" width="18.28515625" style="4" customWidth="1"/>
    <col min="10987" max="10987" width="19.42578125" style="4" customWidth="1"/>
    <col min="10988" max="10988" width="9.28515625" style="4"/>
    <col min="10989" max="10989" width="17.7109375" style="4" customWidth="1"/>
    <col min="10990" max="11236" width="9.28515625" style="4"/>
    <col min="11237" max="11237" width="12.28515625" style="4" customWidth="1"/>
    <col min="11238" max="11238" width="47.42578125" style="4" customWidth="1"/>
    <col min="11239" max="11239" width="21.7109375" style="4" customWidth="1"/>
    <col min="11240" max="11240" width="17.7109375" style="4" customWidth="1"/>
    <col min="11241" max="11242" width="18.28515625" style="4" customWidth="1"/>
    <col min="11243" max="11243" width="19.42578125" style="4" customWidth="1"/>
    <col min="11244" max="11244" width="9.28515625" style="4"/>
    <col min="11245" max="11245" width="17.7109375" style="4" customWidth="1"/>
    <col min="11246" max="11492" width="9.28515625" style="4"/>
    <col min="11493" max="11493" width="12.28515625" style="4" customWidth="1"/>
    <col min="11494" max="11494" width="47.42578125" style="4" customWidth="1"/>
    <col min="11495" max="11495" width="21.7109375" style="4" customWidth="1"/>
    <col min="11496" max="11496" width="17.7109375" style="4" customWidth="1"/>
    <col min="11497" max="11498" width="18.28515625" style="4" customWidth="1"/>
    <col min="11499" max="11499" width="19.42578125" style="4" customWidth="1"/>
    <col min="11500" max="11500" width="9.28515625" style="4"/>
    <col min="11501" max="11501" width="17.7109375" style="4" customWidth="1"/>
    <col min="11502" max="11748" width="9.28515625" style="4"/>
    <col min="11749" max="11749" width="12.28515625" style="4" customWidth="1"/>
    <col min="11750" max="11750" width="47.42578125" style="4" customWidth="1"/>
    <col min="11751" max="11751" width="21.7109375" style="4" customWidth="1"/>
    <col min="11752" max="11752" width="17.7109375" style="4" customWidth="1"/>
    <col min="11753" max="11754" width="18.28515625" style="4" customWidth="1"/>
    <col min="11755" max="11755" width="19.42578125" style="4" customWidth="1"/>
    <col min="11756" max="11756" width="9.28515625" style="4"/>
    <col min="11757" max="11757" width="17.7109375" style="4" customWidth="1"/>
    <col min="11758" max="12004" width="9.28515625" style="4"/>
    <col min="12005" max="12005" width="12.28515625" style="4" customWidth="1"/>
    <col min="12006" max="12006" width="47.42578125" style="4" customWidth="1"/>
    <col min="12007" max="12007" width="21.7109375" style="4" customWidth="1"/>
    <col min="12008" max="12008" width="17.7109375" style="4" customWidth="1"/>
    <col min="12009" max="12010" width="18.28515625" style="4" customWidth="1"/>
    <col min="12011" max="12011" width="19.42578125" style="4" customWidth="1"/>
    <col min="12012" max="12012" width="9.28515625" style="4"/>
    <col min="12013" max="12013" width="17.7109375" style="4" customWidth="1"/>
    <col min="12014" max="12260" width="9.28515625" style="4"/>
    <col min="12261" max="12261" width="12.28515625" style="4" customWidth="1"/>
    <col min="12262" max="12262" width="47.42578125" style="4" customWidth="1"/>
    <col min="12263" max="12263" width="21.7109375" style="4" customWidth="1"/>
    <col min="12264" max="12264" width="17.7109375" style="4" customWidth="1"/>
    <col min="12265" max="12266" width="18.28515625" style="4" customWidth="1"/>
    <col min="12267" max="12267" width="19.42578125" style="4" customWidth="1"/>
    <col min="12268" max="12268" width="9.28515625" style="4"/>
    <col min="12269" max="12269" width="17.7109375" style="4" customWidth="1"/>
    <col min="12270" max="12516" width="9.28515625" style="4"/>
    <col min="12517" max="12517" width="12.28515625" style="4" customWidth="1"/>
    <col min="12518" max="12518" width="47.42578125" style="4" customWidth="1"/>
    <col min="12519" max="12519" width="21.7109375" style="4" customWidth="1"/>
    <col min="12520" max="12520" width="17.7109375" style="4" customWidth="1"/>
    <col min="12521" max="12522" width="18.28515625" style="4" customWidth="1"/>
    <col min="12523" max="12523" width="19.42578125" style="4" customWidth="1"/>
    <col min="12524" max="12524" width="9.28515625" style="4"/>
    <col min="12525" max="12525" width="17.7109375" style="4" customWidth="1"/>
    <col min="12526" max="12772" width="9.28515625" style="4"/>
    <col min="12773" max="12773" width="12.28515625" style="4" customWidth="1"/>
    <col min="12774" max="12774" width="47.42578125" style="4" customWidth="1"/>
    <col min="12775" max="12775" width="21.7109375" style="4" customWidth="1"/>
    <col min="12776" max="12776" width="17.7109375" style="4" customWidth="1"/>
    <col min="12777" max="12778" width="18.28515625" style="4" customWidth="1"/>
    <col min="12779" max="12779" width="19.42578125" style="4" customWidth="1"/>
    <col min="12780" max="12780" width="9.28515625" style="4"/>
    <col min="12781" max="12781" width="17.7109375" style="4" customWidth="1"/>
    <col min="12782" max="13028" width="9.28515625" style="4"/>
    <col min="13029" max="13029" width="12.28515625" style="4" customWidth="1"/>
    <col min="13030" max="13030" width="47.42578125" style="4" customWidth="1"/>
    <col min="13031" max="13031" width="21.7109375" style="4" customWidth="1"/>
    <col min="13032" max="13032" width="17.7109375" style="4" customWidth="1"/>
    <col min="13033" max="13034" width="18.28515625" style="4" customWidth="1"/>
    <col min="13035" max="13035" width="19.42578125" style="4" customWidth="1"/>
    <col min="13036" max="13036" width="9.28515625" style="4"/>
    <col min="13037" max="13037" width="17.7109375" style="4" customWidth="1"/>
    <col min="13038" max="13284" width="9.28515625" style="4"/>
    <col min="13285" max="13285" width="12.28515625" style="4" customWidth="1"/>
    <col min="13286" max="13286" width="47.42578125" style="4" customWidth="1"/>
    <col min="13287" max="13287" width="21.7109375" style="4" customWidth="1"/>
    <col min="13288" max="13288" width="17.7109375" style="4" customWidth="1"/>
    <col min="13289" max="13290" width="18.28515625" style="4" customWidth="1"/>
    <col min="13291" max="13291" width="19.42578125" style="4" customWidth="1"/>
    <col min="13292" max="13292" width="9.28515625" style="4"/>
    <col min="13293" max="13293" width="17.7109375" style="4" customWidth="1"/>
    <col min="13294" max="13540" width="9.28515625" style="4"/>
    <col min="13541" max="13541" width="12.28515625" style="4" customWidth="1"/>
    <col min="13542" max="13542" width="47.42578125" style="4" customWidth="1"/>
    <col min="13543" max="13543" width="21.7109375" style="4" customWidth="1"/>
    <col min="13544" max="13544" width="17.7109375" style="4" customWidth="1"/>
    <col min="13545" max="13546" width="18.28515625" style="4" customWidth="1"/>
    <col min="13547" max="13547" width="19.42578125" style="4" customWidth="1"/>
    <col min="13548" max="13548" width="9.28515625" style="4"/>
    <col min="13549" max="13549" width="17.7109375" style="4" customWidth="1"/>
    <col min="13550" max="13796" width="9.28515625" style="4"/>
    <col min="13797" max="13797" width="12.28515625" style="4" customWidth="1"/>
    <col min="13798" max="13798" width="47.42578125" style="4" customWidth="1"/>
    <col min="13799" max="13799" width="21.7109375" style="4" customWidth="1"/>
    <col min="13800" max="13800" width="17.7109375" style="4" customWidth="1"/>
    <col min="13801" max="13802" width="18.28515625" style="4" customWidth="1"/>
    <col min="13803" max="13803" width="19.42578125" style="4" customWidth="1"/>
    <col min="13804" max="13804" width="9.28515625" style="4"/>
    <col min="13805" max="13805" width="17.7109375" style="4" customWidth="1"/>
    <col min="13806" max="14052" width="9.28515625" style="4"/>
    <col min="14053" max="14053" width="12.28515625" style="4" customWidth="1"/>
    <col min="14054" max="14054" width="47.42578125" style="4" customWidth="1"/>
    <col min="14055" max="14055" width="21.7109375" style="4" customWidth="1"/>
    <col min="14056" max="14056" width="17.7109375" style="4" customWidth="1"/>
    <col min="14057" max="14058" width="18.28515625" style="4" customWidth="1"/>
    <col min="14059" max="14059" width="19.42578125" style="4" customWidth="1"/>
    <col min="14060" max="14060" width="9.28515625" style="4"/>
    <col min="14061" max="14061" width="17.7109375" style="4" customWidth="1"/>
    <col min="14062" max="14308" width="9.28515625" style="4"/>
    <col min="14309" max="14309" width="12.28515625" style="4" customWidth="1"/>
    <col min="14310" max="14310" width="47.42578125" style="4" customWidth="1"/>
    <col min="14311" max="14311" width="21.7109375" style="4" customWidth="1"/>
    <col min="14312" max="14312" width="17.7109375" style="4" customWidth="1"/>
    <col min="14313" max="14314" width="18.28515625" style="4" customWidth="1"/>
    <col min="14315" max="14315" width="19.42578125" style="4" customWidth="1"/>
    <col min="14316" max="14316" width="9.28515625" style="4"/>
    <col min="14317" max="14317" width="17.7109375" style="4" customWidth="1"/>
    <col min="14318" max="14564" width="9.28515625" style="4"/>
    <col min="14565" max="14565" width="12.28515625" style="4" customWidth="1"/>
    <col min="14566" max="14566" width="47.42578125" style="4" customWidth="1"/>
    <col min="14567" max="14567" width="21.7109375" style="4" customWidth="1"/>
    <col min="14568" max="14568" width="17.7109375" style="4" customWidth="1"/>
    <col min="14569" max="14570" width="18.28515625" style="4" customWidth="1"/>
    <col min="14571" max="14571" width="19.42578125" style="4" customWidth="1"/>
    <col min="14572" max="14572" width="9.28515625" style="4"/>
    <col min="14573" max="14573" width="17.7109375" style="4" customWidth="1"/>
    <col min="14574" max="14820" width="9.28515625" style="4"/>
    <col min="14821" max="14821" width="12.28515625" style="4" customWidth="1"/>
    <col min="14822" max="14822" width="47.42578125" style="4" customWidth="1"/>
    <col min="14823" max="14823" width="21.7109375" style="4" customWidth="1"/>
    <col min="14824" max="14824" width="17.7109375" style="4" customWidth="1"/>
    <col min="14825" max="14826" width="18.28515625" style="4" customWidth="1"/>
    <col min="14827" max="14827" width="19.42578125" style="4" customWidth="1"/>
    <col min="14828" max="14828" width="9.28515625" style="4"/>
    <col min="14829" max="14829" width="17.7109375" style="4" customWidth="1"/>
    <col min="14830" max="15076" width="9.28515625" style="4"/>
    <col min="15077" max="15077" width="12.28515625" style="4" customWidth="1"/>
    <col min="15078" max="15078" width="47.42578125" style="4" customWidth="1"/>
    <col min="15079" max="15079" width="21.7109375" style="4" customWidth="1"/>
    <col min="15080" max="15080" width="17.7109375" style="4" customWidth="1"/>
    <col min="15081" max="15082" width="18.28515625" style="4" customWidth="1"/>
    <col min="15083" max="15083" width="19.42578125" style="4" customWidth="1"/>
    <col min="15084" max="15084" width="9.28515625" style="4"/>
    <col min="15085" max="15085" width="17.7109375" style="4" customWidth="1"/>
    <col min="15086" max="15332" width="9.28515625" style="4"/>
    <col min="15333" max="15333" width="12.28515625" style="4" customWidth="1"/>
    <col min="15334" max="15334" width="47.42578125" style="4" customWidth="1"/>
    <col min="15335" max="15335" width="21.7109375" style="4" customWidth="1"/>
    <col min="15336" max="15336" width="17.7109375" style="4" customWidth="1"/>
    <col min="15337" max="15338" width="18.28515625" style="4" customWidth="1"/>
    <col min="15339" max="15339" width="19.42578125" style="4" customWidth="1"/>
    <col min="15340" max="15340" width="9.28515625" style="4"/>
    <col min="15341" max="15341" width="17.7109375" style="4" customWidth="1"/>
    <col min="15342" max="15588" width="9.28515625" style="4"/>
    <col min="15589" max="15589" width="12.28515625" style="4" customWidth="1"/>
    <col min="15590" max="15590" width="47.42578125" style="4" customWidth="1"/>
    <col min="15591" max="15591" width="21.7109375" style="4" customWidth="1"/>
    <col min="15592" max="15592" width="17.7109375" style="4" customWidth="1"/>
    <col min="15593" max="15594" width="18.28515625" style="4" customWidth="1"/>
    <col min="15595" max="15595" width="19.42578125" style="4" customWidth="1"/>
    <col min="15596" max="15596" width="9.28515625" style="4"/>
    <col min="15597" max="15597" width="17.7109375" style="4" customWidth="1"/>
    <col min="15598" max="15844" width="9.28515625" style="4"/>
    <col min="15845" max="15845" width="12.28515625" style="4" customWidth="1"/>
    <col min="15846" max="15846" width="47.42578125" style="4" customWidth="1"/>
    <col min="15847" max="15847" width="21.7109375" style="4" customWidth="1"/>
    <col min="15848" max="15848" width="17.7109375" style="4" customWidth="1"/>
    <col min="15849" max="15850" width="18.28515625" style="4" customWidth="1"/>
    <col min="15851" max="15851" width="19.42578125" style="4" customWidth="1"/>
    <col min="15852" max="15852" width="9.28515625" style="4"/>
    <col min="15853" max="15853" width="17.7109375" style="4" customWidth="1"/>
    <col min="15854" max="16100" width="9.28515625" style="4"/>
    <col min="16101" max="16101" width="12.28515625" style="4" customWidth="1"/>
    <col min="16102" max="16102" width="47.42578125" style="4" customWidth="1"/>
    <col min="16103" max="16103" width="21.7109375" style="4" customWidth="1"/>
    <col min="16104" max="16104" width="17.7109375" style="4" customWidth="1"/>
    <col min="16105" max="16106" width="18.28515625" style="4" customWidth="1"/>
    <col min="16107" max="16107" width="19.42578125" style="4" customWidth="1"/>
    <col min="16108" max="16108" width="9.28515625" style="4"/>
    <col min="16109" max="16109" width="17.7109375" style="4" customWidth="1"/>
    <col min="16110" max="16384" width="9.28515625" style="4"/>
  </cols>
  <sheetData>
    <row r="1" spans="1:13" ht="45" customHeight="1" x14ac:dyDescent="0.35">
      <c r="A1" s="1" t="s">
        <v>99</v>
      </c>
      <c r="B1" s="1"/>
      <c r="D1" s="2" t="s">
        <v>74</v>
      </c>
      <c r="K1" s="3"/>
    </row>
    <row r="2" spans="1:13" s="9" customFormat="1" ht="29.25" x14ac:dyDescent="0.2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/>
      <c r="L2" s="8"/>
    </row>
    <row r="3" spans="1:13" ht="15.75" x14ac:dyDescent="0.25">
      <c r="A3" s="10">
        <v>210001</v>
      </c>
      <c r="B3" s="11" t="s">
        <v>10</v>
      </c>
      <c r="C3" s="12">
        <f>G3-F3</f>
        <v>308881152.30336285</v>
      </c>
      <c r="D3" s="73">
        <v>23647275.906637151</v>
      </c>
      <c r="E3" s="74">
        <v>20387729.49000001</v>
      </c>
      <c r="F3" s="67">
        <f>D3+E3</f>
        <v>44035005.396637157</v>
      </c>
      <c r="G3" s="13">
        <v>352916157.69999999</v>
      </c>
      <c r="H3" s="14">
        <f>D3/G3</f>
        <v>6.7005364845717161E-2</v>
      </c>
      <c r="I3" s="14">
        <f>E3/G3</f>
        <v>5.7769328621476178E-2</v>
      </c>
      <c r="J3" s="55">
        <f>F3/G3</f>
        <v>0.12477469346719332</v>
      </c>
      <c r="K3" s="54"/>
      <c r="L3" s="13"/>
      <c r="M3" s="13"/>
    </row>
    <row r="4" spans="1:13" ht="15.75" x14ac:dyDescent="0.25">
      <c r="A4" s="10">
        <v>210002</v>
      </c>
      <c r="B4" s="11" t="s">
        <v>11</v>
      </c>
      <c r="C4" s="12">
        <f t="shared" ref="C4:C50" si="0">G4-F4</f>
        <v>1607269653.0880258</v>
      </c>
      <c r="D4" s="73">
        <v>99908703.901974097</v>
      </c>
      <c r="E4" s="74">
        <v>32493275.600000005</v>
      </c>
      <c r="F4" s="67">
        <f t="shared" ref="F4:F50" si="1">D4+E4</f>
        <v>132401979.50197411</v>
      </c>
      <c r="G4" s="13">
        <v>1739671632.5899999</v>
      </c>
      <c r="H4" s="14">
        <f t="shared" ref="H4:H52" si="2">D4/G4</f>
        <v>5.7429633288456482E-2</v>
      </c>
      <c r="I4" s="14">
        <f t="shared" ref="I4:I52" si="3">E4/G4</f>
        <v>1.8677821142386766E-2</v>
      </c>
      <c r="J4" s="55">
        <f t="shared" ref="J4:J50" si="4">F4/G4</f>
        <v>7.6107454430843255E-2</v>
      </c>
      <c r="K4" s="54"/>
      <c r="L4" s="13"/>
      <c r="M4" s="13"/>
    </row>
    <row r="5" spans="1:13" ht="15.75" x14ac:dyDescent="0.25">
      <c r="A5" s="10">
        <v>210003</v>
      </c>
      <c r="B5" s="11" t="s">
        <v>12</v>
      </c>
      <c r="C5" s="12">
        <f t="shared" si="0"/>
        <v>254281097.95898598</v>
      </c>
      <c r="D5" s="73">
        <v>24992228.021014009</v>
      </c>
      <c r="E5" s="74">
        <v>17311484.760000017</v>
      </c>
      <c r="F5" s="67">
        <f t="shared" si="1"/>
        <v>42303712.781014025</v>
      </c>
      <c r="G5" s="13">
        <v>296584810.74000001</v>
      </c>
      <c r="H5" s="14">
        <f t="shared" si="2"/>
        <v>8.4266716015080609E-2</v>
      </c>
      <c r="I5" s="14">
        <f t="shared" si="3"/>
        <v>5.83694246404819E-2</v>
      </c>
      <c r="J5" s="55">
        <f t="shared" si="4"/>
        <v>0.14263614065556249</v>
      </c>
      <c r="K5" s="54"/>
      <c r="L5" s="13"/>
      <c r="M5" s="13"/>
    </row>
    <row r="6" spans="1:13" ht="15.75" x14ac:dyDescent="0.25">
      <c r="A6" s="10">
        <v>210004</v>
      </c>
      <c r="B6" s="11" t="s">
        <v>13</v>
      </c>
      <c r="C6" s="12">
        <f t="shared" si="0"/>
        <v>465212113.972031</v>
      </c>
      <c r="D6" s="73">
        <v>35228554.517969005</v>
      </c>
      <c r="E6" s="74">
        <v>17796632.000000026</v>
      </c>
      <c r="F6" s="67">
        <f t="shared" si="1"/>
        <v>53025186.517969027</v>
      </c>
      <c r="G6" s="13">
        <v>518237300.49000001</v>
      </c>
      <c r="H6" s="14">
        <f t="shared" si="2"/>
        <v>6.7977651328184896E-2</v>
      </c>
      <c r="I6" s="14">
        <f t="shared" si="3"/>
        <v>3.4340700646543744E-2</v>
      </c>
      <c r="J6" s="14">
        <f t="shared" si="4"/>
        <v>0.10231835197472863</v>
      </c>
      <c r="K6" s="54"/>
      <c r="L6" s="13"/>
      <c r="M6" s="13"/>
    </row>
    <row r="7" spans="1:13" ht="15.75" x14ac:dyDescent="0.25">
      <c r="A7" s="10">
        <v>210005</v>
      </c>
      <c r="B7" s="11" t="s">
        <v>14</v>
      </c>
      <c r="C7" s="12">
        <f t="shared" si="0"/>
        <v>307691233.23786765</v>
      </c>
      <c r="D7" s="73">
        <v>25191216.752132274</v>
      </c>
      <c r="E7" s="74">
        <v>22285263.850000028</v>
      </c>
      <c r="F7" s="67">
        <f t="shared" si="1"/>
        <v>47476480.602132306</v>
      </c>
      <c r="G7" s="13">
        <v>355167713.83999997</v>
      </c>
      <c r="H7" s="14">
        <f t="shared" si="2"/>
        <v>7.0927665354967209E-2</v>
      </c>
      <c r="I7" s="14">
        <f t="shared" si="3"/>
        <v>6.2745747942729246E-2</v>
      </c>
      <c r="J7" s="14">
        <f t="shared" si="4"/>
        <v>0.13367341329769647</v>
      </c>
      <c r="K7" s="54"/>
      <c r="L7" s="13"/>
      <c r="M7" s="13"/>
    </row>
    <row r="8" spans="1:13" ht="15.75" x14ac:dyDescent="0.25">
      <c r="A8" s="10">
        <v>210006</v>
      </c>
      <c r="B8" s="11" t="s">
        <v>15</v>
      </c>
      <c r="C8" s="12">
        <f t="shared" si="0"/>
        <v>87831949.064370856</v>
      </c>
      <c r="D8" s="73">
        <v>9719117.5756291412</v>
      </c>
      <c r="E8" s="74">
        <v>8185344.4400000041</v>
      </c>
      <c r="F8" s="67">
        <f t="shared" si="1"/>
        <v>17904462.015629146</v>
      </c>
      <c r="G8" s="13">
        <v>105736411.08</v>
      </c>
      <c r="H8" s="14">
        <f t="shared" si="2"/>
        <v>9.1918360726993775E-2</v>
      </c>
      <c r="I8" s="14">
        <f t="shared" si="3"/>
        <v>7.7412731871587606E-2</v>
      </c>
      <c r="J8" s="14">
        <f t="shared" si="4"/>
        <v>0.1693310925985814</v>
      </c>
      <c r="K8" s="54"/>
      <c r="L8" s="13"/>
      <c r="M8" s="13"/>
    </row>
    <row r="9" spans="1:13" ht="15.75" x14ac:dyDescent="0.25">
      <c r="A9" s="10">
        <v>210008</v>
      </c>
      <c r="B9" s="11" t="s">
        <v>16</v>
      </c>
      <c r="C9" s="12">
        <f t="shared" si="0"/>
        <v>498470733.94285715</v>
      </c>
      <c r="D9" s="73">
        <v>25777967.707142834</v>
      </c>
      <c r="E9" s="74">
        <v>12531546.460000005</v>
      </c>
      <c r="F9" s="67">
        <f t="shared" si="1"/>
        <v>38309514.167142838</v>
      </c>
      <c r="G9" s="13">
        <v>536780248.11000001</v>
      </c>
      <c r="H9" s="14">
        <f t="shared" si="2"/>
        <v>4.8023316427731645E-2</v>
      </c>
      <c r="I9" s="14">
        <f t="shared" si="3"/>
        <v>2.3345766734382465E-2</v>
      </c>
      <c r="J9" s="14">
        <f t="shared" si="4"/>
        <v>7.1369083162114114E-2</v>
      </c>
      <c r="K9" s="54"/>
      <c r="L9" s="13"/>
      <c r="M9" s="13"/>
    </row>
    <row r="10" spans="1:13" ht="15.75" x14ac:dyDescent="0.25">
      <c r="A10" s="10">
        <v>210009</v>
      </c>
      <c r="B10" s="11" t="s">
        <v>17</v>
      </c>
      <c r="C10" s="12">
        <f t="shared" si="0"/>
        <v>2262004143.5056839</v>
      </c>
      <c r="D10" s="73">
        <v>147217964.65431583</v>
      </c>
      <c r="E10" s="74">
        <v>50440367.229999989</v>
      </c>
      <c r="F10" s="67">
        <f t="shared" si="1"/>
        <v>197658331.88431582</v>
      </c>
      <c r="G10" s="13">
        <v>2459662475.3899999</v>
      </c>
      <c r="H10" s="14">
        <f t="shared" si="2"/>
        <v>5.9852913205488974E-2</v>
      </c>
      <c r="I10" s="14">
        <f t="shared" si="3"/>
        <v>2.0507027990497865E-2</v>
      </c>
      <c r="J10" s="14">
        <f t="shared" si="4"/>
        <v>8.0359941195986842E-2</v>
      </c>
      <c r="K10" s="54"/>
      <c r="L10" s="13"/>
      <c r="M10" s="13"/>
    </row>
    <row r="11" spans="1:13" ht="15.75" x14ac:dyDescent="0.25">
      <c r="A11" s="10">
        <v>210010</v>
      </c>
      <c r="B11" s="11" t="s">
        <v>18</v>
      </c>
      <c r="C11" s="12">
        <f t="shared" si="0"/>
        <v>43892104.813863635</v>
      </c>
      <c r="D11" s="73">
        <v>3305316.8161363667</v>
      </c>
      <c r="E11" s="74">
        <v>3285890.049999997</v>
      </c>
      <c r="F11" s="67">
        <f t="shared" si="1"/>
        <v>6591206.8661363637</v>
      </c>
      <c r="G11" s="13">
        <v>50483311.68</v>
      </c>
      <c r="H11" s="14">
        <f t="shared" si="2"/>
        <v>6.5473454615811902E-2</v>
      </c>
      <c r="I11" s="14">
        <f t="shared" si="3"/>
        <v>6.5088639010617247E-2</v>
      </c>
      <c r="J11" s="14">
        <f t="shared" si="4"/>
        <v>0.13056209362642915</v>
      </c>
      <c r="K11" s="54"/>
      <c r="L11" s="13"/>
      <c r="M11" s="13"/>
    </row>
    <row r="12" spans="1:13" ht="15.75" x14ac:dyDescent="0.25">
      <c r="A12" s="10">
        <v>210011</v>
      </c>
      <c r="B12" s="11" t="s">
        <v>19</v>
      </c>
      <c r="C12" s="12">
        <f t="shared" si="0"/>
        <v>367637240.80232555</v>
      </c>
      <c r="D12" s="73">
        <v>33168281.417674437</v>
      </c>
      <c r="E12" s="74">
        <v>31528201.910000008</v>
      </c>
      <c r="F12" s="67">
        <f t="shared" si="1"/>
        <v>64696483.327674448</v>
      </c>
      <c r="G12" s="13">
        <v>432333724.13</v>
      </c>
      <c r="H12" s="14">
        <f t="shared" si="2"/>
        <v>7.671916292077402E-2</v>
      </c>
      <c r="I12" s="14">
        <f t="shared" si="3"/>
        <v>7.2925613132413608E-2</v>
      </c>
      <c r="J12" s="14">
        <f t="shared" si="4"/>
        <v>0.14964477605318763</v>
      </c>
      <c r="K12" s="54"/>
      <c r="L12" s="13"/>
      <c r="M12" s="13"/>
    </row>
    <row r="13" spans="1:13" ht="15.75" x14ac:dyDescent="0.25">
      <c r="A13" s="10">
        <v>210012</v>
      </c>
      <c r="B13" s="11" t="s">
        <v>20</v>
      </c>
      <c r="C13" s="12">
        <f t="shared" si="0"/>
        <v>706711954.81804669</v>
      </c>
      <c r="D13" s="73">
        <v>40268105.071953356</v>
      </c>
      <c r="E13" s="74">
        <v>24951935.289999943</v>
      </c>
      <c r="F13" s="67">
        <f t="shared" si="1"/>
        <v>65220040.361953303</v>
      </c>
      <c r="G13" s="13">
        <v>771931995.17999995</v>
      </c>
      <c r="H13" s="14">
        <f t="shared" si="2"/>
        <v>5.2165353066578872E-2</v>
      </c>
      <c r="I13" s="14">
        <f t="shared" si="3"/>
        <v>3.2324007096223059E-2</v>
      </c>
      <c r="J13" s="14">
        <f t="shared" si="4"/>
        <v>8.4489360162801938E-2</v>
      </c>
      <c r="K13" s="54"/>
      <c r="L13" s="13"/>
      <c r="M13" s="13"/>
    </row>
    <row r="14" spans="1:13" ht="15.75" x14ac:dyDescent="0.25">
      <c r="A14" s="10">
        <v>210013</v>
      </c>
      <c r="B14" s="11" t="s">
        <v>21</v>
      </c>
      <c r="C14" s="12">
        <f t="shared" si="0"/>
        <v>94991710.689626172</v>
      </c>
      <c r="D14" s="73">
        <v>13167285.72037383</v>
      </c>
      <c r="E14" s="74">
        <v>6785329.1199999992</v>
      </c>
      <c r="F14" s="67">
        <f t="shared" si="1"/>
        <v>19952614.840373829</v>
      </c>
      <c r="G14" s="13">
        <v>114944325.53</v>
      </c>
      <c r="H14" s="14">
        <f t="shared" si="2"/>
        <v>0.114553595052739</v>
      </c>
      <c r="I14" s="14">
        <f t="shared" si="3"/>
        <v>5.9031440557968703E-2</v>
      </c>
      <c r="J14" s="14">
        <f t="shared" si="4"/>
        <v>0.17358503561070771</v>
      </c>
      <c r="K14" s="54"/>
      <c r="L14" s="13"/>
      <c r="M14" s="13"/>
    </row>
    <row r="15" spans="1:13" ht="15.75" x14ac:dyDescent="0.25">
      <c r="A15" s="10">
        <v>210015</v>
      </c>
      <c r="B15" s="11" t="s">
        <v>22</v>
      </c>
      <c r="C15" s="12">
        <f t="shared" si="0"/>
        <v>470298455.96134681</v>
      </c>
      <c r="D15" s="73">
        <v>45954204.248653069</v>
      </c>
      <c r="E15" s="74">
        <v>35315844.560000099</v>
      </c>
      <c r="F15" s="67">
        <f t="shared" si="1"/>
        <v>81270048.808653176</v>
      </c>
      <c r="G15" s="13">
        <v>551568504.76999998</v>
      </c>
      <c r="H15" s="14">
        <f t="shared" si="2"/>
        <v>8.3315497261424731E-2</v>
      </c>
      <c r="I15" s="14">
        <f t="shared" si="3"/>
        <v>6.4028029618418025E-2</v>
      </c>
      <c r="J15" s="14">
        <f t="shared" si="4"/>
        <v>0.14734352687984276</v>
      </c>
      <c r="K15" s="54"/>
      <c r="L15" s="13"/>
      <c r="M15" s="13"/>
    </row>
    <row r="16" spans="1:13" ht="15.75" x14ac:dyDescent="0.25">
      <c r="A16" s="10">
        <v>210016</v>
      </c>
      <c r="B16" s="11" t="s">
        <v>23</v>
      </c>
      <c r="C16" s="12">
        <f t="shared" si="0"/>
        <v>244362623.96466574</v>
      </c>
      <c r="D16" s="73">
        <v>20353171.66533424</v>
      </c>
      <c r="E16" s="74">
        <v>14514835.329999993</v>
      </c>
      <c r="F16" s="67">
        <f t="shared" si="1"/>
        <v>34868006.99533423</v>
      </c>
      <c r="G16" s="13">
        <v>279230630.95999998</v>
      </c>
      <c r="H16" s="14">
        <f t="shared" si="2"/>
        <v>7.2890182553968619E-2</v>
      </c>
      <c r="I16" s="14">
        <f t="shared" si="3"/>
        <v>5.1981529677090674E-2</v>
      </c>
      <c r="J16" s="14">
        <f t="shared" si="4"/>
        <v>0.12487171223105928</v>
      </c>
      <c r="K16" s="54"/>
      <c r="L16" s="13"/>
      <c r="M16" s="13"/>
    </row>
    <row r="17" spans="1:13" ht="15.75" x14ac:dyDescent="0.25">
      <c r="A17" s="10">
        <v>210017</v>
      </c>
      <c r="B17" s="11" t="s">
        <v>24</v>
      </c>
      <c r="C17" s="12">
        <f t="shared" si="0"/>
        <v>53927185.879589044</v>
      </c>
      <c r="D17" s="73">
        <v>1801123.160410959</v>
      </c>
      <c r="E17" s="74">
        <v>3336763.1600000015</v>
      </c>
      <c r="F17" s="67">
        <f t="shared" si="1"/>
        <v>5137886.3204109604</v>
      </c>
      <c r="G17" s="13">
        <v>59065072.200000003</v>
      </c>
      <c r="H17" s="14">
        <f t="shared" si="2"/>
        <v>3.0493878925808862E-2</v>
      </c>
      <c r="I17" s="14">
        <f t="shared" si="3"/>
        <v>5.6493000612974811E-2</v>
      </c>
      <c r="J17" s="14">
        <f t="shared" si="4"/>
        <v>8.6986879538783674E-2</v>
      </c>
      <c r="K17" s="54"/>
      <c r="L17" s="13"/>
      <c r="M17" s="13"/>
    </row>
    <row r="18" spans="1:13" ht="15.75" x14ac:dyDescent="0.25">
      <c r="A18" s="10">
        <v>210018</v>
      </c>
      <c r="B18" s="11" t="s">
        <v>25</v>
      </c>
      <c r="C18" s="12">
        <f t="shared" si="0"/>
        <v>161135448.78319114</v>
      </c>
      <c r="D18" s="73">
        <v>12655990.136808857</v>
      </c>
      <c r="E18" s="74">
        <v>9398946.1800000053</v>
      </c>
      <c r="F18" s="67">
        <f t="shared" si="1"/>
        <v>22054936.316808864</v>
      </c>
      <c r="G18" s="13">
        <v>183190385.09999999</v>
      </c>
      <c r="H18" s="14">
        <f t="shared" si="2"/>
        <v>6.9086541468321078E-2</v>
      </c>
      <c r="I18" s="14">
        <f t="shared" si="3"/>
        <v>5.1306984124026525E-2</v>
      </c>
      <c r="J18" s="14">
        <f t="shared" si="4"/>
        <v>0.12039352559234762</v>
      </c>
      <c r="K18" s="54"/>
      <c r="L18" s="13"/>
      <c r="M18" s="13"/>
    </row>
    <row r="19" spans="1:13" ht="15.75" x14ac:dyDescent="0.25">
      <c r="A19" s="10">
        <v>210019</v>
      </c>
      <c r="B19" s="11" t="s">
        <v>26</v>
      </c>
      <c r="C19" s="12">
        <f t="shared" si="0"/>
        <v>400927520.01356739</v>
      </c>
      <c r="D19" s="73">
        <v>31436316.406432584</v>
      </c>
      <c r="E19" s="74">
        <v>19185063.210000001</v>
      </c>
      <c r="F19" s="67">
        <f t="shared" si="1"/>
        <v>50621379.616432585</v>
      </c>
      <c r="G19" s="13">
        <v>451548899.63</v>
      </c>
      <c r="H19" s="14">
        <f t="shared" si="2"/>
        <v>6.9618852868851097E-2</v>
      </c>
      <c r="I19" s="14">
        <f t="shared" si="3"/>
        <v>4.2487232779706202E-2</v>
      </c>
      <c r="J19" s="14">
        <f t="shared" si="4"/>
        <v>0.1121060856485573</v>
      </c>
      <c r="K19" s="54"/>
      <c r="L19" s="13"/>
      <c r="M19" s="13"/>
    </row>
    <row r="20" spans="1:13" ht="15.75" x14ac:dyDescent="0.25">
      <c r="A20" s="10">
        <v>210022</v>
      </c>
      <c r="B20" s="11" t="s">
        <v>27</v>
      </c>
      <c r="C20" s="12">
        <f t="shared" si="0"/>
        <v>299574607.93520492</v>
      </c>
      <c r="D20" s="73">
        <v>22549463.754795127</v>
      </c>
      <c r="E20" s="74">
        <v>11463722.779999999</v>
      </c>
      <c r="F20" s="67">
        <f t="shared" si="1"/>
        <v>34013186.534795128</v>
      </c>
      <c r="G20" s="13">
        <v>333587794.47000003</v>
      </c>
      <c r="H20" s="14">
        <f t="shared" si="2"/>
        <v>6.7596788997095716E-2</v>
      </c>
      <c r="I20" s="14">
        <f t="shared" si="3"/>
        <v>3.4364934718949816E-2</v>
      </c>
      <c r="J20" s="14">
        <f t="shared" si="4"/>
        <v>0.10196172371604555</v>
      </c>
      <c r="K20" s="54"/>
      <c r="L20" s="13"/>
      <c r="M20" s="13"/>
    </row>
    <row r="21" spans="1:13" ht="15.75" x14ac:dyDescent="0.25">
      <c r="A21" s="10">
        <v>210023</v>
      </c>
      <c r="B21" s="11" t="s">
        <v>28</v>
      </c>
      <c r="C21" s="12">
        <f t="shared" si="0"/>
        <v>582043689.23115194</v>
      </c>
      <c r="D21" s="73">
        <v>30598320.938848056</v>
      </c>
      <c r="E21" s="74">
        <v>24707301.290000007</v>
      </c>
      <c r="F21" s="67">
        <f t="shared" si="1"/>
        <v>55305622.228848062</v>
      </c>
      <c r="G21" s="13">
        <v>637349311.46000004</v>
      </c>
      <c r="H21" s="14">
        <f t="shared" si="2"/>
        <v>4.8008714199055669E-2</v>
      </c>
      <c r="I21" s="14">
        <f t="shared" si="3"/>
        <v>3.8765714257072093E-2</v>
      </c>
      <c r="J21" s="14">
        <f t="shared" si="4"/>
        <v>8.6774428456127761E-2</v>
      </c>
      <c r="K21" s="54"/>
      <c r="L21" s="13"/>
      <c r="M21" s="13"/>
    </row>
    <row r="22" spans="1:13" ht="15.75" x14ac:dyDescent="0.25">
      <c r="A22" s="10">
        <v>210024</v>
      </c>
      <c r="B22" s="11" t="s">
        <v>29</v>
      </c>
      <c r="C22" s="12">
        <f t="shared" si="0"/>
        <v>377412325.57869565</v>
      </c>
      <c r="D22" s="73">
        <v>33159963.49130429</v>
      </c>
      <c r="E22" s="74">
        <v>22109756.510000039</v>
      </c>
      <c r="F22" s="67">
        <f t="shared" si="1"/>
        <v>55269720.001304328</v>
      </c>
      <c r="G22" s="13">
        <v>432682045.57999998</v>
      </c>
      <c r="H22" s="14">
        <f t="shared" si="2"/>
        <v>7.663817768739202E-2</v>
      </c>
      <c r="I22" s="14">
        <f t="shared" si="3"/>
        <v>5.1099315850655268E-2</v>
      </c>
      <c r="J22" s="14">
        <f t="shared" si="4"/>
        <v>0.12773749353804728</v>
      </c>
      <c r="K22" s="54"/>
      <c r="L22" s="13"/>
      <c r="M22" s="13"/>
    </row>
    <row r="23" spans="1:13" ht="15.75" x14ac:dyDescent="0.25">
      <c r="A23" s="10">
        <v>210027</v>
      </c>
      <c r="B23" s="11" t="s">
        <v>30</v>
      </c>
      <c r="C23" s="12">
        <f t="shared" si="0"/>
        <v>297061299.65036267</v>
      </c>
      <c r="D23" s="73">
        <v>20328160.389637344</v>
      </c>
      <c r="E23" s="74">
        <v>14685509.649999997</v>
      </c>
      <c r="F23" s="67">
        <f t="shared" si="1"/>
        <v>35013670.039637342</v>
      </c>
      <c r="G23" s="13">
        <v>332074969.69</v>
      </c>
      <c r="H23" s="14">
        <f t="shared" si="2"/>
        <v>6.1215575532880942E-2</v>
      </c>
      <c r="I23" s="14">
        <f t="shared" si="3"/>
        <v>4.4223476595388306E-2</v>
      </c>
      <c r="J23" s="14">
        <f t="shared" si="4"/>
        <v>0.10543905212826925</v>
      </c>
      <c r="K23" s="54"/>
      <c r="L23" s="13"/>
      <c r="M23" s="13"/>
    </row>
    <row r="24" spans="1:13" ht="15.75" x14ac:dyDescent="0.25">
      <c r="A24" s="10">
        <v>210028</v>
      </c>
      <c r="B24" s="11" t="s">
        <v>31</v>
      </c>
      <c r="C24" s="12">
        <f t="shared" si="0"/>
        <v>170915200.68724343</v>
      </c>
      <c r="D24" s="73">
        <v>11017491.062756568</v>
      </c>
      <c r="E24" s="74">
        <v>12434119.949999999</v>
      </c>
      <c r="F24" s="67">
        <f t="shared" si="1"/>
        <v>23451611.012756567</v>
      </c>
      <c r="G24" s="13">
        <v>194366811.69999999</v>
      </c>
      <c r="H24" s="14">
        <f t="shared" si="2"/>
        <v>5.668401393423983E-2</v>
      </c>
      <c r="I24" s="14">
        <f t="shared" si="3"/>
        <v>6.3972443861412584E-2</v>
      </c>
      <c r="J24" s="14">
        <f t="shared" si="4"/>
        <v>0.12065645779565241</v>
      </c>
      <c r="K24" s="54"/>
      <c r="L24" s="13"/>
      <c r="M24" s="13"/>
    </row>
    <row r="25" spans="1:13" ht="15.75" x14ac:dyDescent="0.25">
      <c r="A25" s="10">
        <v>210029</v>
      </c>
      <c r="B25" s="11" t="s">
        <v>32</v>
      </c>
      <c r="C25" s="12">
        <f t="shared" si="0"/>
        <v>597296885.45926476</v>
      </c>
      <c r="D25" s="73">
        <v>46571791.720735192</v>
      </c>
      <c r="E25" s="74">
        <v>30751940.610000044</v>
      </c>
      <c r="F25" s="67">
        <f t="shared" si="1"/>
        <v>77323732.330735236</v>
      </c>
      <c r="G25" s="13">
        <v>674620617.78999996</v>
      </c>
      <c r="H25" s="14">
        <f t="shared" si="2"/>
        <v>6.9034047422535702E-2</v>
      </c>
      <c r="I25" s="14">
        <f t="shared" si="3"/>
        <v>4.5584050945167966E-2</v>
      </c>
      <c r="J25" s="14">
        <f t="shared" si="4"/>
        <v>0.11461809836770367</v>
      </c>
      <c r="K25" s="54"/>
      <c r="L25" s="13"/>
      <c r="M25" s="13"/>
    </row>
    <row r="26" spans="1:13" ht="15.75" x14ac:dyDescent="0.25">
      <c r="A26" s="10">
        <v>210030</v>
      </c>
      <c r="B26" s="11" t="s">
        <v>33</v>
      </c>
      <c r="C26" s="12">
        <f t="shared" si="0"/>
        <v>48940287.018064514</v>
      </c>
      <c r="D26" s="73">
        <v>1822939.0019354832</v>
      </c>
      <c r="E26" s="74">
        <v>1684760.6400000006</v>
      </c>
      <c r="F26" s="67">
        <f t="shared" si="1"/>
        <v>3507699.6419354836</v>
      </c>
      <c r="G26" s="13">
        <v>52447986.659999996</v>
      </c>
      <c r="H26" s="14">
        <f t="shared" si="2"/>
        <v>3.4757082550239564E-2</v>
      </c>
      <c r="I26" s="14">
        <f t="shared" si="3"/>
        <v>3.2122503594306719E-2</v>
      </c>
      <c r="J26" s="14">
        <f t="shared" si="4"/>
        <v>6.6879586144546269E-2</v>
      </c>
      <c r="K26" s="54"/>
      <c r="L26" s="13"/>
      <c r="M26" s="13"/>
    </row>
    <row r="27" spans="1:13" ht="15.75" x14ac:dyDescent="0.25">
      <c r="A27" s="10">
        <v>210032</v>
      </c>
      <c r="B27" s="11" t="s">
        <v>34</v>
      </c>
      <c r="C27" s="12">
        <f t="shared" si="0"/>
        <v>144787856.88256705</v>
      </c>
      <c r="D27" s="73">
        <v>9151071.7374329474</v>
      </c>
      <c r="E27" s="74">
        <v>9166498.2999999877</v>
      </c>
      <c r="F27" s="67">
        <f t="shared" si="1"/>
        <v>18317570.037432935</v>
      </c>
      <c r="G27" s="13">
        <v>163105426.91999999</v>
      </c>
      <c r="H27" s="14">
        <f t="shared" si="2"/>
        <v>5.6105256031250071E-2</v>
      </c>
      <c r="I27" s="14">
        <f t="shared" si="3"/>
        <v>5.6199836345702803E-2</v>
      </c>
      <c r="J27" s="14">
        <f t="shared" si="4"/>
        <v>0.11230509237695288</v>
      </c>
      <c r="K27" s="54"/>
      <c r="L27" s="13"/>
      <c r="M27" s="13"/>
    </row>
    <row r="28" spans="1:13" ht="15.75" x14ac:dyDescent="0.25">
      <c r="A28" s="10">
        <v>210033</v>
      </c>
      <c r="B28" s="11" t="s">
        <v>35</v>
      </c>
      <c r="C28" s="12">
        <f t="shared" si="0"/>
        <v>193458127.94401988</v>
      </c>
      <c r="D28" s="73">
        <v>19036024.225980122</v>
      </c>
      <c r="E28" s="74">
        <v>20416100.509999998</v>
      </c>
      <c r="F28" s="67">
        <f t="shared" si="1"/>
        <v>39452124.735980123</v>
      </c>
      <c r="G28" s="13">
        <v>232910252.68000001</v>
      </c>
      <c r="H28" s="14">
        <f t="shared" si="2"/>
        <v>8.1731156129627711E-2</v>
      </c>
      <c r="I28" s="14">
        <f t="shared" si="3"/>
        <v>8.7656512648458126E-2</v>
      </c>
      <c r="J28" s="14">
        <f t="shared" si="4"/>
        <v>0.16938766877808584</v>
      </c>
      <c r="K28" s="54"/>
      <c r="L28" s="13"/>
      <c r="M28" s="13"/>
    </row>
    <row r="29" spans="1:13" ht="15.75" x14ac:dyDescent="0.25">
      <c r="A29" s="10">
        <v>210034</v>
      </c>
      <c r="B29" s="11" t="s">
        <v>36</v>
      </c>
      <c r="C29" s="12">
        <f t="shared" si="0"/>
        <v>161005651.29794118</v>
      </c>
      <c r="D29" s="73">
        <v>16453980.822058797</v>
      </c>
      <c r="E29" s="74">
        <v>13124291.640000012</v>
      </c>
      <c r="F29" s="67">
        <f t="shared" si="1"/>
        <v>29578272.462058809</v>
      </c>
      <c r="G29" s="13">
        <v>190583923.75999999</v>
      </c>
      <c r="H29" s="14">
        <f t="shared" si="2"/>
        <v>8.6334568506308509E-2</v>
      </c>
      <c r="I29" s="14">
        <f t="shared" si="3"/>
        <v>6.8863581885989886E-2</v>
      </c>
      <c r="J29" s="14">
        <f t="shared" si="4"/>
        <v>0.1551981503922984</v>
      </c>
      <c r="K29" s="54"/>
      <c r="L29" s="13"/>
      <c r="M29" s="13"/>
    </row>
    <row r="30" spans="1:13" ht="15.75" x14ac:dyDescent="0.25">
      <c r="A30" s="10">
        <v>210035</v>
      </c>
      <c r="B30" s="11" t="s">
        <v>37</v>
      </c>
      <c r="C30" s="12">
        <f t="shared" si="0"/>
        <v>136458701.45433545</v>
      </c>
      <c r="D30" s="73">
        <v>11289247.235664552</v>
      </c>
      <c r="E30" s="74">
        <v>8208247.6599999992</v>
      </c>
      <c r="F30" s="67">
        <f t="shared" si="1"/>
        <v>19497494.89566455</v>
      </c>
      <c r="G30" s="13">
        <v>155956196.34999999</v>
      </c>
      <c r="H30" s="14">
        <f t="shared" si="2"/>
        <v>7.2387295278278002E-2</v>
      </c>
      <c r="I30" s="14">
        <f t="shared" si="3"/>
        <v>5.263175078711773E-2</v>
      </c>
      <c r="J30" s="14">
        <f t="shared" si="4"/>
        <v>0.12501904606539574</v>
      </c>
      <c r="K30" s="54"/>
      <c r="L30" s="13"/>
      <c r="M30" s="13"/>
    </row>
    <row r="31" spans="1:13" ht="15.75" x14ac:dyDescent="0.25">
      <c r="A31" s="10">
        <v>210037</v>
      </c>
      <c r="B31" s="11" t="s">
        <v>38</v>
      </c>
      <c r="C31" s="12">
        <f t="shared" si="0"/>
        <v>197131601.20694655</v>
      </c>
      <c r="D31" s="73">
        <v>9294556.0430534389</v>
      </c>
      <c r="E31" s="74">
        <v>5866303.2299999911</v>
      </c>
      <c r="F31" s="67">
        <f t="shared" si="1"/>
        <v>15160859.27305343</v>
      </c>
      <c r="G31" s="13">
        <v>212292460.47999999</v>
      </c>
      <c r="H31" s="14">
        <f t="shared" si="2"/>
        <v>4.3781847089803157E-2</v>
      </c>
      <c r="I31" s="14">
        <f t="shared" si="3"/>
        <v>2.763312091600471E-2</v>
      </c>
      <c r="J31" s="14">
        <f t="shared" si="4"/>
        <v>7.1414968005807863E-2</v>
      </c>
      <c r="K31" s="54"/>
      <c r="L31" s="13"/>
      <c r="M31" s="13"/>
    </row>
    <row r="32" spans="1:13" ht="15.75" x14ac:dyDescent="0.25">
      <c r="A32" s="10">
        <v>210038</v>
      </c>
      <c r="B32" s="11" t="s">
        <v>39</v>
      </c>
      <c r="C32" s="12">
        <f t="shared" si="0"/>
        <v>201120193.58575761</v>
      </c>
      <c r="D32" s="73">
        <v>20946230.764242411</v>
      </c>
      <c r="E32" s="74">
        <v>12228058.730000004</v>
      </c>
      <c r="F32" s="67">
        <f t="shared" si="1"/>
        <v>33174289.494242415</v>
      </c>
      <c r="G32" s="13">
        <v>234294483.08000001</v>
      </c>
      <c r="H32" s="14">
        <f t="shared" si="2"/>
        <v>8.9401297413777794E-2</v>
      </c>
      <c r="I32" s="14">
        <f t="shared" si="3"/>
        <v>5.2190980211107768E-2</v>
      </c>
      <c r="J32" s="14">
        <f t="shared" si="4"/>
        <v>0.14159227762488555</v>
      </c>
      <c r="K32" s="54"/>
      <c r="L32" s="13"/>
      <c r="M32" s="13"/>
    </row>
    <row r="33" spans="1:13" ht="15.75" x14ac:dyDescent="0.25">
      <c r="A33" s="10">
        <v>210039</v>
      </c>
      <c r="B33" s="11" t="s">
        <v>40</v>
      </c>
      <c r="C33" s="12">
        <f t="shared" si="0"/>
        <v>126885653.15406653</v>
      </c>
      <c r="D33" s="73">
        <v>8572138.8459334522</v>
      </c>
      <c r="E33" s="74">
        <v>7811569.4500000048</v>
      </c>
      <c r="F33" s="67">
        <f t="shared" si="1"/>
        <v>16383708.295933457</v>
      </c>
      <c r="G33" s="13">
        <v>143269361.44999999</v>
      </c>
      <c r="H33" s="14">
        <f t="shared" si="2"/>
        <v>5.9832323946840994E-2</v>
      </c>
      <c r="I33" s="14">
        <f t="shared" si="3"/>
        <v>5.4523656495294621E-2</v>
      </c>
      <c r="J33" s="14">
        <f t="shared" si="4"/>
        <v>0.11435598044213562</v>
      </c>
      <c r="K33" s="54"/>
      <c r="L33" s="13"/>
      <c r="M33" s="13"/>
    </row>
    <row r="34" spans="1:13" ht="15.75" x14ac:dyDescent="0.25">
      <c r="A34" s="10">
        <v>210040</v>
      </c>
      <c r="B34" s="11" t="s">
        <v>41</v>
      </c>
      <c r="C34" s="12">
        <f t="shared" si="0"/>
        <v>226072026.33601403</v>
      </c>
      <c r="D34" s="73">
        <v>21119261.513985958</v>
      </c>
      <c r="E34" s="74">
        <v>20407793.239999998</v>
      </c>
      <c r="F34" s="67">
        <f t="shared" si="1"/>
        <v>41527054.753985956</v>
      </c>
      <c r="G34" s="13">
        <v>267599081.09</v>
      </c>
      <c r="H34" s="14">
        <f t="shared" si="2"/>
        <v>7.8921278159707287E-2</v>
      </c>
      <c r="I34" s="14">
        <f t="shared" si="3"/>
        <v>7.6262568454547E-2</v>
      </c>
      <c r="J34" s="14">
        <f t="shared" si="4"/>
        <v>0.1551838466142543</v>
      </c>
      <c r="K34" s="54"/>
      <c r="L34" s="13"/>
      <c r="M34" s="13"/>
    </row>
    <row r="35" spans="1:13" ht="15.75" x14ac:dyDescent="0.25">
      <c r="A35" s="10">
        <v>210043</v>
      </c>
      <c r="B35" s="11" t="s">
        <v>42</v>
      </c>
      <c r="C35" s="12">
        <f t="shared" si="0"/>
        <v>369579342.17292506</v>
      </c>
      <c r="D35" s="73">
        <v>36638760.357075013</v>
      </c>
      <c r="E35" s="74">
        <v>23253021.319999944</v>
      </c>
      <c r="F35" s="67">
        <f t="shared" si="1"/>
        <v>59891781.677074954</v>
      </c>
      <c r="G35" s="13">
        <v>429471123.85000002</v>
      </c>
      <c r="H35" s="14">
        <f t="shared" si="2"/>
        <v>8.5311347660877224E-2</v>
      </c>
      <c r="I35" s="14">
        <f t="shared" si="3"/>
        <v>5.4143387130543036E-2</v>
      </c>
      <c r="J35" s="14">
        <f t="shared" si="4"/>
        <v>0.13945473479142026</v>
      </c>
      <c r="K35" s="54"/>
      <c r="L35" s="13"/>
      <c r="M35" s="13"/>
    </row>
    <row r="36" spans="1:13" ht="15.75" x14ac:dyDescent="0.25">
      <c r="A36" s="10">
        <v>210044</v>
      </c>
      <c r="B36" s="11" t="s">
        <v>43</v>
      </c>
      <c r="C36" s="12">
        <f t="shared" si="0"/>
        <v>427201453.23972064</v>
      </c>
      <c r="D36" s="73">
        <v>23985769.950279318</v>
      </c>
      <c r="E36" s="74">
        <v>17077604.080000021</v>
      </c>
      <c r="F36" s="67">
        <f t="shared" si="1"/>
        <v>41063374.030279338</v>
      </c>
      <c r="G36" s="13">
        <v>468264827.26999998</v>
      </c>
      <c r="H36" s="14">
        <f t="shared" si="2"/>
        <v>5.1222659814355864E-2</v>
      </c>
      <c r="I36" s="14">
        <f t="shared" si="3"/>
        <v>3.6469969738199298E-2</v>
      </c>
      <c r="J36" s="14">
        <f t="shared" si="4"/>
        <v>8.7692629552555162E-2</v>
      </c>
      <c r="K36" s="54"/>
      <c r="L36" s="13"/>
      <c r="M36" s="13"/>
    </row>
    <row r="37" spans="1:13" ht="15.75" x14ac:dyDescent="0.25">
      <c r="A37" s="10">
        <v>210045</v>
      </c>
      <c r="B37" s="11" t="s">
        <v>44</v>
      </c>
      <c r="C37" s="12">
        <f t="shared" si="0"/>
        <v>14153588.655454546</v>
      </c>
      <c r="D37" s="73">
        <v>243767.45454545459</v>
      </c>
      <c r="E37" s="74">
        <v>757719.52999999991</v>
      </c>
      <c r="F37" s="67">
        <f t="shared" si="1"/>
        <v>1001486.9845454545</v>
      </c>
      <c r="G37" s="13">
        <v>15155075.640000001</v>
      </c>
      <c r="H37" s="14">
        <f t="shared" si="2"/>
        <v>1.6084872179856345E-2</v>
      </c>
      <c r="I37" s="14">
        <f t="shared" si="3"/>
        <v>4.9997739899106164E-2</v>
      </c>
      <c r="J37" s="14">
        <f t="shared" si="4"/>
        <v>6.6082612078962502E-2</v>
      </c>
      <c r="K37" s="54"/>
      <c r="L37" s="13"/>
      <c r="M37" s="13"/>
    </row>
    <row r="38" spans="1:13" ht="15.75" x14ac:dyDescent="0.25">
      <c r="A38" s="10">
        <v>210048</v>
      </c>
      <c r="B38" s="11" t="s">
        <v>45</v>
      </c>
      <c r="C38" s="12">
        <f t="shared" si="0"/>
        <v>276336746.04424036</v>
      </c>
      <c r="D38" s="73">
        <v>21568990.635759685</v>
      </c>
      <c r="E38" s="74">
        <v>15582245.749999993</v>
      </c>
      <c r="F38" s="67">
        <f t="shared" si="1"/>
        <v>37151236.385759681</v>
      </c>
      <c r="G38" s="13">
        <v>313487982.43000001</v>
      </c>
      <c r="H38" s="14">
        <f t="shared" si="2"/>
        <v>6.8803245561656928E-2</v>
      </c>
      <c r="I38" s="14">
        <f t="shared" si="3"/>
        <v>4.9706038583087996E-2</v>
      </c>
      <c r="J38" s="14">
        <f t="shared" si="4"/>
        <v>0.11850928414474494</v>
      </c>
      <c r="K38" s="54"/>
      <c r="L38" s="13"/>
      <c r="M38" s="13"/>
    </row>
    <row r="39" spans="1:13" ht="15.75" x14ac:dyDescent="0.25">
      <c r="A39" s="10">
        <v>210049</v>
      </c>
      <c r="B39" s="11" t="s">
        <v>46</v>
      </c>
      <c r="C39" s="12">
        <f t="shared" si="0"/>
        <v>283000177.9958477</v>
      </c>
      <c r="D39" s="73">
        <v>22374054.814152338</v>
      </c>
      <c r="E39" s="74">
        <v>19329559.539999966</v>
      </c>
      <c r="F39" s="67">
        <f t="shared" si="1"/>
        <v>41703614.354152307</v>
      </c>
      <c r="G39" s="13">
        <v>324703792.35000002</v>
      </c>
      <c r="H39" s="14">
        <f t="shared" si="2"/>
        <v>6.890604711519728E-2</v>
      </c>
      <c r="I39" s="14">
        <f t="shared" si="3"/>
        <v>5.9529823782176604E-2</v>
      </c>
      <c r="J39" s="14">
        <f t="shared" si="4"/>
        <v>0.1284358708973739</v>
      </c>
      <c r="K39" s="54"/>
      <c r="L39" s="13"/>
      <c r="M39" s="13"/>
    </row>
    <row r="40" spans="1:13" ht="15.75" x14ac:dyDescent="0.25">
      <c r="A40" s="10">
        <v>210051</v>
      </c>
      <c r="B40" s="11" t="s">
        <v>47</v>
      </c>
      <c r="C40" s="12">
        <f t="shared" si="0"/>
        <v>149996676.62588805</v>
      </c>
      <c r="D40" s="73">
        <v>21795715.334111966</v>
      </c>
      <c r="E40" s="74">
        <v>20859002.629999984</v>
      </c>
      <c r="F40" s="67">
        <f t="shared" si="1"/>
        <v>42654717.964111954</v>
      </c>
      <c r="G40" s="13">
        <v>192651394.59</v>
      </c>
      <c r="H40" s="14">
        <f t="shared" si="2"/>
        <v>0.11313551807137201</v>
      </c>
      <c r="I40" s="14">
        <f t="shared" si="3"/>
        <v>0.10827330201471957</v>
      </c>
      <c r="J40" s="14">
        <f t="shared" si="4"/>
        <v>0.22140882008609161</v>
      </c>
      <c r="K40" s="54"/>
      <c r="L40" s="13"/>
      <c r="M40" s="13"/>
    </row>
    <row r="41" spans="1:13" ht="15.75" x14ac:dyDescent="0.25">
      <c r="A41" s="10">
        <v>210055</v>
      </c>
      <c r="B41" s="11" t="s">
        <v>48</v>
      </c>
      <c r="C41" s="12">
        <f t="shared" si="0"/>
        <v>86727534.747114629</v>
      </c>
      <c r="D41" s="73">
        <v>6060831.5628853748</v>
      </c>
      <c r="E41" s="74">
        <v>5573046.7499999981</v>
      </c>
      <c r="F41" s="67">
        <f t="shared" si="1"/>
        <v>11633878.312885374</v>
      </c>
      <c r="G41" s="13">
        <v>98361413.060000002</v>
      </c>
      <c r="H41" s="14">
        <f t="shared" si="2"/>
        <v>6.1617979798524201E-2</v>
      </c>
      <c r="I41" s="14">
        <f t="shared" si="3"/>
        <v>5.6658872383222737E-2</v>
      </c>
      <c r="J41" s="14">
        <f t="shared" si="4"/>
        <v>0.11827685218174695</v>
      </c>
      <c r="K41" s="54"/>
      <c r="L41" s="13"/>
      <c r="M41" s="13"/>
    </row>
    <row r="42" spans="1:13" ht="15.75" x14ac:dyDescent="0.25">
      <c r="A42" s="10">
        <v>210056</v>
      </c>
      <c r="B42" s="11" t="s">
        <v>49</v>
      </c>
      <c r="C42" s="12">
        <f t="shared" si="0"/>
        <v>214765093.47389585</v>
      </c>
      <c r="D42" s="73">
        <v>23923132.236104101</v>
      </c>
      <c r="E42" s="74">
        <v>19722494.160000037</v>
      </c>
      <c r="F42" s="67">
        <f t="shared" si="1"/>
        <v>43645626.396104142</v>
      </c>
      <c r="G42" s="13">
        <v>258410719.87</v>
      </c>
      <c r="H42" s="14">
        <f t="shared" si="2"/>
        <v>9.2577940451306476E-2</v>
      </c>
      <c r="I42" s="14">
        <f t="shared" si="3"/>
        <v>7.6322275522942448E-2</v>
      </c>
      <c r="J42" s="14">
        <f t="shared" si="4"/>
        <v>0.16890021597424892</v>
      </c>
      <c r="K42" s="54"/>
      <c r="L42" s="13"/>
      <c r="M42" s="13"/>
    </row>
    <row r="43" spans="1:13" ht="15.75" x14ac:dyDescent="0.25">
      <c r="A43" s="10">
        <v>210057</v>
      </c>
      <c r="B43" s="11" t="s">
        <v>50</v>
      </c>
      <c r="C43" s="12">
        <f t="shared" si="0"/>
        <v>386180618.8964231</v>
      </c>
      <c r="D43" s="73">
        <v>24351329.303576913</v>
      </c>
      <c r="E43" s="74">
        <v>16745960.549999975</v>
      </c>
      <c r="F43" s="67">
        <f t="shared" si="1"/>
        <v>41097289.853576884</v>
      </c>
      <c r="G43" s="13">
        <v>427277908.75</v>
      </c>
      <c r="H43" s="14">
        <f t="shared" si="2"/>
        <v>5.6991781706703819E-2</v>
      </c>
      <c r="I43" s="14">
        <f t="shared" si="3"/>
        <v>3.919219834929033E-2</v>
      </c>
      <c r="J43" s="14">
        <f t="shared" si="4"/>
        <v>9.6183980055994142E-2</v>
      </c>
      <c r="K43" s="54"/>
      <c r="L43" s="13"/>
      <c r="M43" s="13"/>
    </row>
    <row r="44" spans="1:13" ht="15.75" x14ac:dyDescent="0.25">
      <c r="A44" s="10">
        <v>210058</v>
      </c>
      <c r="B44" s="11" t="s">
        <v>51</v>
      </c>
      <c r="C44" s="12">
        <f t="shared" si="0"/>
        <v>125448599.77</v>
      </c>
      <c r="D44" s="72"/>
      <c r="E44" s="74"/>
      <c r="F44" s="67">
        <f t="shared" si="1"/>
        <v>0</v>
      </c>
      <c r="G44" s="13">
        <v>125448599.77</v>
      </c>
      <c r="H44" s="14">
        <f t="shared" si="2"/>
        <v>0</v>
      </c>
      <c r="I44" s="14">
        <f t="shared" si="3"/>
        <v>0</v>
      </c>
      <c r="J44" s="14">
        <f t="shared" si="4"/>
        <v>0</v>
      </c>
      <c r="K44" s="54"/>
      <c r="L44" s="13"/>
      <c r="M44" s="13"/>
    </row>
    <row r="45" spans="1:13" ht="15.75" x14ac:dyDescent="0.25">
      <c r="A45" s="10">
        <v>210060</v>
      </c>
      <c r="B45" s="11" t="s">
        <v>52</v>
      </c>
      <c r="C45" s="12">
        <f t="shared" si="0"/>
        <v>45470376.787333332</v>
      </c>
      <c r="D45" s="73">
        <v>2596218.4826666662</v>
      </c>
      <c r="E45" s="74">
        <v>5389133.2400000012</v>
      </c>
      <c r="F45" s="67">
        <f t="shared" si="1"/>
        <v>7985351.7226666678</v>
      </c>
      <c r="G45" s="13">
        <v>53455728.509999998</v>
      </c>
      <c r="H45" s="14">
        <f t="shared" si="2"/>
        <v>4.8567638212637772E-2</v>
      </c>
      <c r="I45" s="14">
        <f t="shared" si="3"/>
        <v>0.10081488720131936</v>
      </c>
      <c r="J45" s="14">
        <f t="shared" si="4"/>
        <v>0.14938252541395713</v>
      </c>
      <c r="K45" s="54"/>
      <c r="L45" s="13"/>
      <c r="M45" s="13"/>
    </row>
    <row r="46" spans="1:13" ht="15.75" x14ac:dyDescent="0.25">
      <c r="A46" s="10">
        <v>210061</v>
      </c>
      <c r="B46" s="11" t="s">
        <v>53</v>
      </c>
      <c r="C46" s="12">
        <f t="shared" si="0"/>
        <v>100185723.51449123</v>
      </c>
      <c r="D46" s="73">
        <v>5329514.9955087686</v>
      </c>
      <c r="E46" s="74">
        <v>5425853.7900000019</v>
      </c>
      <c r="F46" s="67">
        <f t="shared" si="1"/>
        <v>10755368.78550877</v>
      </c>
      <c r="G46" s="13">
        <v>110941092.3</v>
      </c>
      <c r="H46" s="14">
        <f t="shared" si="2"/>
        <v>4.8039142981367321E-2</v>
      </c>
      <c r="I46" s="14">
        <f t="shared" si="3"/>
        <v>4.8907520897015742E-2</v>
      </c>
      <c r="J46" s="14">
        <f t="shared" si="4"/>
        <v>9.6946663878383063E-2</v>
      </c>
      <c r="K46" s="54"/>
      <c r="L46" s="13"/>
      <c r="M46" s="13"/>
    </row>
    <row r="47" spans="1:13" ht="15.75" x14ac:dyDescent="0.25">
      <c r="A47" s="10">
        <v>210062</v>
      </c>
      <c r="B47" s="11" t="s">
        <v>54</v>
      </c>
      <c r="C47" s="12">
        <f t="shared" si="0"/>
        <v>226063756.33589023</v>
      </c>
      <c r="D47" s="73">
        <v>19647710.434109744</v>
      </c>
      <c r="E47" s="74">
        <v>19761616.490000002</v>
      </c>
      <c r="F47" s="67">
        <f t="shared" si="1"/>
        <v>39409326.924109742</v>
      </c>
      <c r="G47" s="13">
        <v>265473083.25999999</v>
      </c>
      <c r="H47" s="14">
        <f t="shared" si="2"/>
        <v>7.4010179084209066E-2</v>
      </c>
      <c r="I47" s="14">
        <f t="shared" si="3"/>
        <v>7.4439247276326684E-2</v>
      </c>
      <c r="J47" s="14">
        <f t="shared" si="4"/>
        <v>0.14844942636053574</v>
      </c>
      <c r="K47" s="54"/>
      <c r="L47" s="13"/>
      <c r="M47" s="13"/>
    </row>
    <row r="48" spans="1:13" ht="15.75" x14ac:dyDescent="0.25">
      <c r="A48" s="10">
        <v>210063</v>
      </c>
      <c r="B48" s="11" t="s">
        <v>55</v>
      </c>
      <c r="C48" s="12">
        <f t="shared" si="0"/>
        <v>365227359.2797038</v>
      </c>
      <c r="D48" s="73">
        <v>24501069.890296213</v>
      </c>
      <c r="E48" s="74">
        <v>9348378.9399999958</v>
      </c>
      <c r="F48" s="67">
        <f t="shared" si="1"/>
        <v>33849448.830296211</v>
      </c>
      <c r="G48" s="13">
        <v>399076808.11000001</v>
      </c>
      <c r="H48" s="14">
        <f t="shared" si="2"/>
        <v>6.1394371690832082E-2</v>
      </c>
      <c r="I48" s="14">
        <f t="shared" si="3"/>
        <v>2.3425011802297578E-2</v>
      </c>
      <c r="J48" s="14">
        <f t="shared" si="4"/>
        <v>8.4819383493129674E-2</v>
      </c>
      <c r="K48" s="54"/>
      <c r="L48" s="13"/>
      <c r="M48" s="13"/>
    </row>
    <row r="49" spans="1:13" ht="15.75" x14ac:dyDescent="0.25">
      <c r="A49" s="10">
        <v>210064</v>
      </c>
      <c r="B49" s="11" t="s">
        <v>56</v>
      </c>
      <c r="C49" s="12">
        <f t="shared" si="0"/>
        <v>55787991.278823532</v>
      </c>
      <c r="D49" s="73">
        <v>3934610.0411764705</v>
      </c>
      <c r="E49" s="74"/>
      <c r="F49" s="67">
        <f t="shared" si="1"/>
        <v>3934610.0411764705</v>
      </c>
      <c r="G49" s="13">
        <v>59722601.32</v>
      </c>
      <c r="H49" s="14">
        <f t="shared" si="2"/>
        <v>6.5881424355486704E-2</v>
      </c>
      <c r="I49" s="14">
        <f t="shared" si="3"/>
        <v>0</v>
      </c>
      <c r="J49" s="14">
        <f t="shared" si="4"/>
        <v>6.5881424355486704E-2</v>
      </c>
      <c r="K49" s="54"/>
      <c r="L49" s="13"/>
      <c r="M49" s="13"/>
    </row>
    <row r="50" spans="1:13" ht="15.75" x14ac:dyDescent="0.25">
      <c r="A50" s="10">
        <v>210065</v>
      </c>
      <c r="B50" s="11" t="s">
        <v>57</v>
      </c>
      <c r="C50" s="12">
        <f t="shared" si="0"/>
        <v>89090342.041032016</v>
      </c>
      <c r="D50" s="73">
        <v>6812845.0889679752</v>
      </c>
      <c r="E50" s="74">
        <v>5290460.9300000053</v>
      </c>
      <c r="F50" s="67">
        <f t="shared" si="1"/>
        <v>12103306.018967981</v>
      </c>
      <c r="G50" s="13">
        <v>101193648.06</v>
      </c>
      <c r="H50" s="14">
        <f t="shared" si="2"/>
        <v>6.7324829370006362E-2</v>
      </c>
      <c r="I50" s="14">
        <f t="shared" si="3"/>
        <v>5.2280563369581964E-2</v>
      </c>
      <c r="J50" s="14">
        <f t="shared" si="4"/>
        <v>0.11960539273958833</v>
      </c>
      <c r="K50" s="54"/>
      <c r="L50" s="13"/>
      <c r="M50" s="13"/>
    </row>
    <row r="51" spans="1:13" ht="15.75" x14ac:dyDescent="0.25">
      <c r="A51" s="10"/>
      <c r="B51" s="15"/>
      <c r="C51" s="16"/>
      <c r="E51" s="17"/>
      <c r="F51" s="17"/>
      <c r="G51" s="17"/>
      <c r="H51" s="18"/>
      <c r="I51" s="18"/>
      <c r="J51" s="18"/>
      <c r="K51"/>
      <c r="L51" s="19"/>
    </row>
    <row r="52" spans="1:13" ht="15.75" x14ac:dyDescent="0.25">
      <c r="A52" s="20" t="s">
        <v>58</v>
      </c>
      <c r="B52" s="20"/>
      <c r="C52" s="17">
        <f>G52-F52</f>
        <v>15310905811.079832</v>
      </c>
      <c r="D52" s="17">
        <f>SUM(D3:D50)</f>
        <v>1119467785.8101721</v>
      </c>
      <c r="E52" s="17">
        <f>SUM(E3:E50)</f>
        <v>728916524.52999997</v>
      </c>
      <c r="F52" s="17">
        <f>SUM(F3:F50)</f>
        <v>1848384310.3401718</v>
      </c>
      <c r="G52" s="17">
        <f>SUM(G3:G50)</f>
        <v>17159290121.420004</v>
      </c>
      <c r="H52" s="14">
        <f t="shared" si="2"/>
        <v>6.5239749307154399E-2</v>
      </c>
      <c r="I52" s="14">
        <f t="shared" si="3"/>
        <v>4.247941024204089E-2</v>
      </c>
      <c r="J52" s="14">
        <f>F52/G52</f>
        <v>0.10771915954919528</v>
      </c>
      <c r="K52"/>
    </row>
    <row r="53" spans="1:13" x14ac:dyDescent="0.2">
      <c r="A53" s="10"/>
      <c r="B53" s="10"/>
      <c r="C53" s="21"/>
      <c r="D53" s="21"/>
      <c r="E53" s="21"/>
      <c r="F53" s="21"/>
      <c r="G53" s="53"/>
      <c r="H53" s="22"/>
      <c r="I53" s="22"/>
      <c r="J53" s="22"/>
    </row>
    <row r="54" spans="1:13" x14ac:dyDescent="0.2">
      <c r="A54" s="23"/>
    </row>
    <row r="55" spans="1:13" x14ac:dyDescent="0.2">
      <c r="A55" s="24" t="s">
        <v>100</v>
      </c>
      <c r="C55" s="25"/>
      <c r="D55" s="25">
        <v>1193977560.8199999</v>
      </c>
      <c r="E55" s="25">
        <f>E52</f>
        <v>728916524.52999997</v>
      </c>
      <c r="F55" s="25">
        <f>E55+D55</f>
        <v>1922894085.3499999</v>
      </c>
      <c r="G55" s="25">
        <f>G52</f>
        <v>17159290121.420004</v>
      </c>
      <c r="H55" s="14">
        <f t="shared" ref="H55" si="5">D55/G55</f>
        <v>6.958199041868017E-2</v>
      </c>
      <c r="I55" s="14">
        <f t="shared" ref="I55" si="6">E55/G55</f>
        <v>4.247941024204089E-2</v>
      </c>
      <c r="J55" s="14">
        <f>F55/G55</f>
        <v>0.11206140066072105</v>
      </c>
    </row>
    <row r="56" spans="1:13" ht="15.75" thickBot="1" x14ac:dyDescent="0.25">
      <c r="A56" s="26"/>
    </row>
    <row r="60" spans="1:13" x14ac:dyDescent="0.2">
      <c r="C60" s="27"/>
    </row>
  </sheetData>
  <autoFilter ref="A2:J2">
    <sortState ref="A3:J50">
      <sortCondition ref="A2"/>
    </sortState>
  </autoFilter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21"/>
  <sheetViews>
    <sheetView workbookViewId="0">
      <selection activeCell="C17" sqref="C17"/>
    </sheetView>
  </sheetViews>
  <sheetFormatPr defaultColWidth="8.85546875" defaultRowHeight="15" x14ac:dyDescent="0.25"/>
  <cols>
    <col min="1" max="1" width="45.42578125" style="38" customWidth="1"/>
    <col min="2" max="2" width="19.28515625" style="38" customWidth="1"/>
    <col min="3" max="3" width="35" style="38" customWidth="1"/>
    <col min="4" max="4" width="22.28515625" style="38" bestFit="1" customWidth="1"/>
    <col min="5" max="5" width="15.28515625" style="38" bestFit="1" customWidth="1"/>
    <col min="6" max="16384" width="8.85546875" style="38"/>
  </cols>
  <sheetData>
    <row r="2" spans="1:5" ht="16.5" thickBot="1" x14ac:dyDescent="0.3">
      <c r="A2" s="28" t="s">
        <v>101</v>
      </c>
      <c r="B2" s="29" t="s">
        <v>59</v>
      </c>
      <c r="C2" s="30"/>
    </row>
    <row r="3" spans="1:5" ht="15" customHeight="1" x14ac:dyDescent="0.25">
      <c r="A3" s="42" t="s">
        <v>76</v>
      </c>
      <c r="B3" s="43" t="s">
        <v>60</v>
      </c>
      <c r="C3" s="52">
        <f>'[3]Source Revenue'!$C$52</f>
        <v>16944586254.054193</v>
      </c>
    </row>
    <row r="4" spans="1:5" ht="15" customHeight="1" x14ac:dyDescent="0.25">
      <c r="A4" s="68" t="s">
        <v>77</v>
      </c>
      <c r="B4" s="69" t="s">
        <v>62</v>
      </c>
      <c r="C4" s="70">
        <f>2.77%+0.3%</f>
        <v>3.0699999999999998E-2</v>
      </c>
    </row>
    <row r="5" spans="1:5" ht="15" customHeight="1" x14ac:dyDescent="0.25">
      <c r="A5" s="68" t="s">
        <v>78</v>
      </c>
      <c r="B5" s="69" t="s">
        <v>79</v>
      </c>
      <c r="C5" s="52">
        <f>'Source  PAU%'!F55</f>
        <v>1922894085.3499999</v>
      </c>
    </row>
    <row r="6" spans="1:5" ht="15.75" x14ac:dyDescent="0.25">
      <c r="A6" s="44" t="s">
        <v>81</v>
      </c>
      <c r="B6" s="45" t="s">
        <v>80</v>
      </c>
      <c r="C6" s="76">
        <f>-C4*C5</f>
        <v>-59032848.420244992</v>
      </c>
      <c r="D6" s="39"/>
      <c r="E6" s="31"/>
    </row>
    <row r="7" spans="1:5" ht="15.75" x14ac:dyDescent="0.25">
      <c r="A7" s="44" t="s">
        <v>61</v>
      </c>
      <c r="B7" s="45" t="s">
        <v>82</v>
      </c>
      <c r="C7" s="81">
        <f>C6/C3</f>
        <v>-3.4838766515246531E-3</v>
      </c>
      <c r="D7" s="77"/>
      <c r="E7" s="40"/>
    </row>
    <row r="8" spans="1:5" ht="15.75" x14ac:dyDescent="0.25">
      <c r="A8" s="32"/>
      <c r="B8" s="45"/>
      <c r="C8" s="46"/>
      <c r="D8" s="78"/>
    </row>
    <row r="9" spans="1:5" ht="15.75" x14ac:dyDescent="0.25">
      <c r="A9" s="44" t="s">
        <v>63</v>
      </c>
      <c r="B9" s="45" t="s">
        <v>70</v>
      </c>
      <c r="C9" s="79">
        <f>'Source  PAU%'!J52</f>
        <v>0.10771915954919528</v>
      </c>
    </row>
    <row r="10" spans="1:5" ht="15.75" x14ac:dyDescent="0.25">
      <c r="A10" s="44" t="s">
        <v>65</v>
      </c>
      <c r="B10" s="45" t="s">
        <v>83</v>
      </c>
      <c r="C10" s="47">
        <f>C3*C9</f>
        <v>1825256590.195565</v>
      </c>
      <c r="D10" s="33"/>
    </row>
    <row r="11" spans="1:5" ht="16.5" thickBot="1" x14ac:dyDescent="0.3">
      <c r="A11" s="48" t="s">
        <v>66</v>
      </c>
      <c r="B11" s="49" t="s">
        <v>84</v>
      </c>
      <c r="C11" s="50">
        <f>C6/C10</f>
        <v>-3.2342219026816381E-2</v>
      </c>
      <c r="D11" s="31"/>
    </row>
    <row r="14" spans="1:5" ht="15.75" x14ac:dyDescent="0.25">
      <c r="A14" s="41" t="s">
        <v>164</v>
      </c>
      <c r="B14" s="106" t="s">
        <v>88</v>
      </c>
      <c r="C14" s="107">
        <v>-7188437.0485000014</v>
      </c>
    </row>
    <row r="15" spans="1:5" x14ac:dyDescent="0.25">
      <c r="A15" s="108" t="s">
        <v>102</v>
      </c>
      <c r="B15" s="41" t="s">
        <v>105</v>
      </c>
      <c r="C15" s="109">
        <f>C6-C14</f>
        <v>-51844411.37174499</v>
      </c>
    </row>
    <row r="16" spans="1:5" x14ac:dyDescent="0.25">
      <c r="A16" s="110" t="s">
        <v>103</v>
      </c>
      <c r="B16" s="111" t="s">
        <v>106</v>
      </c>
      <c r="C16" s="112">
        <f>ROUND(C15/C3,3)</f>
        <v>-3.0000000000000001E-3</v>
      </c>
    </row>
    <row r="17" spans="1:4" x14ac:dyDescent="0.25">
      <c r="A17" s="108" t="s">
        <v>107</v>
      </c>
      <c r="B17" s="41" t="s">
        <v>108</v>
      </c>
      <c r="C17" s="71">
        <f>C16*C3</f>
        <v>-50833758.762162581</v>
      </c>
    </row>
    <row r="18" spans="1:4" x14ac:dyDescent="0.25">
      <c r="A18" s="110" t="s">
        <v>104</v>
      </c>
      <c r="B18" s="111" t="s">
        <v>109</v>
      </c>
      <c r="C18" s="112">
        <f>C17/C10</f>
        <v>-2.7850198725602768E-2</v>
      </c>
    </row>
    <row r="21" spans="1:4" ht="15.75" x14ac:dyDescent="0.25">
      <c r="A21" s="51" t="s">
        <v>96</v>
      </c>
      <c r="B21" s="41"/>
      <c r="C21" s="113">
        <f>'PAU Savings'!J53</f>
        <v>-50702796.908260927</v>
      </c>
      <c r="D21" s="7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58"/>
  <sheetViews>
    <sheetView tabSelected="1" zoomScale="80" zoomScaleNormal="80" workbookViewId="0">
      <selection activeCell="C7" sqref="C7"/>
    </sheetView>
  </sheetViews>
  <sheetFormatPr defaultColWidth="9.28515625" defaultRowHeight="14.25" x14ac:dyDescent="0.2"/>
  <cols>
    <col min="1" max="1" width="7.5703125" style="56" customWidth="1"/>
    <col min="2" max="2" width="13.85546875" style="56" customWidth="1"/>
    <col min="3" max="3" width="18.140625" style="56" customWidth="1"/>
    <col min="4" max="4" width="16.5703125" style="56" customWidth="1"/>
    <col min="5" max="5" width="13" style="56" customWidth="1"/>
    <col min="6" max="6" width="13.85546875" style="56" customWidth="1"/>
    <col min="7" max="7" width="14.85546875" style="56" customWidth="1"/>
    <col min="8" max="8" width="10.7109375" style="59" customWidth="1"/>
    <col min="9" max="10" width="12.85546875" style="56" customWidth="1"/>
    <col min="11" max="11" width="25.140625" style="58" bestFit="1" customWidth="1"/>
    <col min="12" max="12" width="25.7109375" style="57" customWidth="1"/>
    <col min="13" max="13" width="13.7109375" style="57" customWidth="1"/>
    <col min="14" max="24" width="9.28515625" style="57"/>
    <col min="25" max="233" width="9.28515625" style="56"/>
    <col min="234" max="234" width="11.7109375" style="56" customWidth="1"/>
    <col min="235" max="235" width="28.28515625" style="56" customWidth="1"/>
    <col min="236" max="236" width="25.7109375" style="56" customWidth="1"/>
    <col min="237" max="237" width="16" style="56" customWidth="1"/>
    <col min="238" max="238" width="16.7109375" style="56" customWidth="1"/>
    <col min="239" max="239" width="13.42578125" style="56" customWidth="1"/>
    <col min="240" max="240" width="14.28515625" style="56" customWidth="1"/>
    <col min="241" max="241" width="18.28515625" style="56" customWidth="1"/>
    <col min="242" max="242" width="17.42578125" style="56" bestFit="1" customWidth="1"/>
    <col min="243" max="243" width="18.28515625" style="56" bestFit="1" customWidth="1"/>
    <col min="244" max="489" width="9.28515625" style="56"/>
    <col min="490" max="490" width="11.7109375" style="56" customWidth="1"/>
    <col min="491" max="491" width="28.28515625" style="56" customWidth="1"/>
    <col min="492" max="492" width="25.7109375" style="56" customWidth="1"/>
    <col min="493" max="493" width="16" style="56" customWidth="1"/>
    <col min="494" max="494" width="16.7109375" style="56" customWidth="1"/>
    <col min="495" max="495" width="13.42578125" style="56" customWidth="1"/>
    <col min="496" max="496" width="14.28515625" style="56" customWidth="1"/>
    <col min="497" max="497" width="18.28515625" style="56" customWidth="1"/>
    <col min="498" max="498" width="17.42578125" style="56" bestFit="1" customWidth="1"/>
    <col min="499" max="499" width="18.28515625" style="56" bestFit="1" customWidth="1"/>
    <col min="500" max="745" width="9.28515625" style="56"/>
    <col min="746" max="746" width="11.7109375" style="56" customWidth="1"/>
    <col min="747" max="747" width="28.28515625" style="56" customWidth="1"/>
    <col min="748" max="748" width="25.7109375" style="56" customWidth="1"/>
    <col min="749" max="749" width="16" style="56" customWidth="1"/>
    <col min="750" max="750" width="16.7109375" style="56" customWidth="1"/>
    <col min="751" max="751" width="13.42578125" style="56" customWidth="1"/>
    <col min="752" max="752" width="14.28515625" style="56" customWidth="1"/>
    <col min="753" max="753" width="18.28515625" style="56" customWidth="1"/>
    <col min="754" max="754" width="17.42578125" style="56" bestFit="1" customWidth="1"/>
    <col min="755" max="755" width="18.28515625" style="56" bestFit="1" customWidth="1"/>
    <col min="756" max="1001" width="9.28515625" style="56"/>
    <col min="1002" max="1002" width="11.7109375" style="56" customWidth="1"/>
    <col min="1003" max="1003" width="28.28515625" style="56" customWidth="1"/>
    <col min="1004" max="1004" width="25.7109375" style="56" customWidth="1"/>
    <col min="1005" max="1005" width="16" style="56" customWidth="1"/>
    <col min="1006" max="1006" width="16.7109375" style="56" customWidth="1"/>
    <col min="1007" max="1007" width="13.42578125" style="56" customWidth="1"/>
    <col min="1008" max="1008" width="14.28515625" style="56" customWidth="1"/>
    <col min="1009" max="1009" width="18.28515625" style="56" customWidth="1"/>
    <col min="1010" max="1010" width="17.42578125" style="56" bestFit="1" customWidth="1"/>
    <col min="1011" max="1011" width="18.28515625" style="56" bestFit="1" customWidth="1"/>
    <col min="1012" max="1257" width="9.28515625" style="56"/>
    <col min="1258" max="1258" width="11.7109375" style="56" customWidth="1"/>
    <col min="1259" max="1259" width="28.28515625" style="56" customWidth="1"/>
    <col min="1260" max="1260" width="25.7109375" style="56" customWidth="1"/>
    <col min="1261" max="1261" width="16" style="56" customWidth="1"/>
    <col min="1262" max="1262" width="16.7109375" style="56" customWidth="1"/>
    <col min="1263" max="1263" width="13.42578125" style="56" customWidth="1"/>
    <col min="1264" max="1264" width="14.28515625" style="56" customWidth="1"/>
    <col min="1265" max="1265" width="18.28515625" style="56" customWidth="1"/>
    <col min="1266" max="1266" width="17.42578125" style="56" bestFit="1" customWidth="1"/>
    <col min="1267" max="1267" width="18.28515625" style="56" bestFit="1" customWidth="1"/>
    <col min="1268" max="1513" width="9.28515625" style="56"/>
    <col min="1514" max="1514" width="11.7109375" style="56" customWidth="1"/>
    <col min="1515" max="1515" width="28.28515625" style="56" customWidth="1"/>
    <col min="1516" max="1516" width="25.7109375" style="56" customWidth="1"/>
    <col min="1517" max="1517" width="16" style="56" customWidth="1"/>
    <col min="1518" max="1518" width="16.7109375" style="56" customWidth="1"/>
    <col min="1519" max="1519" width="13.42578125" style="56" customWidth="1"/>
    <col min="1520" max="1520" width="14.28515625" style="56" customWidth="1"/>
    <col min="1521" max="1521" width="18.28515625" style="56" customWidth="1"/>
    <col min="1522" max="1522" width="17.42578125" style="56" bestFit="1" customWidth="1"/>
    <col min="1523" max="1523" width="18.28515625" style="56" bestFit="1" customWidth="1"/>
    <col min="1524" max="1769" width="9.28515625" style="56"/>
    <col min="1770" max="1770" width="11.7109375" style="56" customWidth="1"/>
    <col min="1771" max="1771" width="28.28515625" style="56" customWidth="1"/>
    <col min="1772" max="1772" width="25.7109375" style="56" customWidth="1"/>
    <col min="1773" max="1773" width="16" style="56" customWidth="1"/>
    <col min="1774" max="1774" width="16.7109375" style="56" customWidth="1"/>
    <col min="1775" max="1775" width="13.42578125" style="56" customWidth="1"/>
    <col min="1776" max="1776" width="14.28515625" style="56" customWidth="1"/>
    <col min="1777" max="1777" width="18.28515625" style="56" customWidth="1"/>
    <col min="1778" max="1778" width="17.42578125" style="56" bestFit="1" customWidth="1"/>
    <col min="1779" max="1779" width="18.28515625" style="56" bestFit="1" customWidth="1"/>
    <col min="1780" max="2025" width="9.28515625" style="56"/>
    <col min="2026" max="2026" width="11.7109375" style="56" customWidth="1"/>
    <col min="2027" max="2027" width="28.28515625" style="56" customWidth="1"/>
    <col min="2028" max="2028" width="25.7109375" style="56" customWidth="1"/>
    <col min="2029" max="2029" width="16" style="56" customWidth="1"/>
    <col min="2030" max="2030" width="16.7109375" style="56" customWidth="1"/>
    <col min="2031" max="2031" width="13.42578125" style="56" customWidth="1"/>
    <col min="2032" max="2032" width="14.28515625" style="56" customWidth="1"/>
    <col min="2033" max="2033" width="18.28515625" style="56" customWidth="1"/>
    <col min="2034" max="2034" width="17.42578125" style="56" bestFit="1" customWidth="1"/>
    <col min="2035" max="2035" width="18.28515625" style="56" bestFit="1" customWidth="1"/>
    <col min="2036" max="2281" width="9.28515625" style="56"/>
    <col min="2282" max="2282" width="11.7109375" style="56" customWidth="1"/>
    <col min="2283" max="2283" width="28.28515625" style="56" customWidth="1"/>
    <col min="2284" max="2284" width="25.7109375" style="56" customWidth="1"/>
    <col min="2285" max="2285" width="16" style="56" customWidth="1"/>
    <col min="2286" max="2286" width="16.7109375" style="56" customWidth="1"/>
    <col min="2287" max="2287" width="13.42578125" style="56" customWidth="1"/>
    <col min="2288" max="2288" width="14.28515625" style="56" customWidth="1"/>
    <col min="2289" max="2289" width="18.28515625" style="56" customWidth="1"/>
    <col min="2290" max="2290" width="17.42578125" style="56" bestFit="1" customWidth="1"/>
    <col min="2291" max="2291" width="18.28515625" style="56" bestFit="1" customWidth="1"/>
    <col min="2292" max="2537" width="9.28515625" style="56"/>
    <col min="2538" max="2538" width="11.7109375" style="56" customWidth="1"/>
    <col min="2539" max="2539" width="28.28515625" style="56" customWidth="1"/>
    <col min="2540" max="2540" width="25.7109375" style="56" customWidth="1"/>
    <col min="2541" max="2541" width="16" style="56" customWidth="1"/>
    <col min="2542" max="2542" width="16.7109375" style="56" customWidth="1"/>
    <col min="2543" max="2543" width="13.42578125" style="56" customWidth="1"/>
    <col min="2544" max="2544" width="14.28515625" style="56" customWidth="1"/>
    <col min="2545" max="2545" width="18.28515625" style="56" customWidth="1"/>
    <col min="2546" max="2546" width="17.42578125" style="56" bestFit="1" customWidth="1"/>
    <col min="2547" max="2547" width="18.28515625" style="56" bestFit="1" customWidth="1"/>
    <col min="2548" max="2793" width="9.28515625" style="56"/>
    <col min="2794" max="2794" width="11.7109375" style="56" customWidth="1"/>
    <col min="2795" max="2795" width="28.28515625" style="56" customWidth="1"/>
    <col min="2796" max="2796" width="25.7109375" style="56" customWidth="1"/>
    <col min="2797" max="2797" width="16" style="56" customWidth="1"/>
    <col min="2798" max="2798" width="16.7109375" style="56" customWidth="1"/>
    <col min="2799" max="2799" width="13.42578125" style="56" customWidth="1"/>
    <col min="2800" max="2800" width="14.28515625" style="56" customWidth="1"/>
    <col min="2801" max="2801" width="18.28515625" style="56" customWidth="1"/>
    <col min="2802" max="2802" width="17.42578125" style="56" bestFit="1" customWidth="1"/>
    <col min="2803" max="2803" width="18.28515625" style="56" bestFit="1" customWidth="1"/>
    <col min="2804" max="3049" width="9.28515625" style="56"/>
    <col min="3050" max="3050" width="11.7109375" style="56" customWidth="1"/>
    <col min="3051" max="3051" width="28.28515625" style="56" customWidth="1"/>
    <col min="3052" max="3052" width="25.7109375" style="56" customWidth="1"/>
    <col min="3053" max="3053" width="16" style="56" customWidth="1"/>
    <col min="3054" max="3054" width="16.7109375" style="56" customWidth="1"/>
    <col min="3055" max="3055" width="13.42578125" style="56" customWidth="1"/>
    <col min="3056" max="3056" width="14.28515625" style="56" customWidth="1"/>
    <col min="3057" max="3057" width="18.28515625" style="56" customWidth="1"/>
    <col min="3058" max="3058" width="17.42578125" style="56" bestFit="1" customWidth="1"/>
    <col min="3059" max="3059" width="18.28515625" style="56" bestFit="1" customWidth="1"/>
    <col min="3060" max="3305" width="9.28515625" style="56"/>
    <col min="3306" max="3306" width="11.7109375" style="56" customWidth="1"/>
    <col min="3307" max="3307" width="28.28515625" style="56" customWidth="1"/>
    <col min="3308" max="3308" width="25.7109375" style="56" customWidth="1"/>
    <col min="3309" max="3309" width="16" style="56" customWidth="1"/>
    <col min="3310" max="3310" width="16.7109375" style="56" customWidth="1"/>
    <col min="3311" max="3311" width="13.42578125" style="56" customWidth="1"/>
    <col min="3312" max="3312" width="14.28515625" style="56" customWidth="1"/>
    <col min="3313" max="3313" width="18.28515625" style="56" customWidth="1"/>
    <col min="3314" max="3314" width="17.42578125" style="56" bestFit="1" customWidth="1"/>
    <col min="3315" max="3315" width="18.28515625" style="56" bestFit="1" customWidth="1"/>
    <col min="3316" max="3561" width="9.28515625" style="56"/>
    <col min="3562" max="3562" width="11.7109375" style="56" customWidth="1"/>
    <col min="3563" max="3563" width="28.28515625" style="56" customWidth="1"/>
    <col min="3564" max="3564" width="25.7109375" style="56" customWidth="1"/>
    <col min="3565" max="3565" width="16" style="56" customWidth="1"/>
    <col min="3566" max="3566" width="16.7109375" style="56" customWidth="1"/>
    <col min="3567" max="3567" width="13.42578125" style="56" customWidth="1"/>
    <col min="3568" max="3568" width="14.28515625" style="56" customWidth="1"/>
    <col min="3569" max="3569" width="18.28515625" style="56" customWidth="1"/>
    <col min="3570" max="3570" width="17.42578125" style="56" bestFit="1" customWidth="1"/>
    <col min="3571" max="3571" width="18.28515625" style="56" bestFit="1" customWidth="1"/>
    <col min="3572" max="3817" width="9.28515625" style="56"/>
    <col min="3818" max="3818" width="11.7109375" style="56" customWidth="1"/>
    <col min="3819" max="3819" width="28.28515625" style="56" customWidth="1"/>
    <col min="3820" max="3820" width="25.7109375" style="56" customWidth="1"/>
    <col min="3821" max="3821" width="16" style="56" customWidth="1"/>
    <col min="3822" max="3822" width="16.7109375" style="56" customWidth="1"/>
    <col min="3823" max="3823" width="13.42578125" style="56" customWidth="1"/>
    <col min="3824" max="3824" width="14.28515625" style="56" customWidth="1"/>
    <col min="3825" max="3825" width="18.28515625" style="56" customWidth="1"/>
    <col min="3826" max="3826" width="17.42578125" style="56" bestFit="1" customWidth="1"/>
    <col min="3827" max="3827" width="18.28515625" style="56" bestFit="1" customWidth="1"/>
    <col min="3828" max="4073" width="9.28515625" style="56"/>
    <col min="4074" max="4074" width="11.7109375" style="56" customWidth="1"/>
    <col min="4075" max="4075" width="28.28515625" style="56" customWidth="1"/>
    <col min="4076" max="4076" width="25.7109375" style="56" customWidth="1"/>
    <col min="4077" max="4077" width="16" style="56" customWidth="1"/>
    <col min="4078" max="4078" width="16.7109375" style="56" customWidth="1"/>
    <col min="4079" max="4079" width="13.42578125" style="56" customWidth="1"/>
    <col min="4080" max="4080" width="14.28515625" style="56" customWidth="1"/>
    <col min="4081" max="4081" width="18.28515625" style="56" customWidth="1"/>
    <col min="4082" max="4082" width="17.42578125" style="56" bestFit="1" customWidth="1"/>
    <col min="4083" max="4083" width="18.28515625" style="56" bestFit="1" customWidth="1"/>
    <col min="4084" max="4329" width="9.28515625" style="56"/>
    <col min="4330" max="4330" width="11.7109375" style="56" customWidth="1"/>
    <col min="4331" max="4331" width="28.28515625" style="56" customWidth="1"/>
    <col min="4332" max="4332" width="25.7109375" style="56" customWidth="1"/>
    <col min="4333" max="4333" width="16" style="56" customWidth="1"/>
    <col min="4334" max="4334" width="16.7109375" style="56" customWidth="1"/>
    <col min="4335" max="4335" width="13.42578125" style="56" customWidth="1"/>
    <col min="4336" max="4336" width="14.28515625" style="56" customWidth="1"/>
    <col min="4337" max="4337" width="18.28515625" style="56" customWidth="1"/>
    <col min="4338" max="4338" width="17.42578125" style="56" bestFit="1" customWidth="1"/>
    <col min="4339" max="4339" width="18.28515625" style="56" bestFit="1" customWidth="1"/>
    <col min="4340" max="4585" width="9.28515625" style="56"/>
    <col min="4586" max="4586" width="11.7109375" style="56" customWidth="1"/>
    <col min="4587" max="4587" width="28.28515625" style="56" customWidth="1"/>
    <col min="4588" max="4588" width="25.7109375" style="56" customWidth="1"/>
    <col min="4589" max="4589" width="16" style="56" customWidth="1"/>
    <col min="4590" max="4590" width="16.7109375" style="56" customWidth="1"/>
    <col min="4591" max="4591" width="13.42578125" style="56" customWidth="1"/>
    <col min="4592" max="4592" width="14.28515625" style="56" customWidth="1"/>
    <col min="4593" max="4593" width="18.28515625" style="56" customWidth="1"/>
    <col min="4594" max="4594" width="17.42578125" style="56" bestFit="1" customWidth="1"/>
    <col min="4595" max="4595" width="18.28515625" style="56" bestFit="1" customWidth="1"/>
    <col min="4596" max="4841" width="9.28515625" style="56"/>
    <col min="4842" max="4842" width="11.7109375" style="56" customWidth="1"/>
    <col min="4843" max="4843" width="28.28515625" style="56" customWidth="1"/>
    <col min="4844" max="4844" width="25.7109375" style="56" customWidth="1"/>
    <col min="4845" max="4845" width="16" style="56" customWidth="1"/>
    <col min="4846" max="4846" width="16.7109375" style="56" customWidth="1"/>
    <col min="4847" max="4847" width="13.42578125" style="56" customWidth="1"/>
    <col min="4848" max="4848" width="14.28515625" style="56" customWidth="1"/>
    <col min="4849" max="4849" width="18.28515625" style="56" customWidth="1"/>
    <col min="4850" max="4850" width="17.42578125" style="56" bestFit="1" customWidth="1"/>
    <col min="4851" max="4851" width="18.28515625" style="56" bestFit="1" customWidth="1"/>
    <col min="4852" max="5097" width="9.28515625" style="56"/>
    <col min="5098" max="5098" width="11.7109375" style="56" customWidth="1"/>
    <col min="5099" max="5099" width="28.28515625" style="56" customWidth="1"/>
    <col min="5100" max="5100" width="25.7109375" style="56" customWidth="1"/>
    <col min="5101" max="5101" width="16" style="56" customWidth="1"/>
    <col min="5102" max="5102" width="16.7109375" style="56" customWidth="1"/>
    <col min="5103" max="5103" width="13.42578125" style="56" customWidth="1"/>
    <col min="5104" max="5104" width="14.28515625" style="56" customWidth="1"/>
    <col min="5105" max="5105" width="18.28515625" style="56" customWidth="1"/>
    <col min="5106" max="5106" width="17.42578125" style="56" bestFit="1" customWidth="1"/>
    <col min="5107" max="5107" width="18.28515625" style="56" bestFit="1" customWidth="1"/>
    <col min="5108" max="5353" width="9.28515625" style="56"/>
    <col min="5354" max="5354" width="11.7109375" style="56" customWidth="1"/>
    <col min="5355" max="5355" width="28.28515625" style="56" customWidth="1"/>
    <col min="5356" max="5356" width="25.7109375" style="56" customWidth="1"/>
    <col min="5357" max="5357" width="16" style="56" customWidth="1"/>
    <col min="5358" max="5358" width="16.7109375" style="56" customWidth="1"/>
    <col min="5359" max="5359" width="13.42578125" style="56" customWidth="1"/>
    <col min="5360" max="5360" width="14.28515625" style="56" customWidth="1"/>
    <col min="5361" max="5361" width="18.28515625" style="56" customWidth="1"/>
    <col min="5362" max="5362" width="17.42578125" style="56" bestFit="1" customWidth="1"/>
    <col min="5363" max="5363" width="18.28515625" style="56" bestFit="1" customWidth="1"/>
    <col min="5364" max="5609" width="9.28515625" style="56"/>
    <col min="5610" max="5610" width="11.7109375" style="56" customWidth="1"/>
    <col min="5611" max="5611" width="28.28515625" style="56" customWidth="1"/>
    <col min="5612" max="5612" width="25.7109375" style="56" customWidth="1"/>
    <col min="5613" max="5613" width="16" style="56" customWidth="1"/>
    <col min="5614" max="5614" width="16.7109375" style="56" customWidth="1"/>
    <col min="5615" max="5615" width="13.42578125" style="56" customWidth="1"/>
    <col min="5616" max="5616" width="14.28515625" style="56" customWidth="1"/>
    <col min="5617" max="5617" width="18.28515625" style="56" customWidth="1"/>
    <col min="5618" max="5618" width="17.42578125" style="56" bestFit="1" customWidth="1"/>
    <col min="5619" max="5619" width="18.28515625" style="56" bestFit="1" customWidth="1"/>
    <col min="5620" max="5865" width="9.28515625" style="56"/>
    <col min="5866" max="5866" width="11.7109375" style="56" customWidth="1"/>
    <col min="5867" max="5867" width="28.28515625" style="56" customWidth="1"/>
    <col min="5868" max="5868" width="25.7109375" style="56" customWidth="1"/>
    <col min="5869" max="5869" width="16" style="56" customWidth="1"/>
    <col min="5870" max="5870" width="16.7109375" style="56" customWidth="1"/>
    <col min="5871" max="5871" width="13.42578125" style="56" customWidth="1"/>
    <col min="5872" max="5872" width="14.28515625" style="56" customWidth="1"/>
    <col min="5873" max="5873" width="18.28515625" style="56" customWidth="1"/>
    <col min="5874" max="5874" width="17.42578125" style="56" bestFit="1" customWidth="1"/>
    <col min="5875" max="5875" width="18.28515625" style="56" bestFit="1" customWidth="1"/>
    <col min="5876" max="6121" width="9.28515625" style="56"/>
    <col min="6122" max="6122" width="11.7109375" style="56" customWidth="1"/>
    <col min="6123" max="6123" width="28.28515625" style="56" customWidth="1"/>
    <col min="6124" max="6124" width="25.7109375" style="56" customWidth="1"/>
    <col min="6125" max="6125" width="16" style="56" customWidth="1"/>
    <col min="6126" max="6126" width="16.7109375" style="56" customWidth="1"/>
    <col min="6127" max="6127" width="13.42578125" style="56" customWidth="1"/>
    <col min="6128" max="6128" width="14.28515625" style="56" customWidth="1"/>
    <col min="6129" max="6129" width="18.28515625" style="56" customWidth="1"/>
    <col min="6130" max="6130" width="17.42578125" style="56" bestFit="1" customWidth="1"/>
    <col min="6131" max="6131" width="18.28515625" style="56" bestFit="1" customWidth="1"/>
    <col min="6132" max="6377" width="9.28515625" style="56"/>
    <col min="6378" max="6378" width="11.7109375" style="56" customWidth="1"/>
    <col min="6379" max="6379" width="28.28515625" style="56" customWidth="1"/>
    <col min="6380" max="6380" width="25.7109375" style="56" customWidth="1"/>
    <col min="6381" max="6381" width="16" style="56" customWidth="1"/>
    <col min="6382" max="6382" width="16.7109375" style="56" customWidth="1"/>
    <col min="6383" max="6383" width="13.42578125" style="56" customWidth="1"/>
    <col min="6384" max="6384" width="14.28515625" style="56" customWidth="1"/>
    <col min="6385" max="6385" width="18.28515625" style="56" customWidth="1"/>
    <col min="6386" max="6386" width="17.42578125" style="56" bestFit="1" customWidth="1"/>
    <col min="6387" max="6387" width="18.28515625" style="56" bestFit="1" customWidth="1"/>
    <col min="6388" max="6633" width="9.28515625" style="56"/>
    <col min="6634" max="6634" width="11.7109375" style="56" customWidth="1"/>
    <col min="6635" max="6635" width="28.28515625" style="56" customWidth="1"/>
    <col min="6636" max="6636" width="25.7109375" style="56" customWidth="1"/>
    <col min="6637" max="6637" width="16" style="56" customWidth="1"/>
    <col min="6638" max="6638" width="16.7109375" style="56" customWidth="1"/>
    <col min="6639" max="6639" width="13.42578125" style="56" customWidth="1"/>
    <col min="6640" max="6640" width="14.28515625" style="56" customWidth="1"/>
    <col min="6641" max="6641" width="18.28515625" style="56" customWidth="1"/>
    <col min="6642" max="6642" width="17.42578125" style="56" bestFit="1" customWidth="1"/>
    <col min="6643" max="6643" width="18.28515625" style="56" bestFit="1" customWidth="1"/>
    <col min="6644" max="6889" width="9.28515625" style="56"/>
    <col min="6890" max="6890" width="11.7109375" style="56" customWidth="1"/>
    <col min="6891" max="6891" width="28.28515625" style="56" customWidth="1"/>
    <col min="6892" max="6892" width="25.7109375" style="56" customWidth="1"/>
    <col min="6893" max="6893" width="16" style="56" customWidth="1"/>
    <col min="6894" max="6894" width="16.7109375" style="56" customWidth="1"/>
    <col min="6895" max="6895" width="13.42578125" style="56" customWidth="1"/>
    <col min="6896" max="6896" width="14.28515625" style="56" customWidth="1"/>
    <col min="6897" max="6897" width="18.28515625" style="56" customWidth="1"/>
    <col min="6898" max="6898" width="17.42578125" style="56" bestFit="1" customWidth="1"/>
    <col min="6899" max="6899" width="18.28515625" style="56" bestFit="1" customWidth="1"/>
    <col min="6900" max="7145" width="9.28515625" style="56"/>
    <col min="7146" max="7146" width="11.7109375" style="56" customWidth="1"/>
    <col min="7147" max="7147" width="28.28515625" style="56" customWidth="1"/>
    <col min="7148" max="7148" width="25.7109375" style="56" customWidth="1"/>
    <col min="7149" max="7149" width="16" style="56" customWidth="1"/>
    <col min="7150" max="7150" width="16.7109375" style="56" customWidth="1"/>
    <col min="7151" max="7151" width="13.42578125" style="56" customWidth="1"/>
    <col min="7152" max="7152" width="14.28515625" style="56" customWidth="1"/>
    <col min="7153" max="7153" width="18.28515625" style="56" customWidth="1"/>
    <col min="7154" max="7154" width="17.42578125" style="56" bestFit="1" customWidth="1"/>
    <col min="7155" max="7155" width="18.28515625" style="56" bestFit="1" customWidth="1"/>
    <col min="7156" max="7401" width="9.28515625" style="56"/>
    <col min="7402" max="7402" width="11.7109375" style="56" customWidth="1"/>
    <col min="7403" max="7403" width="28.28515625" style="56" customWidth="1"/>
    <col min="7404" max="7404" width="25.7109375" style="56" customWidth="1"/>
    <col min="7405" max="7405" width="16" style="56" customWidth="1"/>
    <col min="7406" max="7406" width="16.7109375" style="56" customWidth="1"/>
    <col min="7407" max="7407" width="13.42578125" style="56" customWidth="1"/>
    <col min="7408" max="7408" width="14.28515625" style="56" customWidth="1"/>
    <col min="7409" max="7409" width="18.28515625" style="56" customWidth="1"/>
    <col min="7410" max="7410" width="17.42578125" style="56" bestFit="1" customWidth="1"/>
    <col min="7411" max="7411" width="18.28515625" style="56" bestFit="1" customWidth="1"/>
    <col min="7412" max="7657" width="9.28515625" style="56"/>
    <col min="7658" max="7658" width="11.7109375" style="56" customWidth="1"/>
    <col min="7659" max="7659" width="28.28515625" style="56" customWidth="1"/>
    <col min="7660" max="7660" width="25.7109375" style="56" customWidth="1"/>
    <col min="7661" max="7661" width="16" style="56" customWidth="1"/>
    <col min="7662" max="7662" width="16.7109375" style="56" customWidth="1"/>
    <col min="7663" max="7663" width="13.42578125" style="56" customWidth="1"/>
    <col min="7664" max="7664" width="14.28515625" style="56" customWidth="1"/>
    <col min="7665" max="7665" width="18.28515625" style="56" customWidth="1"/>
    <col min="7666" max="7666" width="17.42578125" style="56" bestFit="1" customWidth="1"/>
    <col min="7667" max="7667" width="18.28515625" style="56" bestFit="1" customWidth="1"/>
    <col min="7668" max="7913" width="9.28515625" style="56"/>
    <col min="7914" max="7914" width="11.7109375" style="56" customWidth="1"/>
    <col min="7915" max="7915" width="28.28515625" style="56" customWidth="1"/>
    <col min="7916" max="7916" width="25.7109375" style="56" customWidth="1"/>
    <col min="7917" max="7917" width="16" style="56" customWidth="1"/>
    <col min="7918" max="7918" width="16.7109375" style="56" customWidth="1"/>
    <col min="7919" max="7919" width="13.42578125" style="56" customWidth="1"/>
    <col min="7920" max="7920" width="14.28515625" style="56" customWidth="1"/>
    <col min="7921" max="7921" width="18.28515625" style="56" customWidth="1"/>
    <col min="7922" max="7922" width="17.42578125" style="56" bestFit="1" customWidth="1"/>
    <col min="7923" max="7923" width="18.28515625" style="56" bestFit="1" customWidth="1"/>
    <col min="7924" max="8169" width="9.28515625" style="56"/>
    <col min="8170" max="8170" width="11.7109375" style="56" customWidth="1"/>
    <col min="8171" max="8171" width="28.28515625" style="56" customWidth="1"/>
    <col min="8172" max="8172" width="25.7109375" style="56" customWidth="1"/>
    <col min="8173" max="8173" width="16" style="56" customWidth="1"/>
    <col min="8174" max="8174" width="16.7109375" style="56" customWidth="1"/>
    <col min="8175" max="8175" width="13.42578125" style="56" customWidth="1"/>
    <col min="8176" max="8176" width="14.28515625" style="56" customWidth="1"/>
    <col min="8177" max="8177" width="18.28515625" style="56" customWidth="1"/>
    <col min="8178" max="8178" width="17.42578125" style="56" bestFit="1" customWidth="1"/>
    <col min="8179" max="8179" width="18.28515625" style="56" bestFit="1" customWidth="1"/>
    <col min="8180" max="8425" width="9.28515625" style="56"/>
    <col min="8426" max="8426" width="11.7109375" style="56" customWidth="1"/>
    <col min="8427" max="8427" width="28.28515625" style="56" customWidth="1"/>
    <col min="8428" max="8428" width="25.7109375" style="56" customWidth="1"/>
    <col min="8429" max="8429" width="16" style="56" customWidth="1"/>
    <col min="8430" max="8430" width="16.7109375" style="56" customWidth="1"/>
    <col min="8431" max="8431" width="13.42578125" style="56" customWidth="1"/>
    <col min="8432" max="8432" width="14.28515625" style="56" customWidth="1"/>
    <col min="8433" max="8433" width="18.28515625" style="56" customWidth="1"/>
    <col min="8434" max="8434" width="17.42578125" style="56" bestFit="1" customWidth="1"/>
    <col min="8435" max="8435" width="18.28515625" style="56" bestFit="1" customWidth="1"/>
    <col min="8436" max="8681" width="9.28515625" style="56"/>
    <col min="8682" max="8682" width="11.7109375" style="56" customWidth="1"/>
    <col min="8683" max="8683" width="28.28515625" style="56" customWidth="1"/>
    <col min="8684" max="8684" width="25.7109375" style="56" customWidth="1"/>
    <col min="8685" max="8685" width="16" style="56" customWidth="1"/>
    <col min="8686" max="8686" width="16.7109375" style="56" customWidth="1"/>
    <col min="8687" max="8687" width="13.42578125" style="56" customWidth="1"/>
    <col min="8688" max="8688" width="14.28515625" style="56" customWidth="1"/>
    <col min="8689" max="8689" width="18.28515625" style="56" customWidth="1"/>
    <col min="8690" max="8690" width="17.42578125" style="56" bestFit="1" customWidth="1"/>
    <col min="8691" max="8691" width="18.28515625" style="56" bestFit="1" customWidth="1"/>
    <col min="8692" max="8937" width="9.28515625" style="56"/>
    <col min="8938" max="8938" width="11.7109375" style="56" customWidth="1"/>
    <col min="8939" max="8939" width="28.28515625" style="56" customWidth="1"/>
    <col min="8940" max="8940" width="25.7109375" style="56" customWidth="1"/>
    <col min="8941" max="8941" width="16" style="56" customWidth="1"/>
    <col min="8942" max="8942" width="16.7109375" style="56" customWidth="1"/>
    <col min="8943" max="8943" width="13.42578125" style="56" customWidth="1"/>
    <col min="8944" max="8944" width="14.28515625" style="56" customWidth="1"/>
    <col min="8945" max="8945" width="18.28515625" style="56" customWidth="1"/>
    <col min="8946" max="8946" width="17.42578125" style="56" bestFit="1" customWidth="1"/>
    <col min="8947" max="8947" width="18.28515625" style="56" bestFit="1" customWidth="1"/>
    <col min="8948" max="9193" width="9.28515625" style="56"/>
    <col min="9194" max="9194" width="11.7109375" style="56" customWidth="1"/>
    <col min="9195" max="9195" width="28.28515625" style="56" customWidth="1"/>
    <col min="9196" max="9196" width="25.7109375" style="56" customWidth="1"/>
    <col min="9197" max="9197" width="16" style="56" customWidth="1"/>
    <col min="9198" max="9198" width="16.7109375" style="56" customWidth="1"/>
    <col min="9199" max="9199" width="13.42578125" style="56" customWidth="1"/>
    <col min="9200" max="9200" width="14.28515625" style="56" customWidth="1"/>
    <col min="9201" max="9201" width="18.28515625" style="56" customWidth="1"/>
    <col min="9202" max="9202" width="17.42578125" style="56" bestFit="1" customWidth="1"/>
    <col min="9203" max="9203" width="18.28515625" style="56" bestFit="1" customWidth="1"/>
    <col min="9204" max="9449" width="9.28515625" style="56"/>
    <col min="9450" max="9450" width="11.7109375" style="56" customWidth="1"/>
    <col min="9451" max="9451" width="28.28515625" style="56" customWidth="1"/>
    <col min="9452" max="9452" width="25.7109375" style="56" customWidth="1"/>
    <col min="9453" max="9453" width="16" style="56" customWidth="1"/>
    <col min="9454" max="9454" width="16.7109375" style="56" customWidth="1"/>
    <col min="9455" max="9455" width="13.42578125" style="56" customWidth="1"/>
    <col min="9456" max="9456" width="14.28515625" style="56" customWidth="1"/>
    <col min="9457" max="9457" width="18.28515625" style="56" customWidth="1"/>
    <col min="9458" max="9458" width="17.42578125" style="56" bestFit="1" customWidth="1"/>
    <col min="9459" max="9459" width="18.28515625" style="56" bestFit="1" customWidth="1"/>
    <col min="9460" max="9705" width="9.28515625" style="56"/>
    <col min="9706" max="9706" width="11.7109375" style="56" customWidth="1"/>
    <col min="9707" max="9707" width="28.28515625" style="56" customWidth="1"/>
    <col min="9708" max="9708" width="25.7109375" style="56" customWidth="1"/>
    <col min="9709" max="9709" width="16" style="56" customWidth="1"/>
    <col min="9710" max="9710" width="16.7109375" style="56" customWidth="1"/>
    <col min="9711" max="9711" width="13.42578125" style="56" customWidth="1"/>
    <col min="9712" max="9712" width="14.28515625" style="56" customWidth="1"/>
    <col min="9713" max="9713" width="18.28515625" style="56" customWidth="1"/>
    <col min="9714" max="9714" width="17.42578125" style="56" bestFit="1" customWidth="1"/>
    <col min="9715" max="9715" width="18.28515625" style="56" bestFit="1" customWidth="1"/>
    <col min="9716" max="9961" width="9.28515625" style="56"/>
    <col min="9962" max="9962" width="11.7109375" style="56" customWidth="1"/>
    <col min="9963" max="9963" width="28.28515625" style="56" customWidth="1"/>
    <col min="9964" max="9964" width="25.7109375" style="56" customWidth="1"/>
    <col min="9965" max="9965" width="16" style="56" customWidth="1"/>
    <col min="9966" max="9966" width="16.7109375" style="56" customWidth="1"/>
    <col min="9967" max="9967" width="13.42578125" style="56" customWidth="1"/>
    <col min="9968" max="9968" width="14.28515625" style="56" customWidth="1"/>
    <col min="9969" max="9969" width="18.28515625" style="56" customWidth="1"/>
    <col min="9970" max="9970" width="17.42578125" style="56" bestFit="1" customWidth="1"/>
    <col min="9971" max="9971" width="18.28515625" style="56" bestFit="1" customWidth="1"/>
    <col min="9972" max="10217" width="9.28515625" style="56"/>
    <col min="10218" max="10218" width="11.7109375" style="56" customWidth="1"/>
    <col min="10219" max="10219" width="28.28515625" style="56" customWidth="1"/>
    <col min="10220" max="10220" width="25.7109375" style="56" customWidth="1"/>
    <col min="10221" max="10221" width="16" style="56" customWidth="1"/>
    <col min="10222" max="10222" width="16.7109375" style="56" customWidth="1"/>
    <col min="10223" max="10223" width="13.42578125" style="56" customWidth="1"/>
    <col min="10224" max="10224" width="14.28515625" style="56" customWidth="1"/>
    <col min="10225" max="10225" width="18.28515625" style="56" customWidth="1"/>
    <col min="10226" max="10226" width="17.42578125" style="56" bestFit="1" customWidth="1"/>
    <col min="10227" max="10227" width="18.28515625" style="56" bestFit="1" customWidth="1"/>
    <col min="10228" max="10473" width="9.28515625" style="56"/>
    <col min="10474" max="10474" width="11.7109375" style="56" customWidth="1"/>
    <col min="10475" max="10475" width="28.28515625" style="56" customWidth="1"/>
    <col min="10476" max="10476" width="25.7109375" style="56" customWidth="1"/>
    <col min="10477" max="10477" width="16" style="56" customWidth="1"/>
    <col min="10478" max="10478" width="16.7109375" style="56" customWidth="1"/>
    <col min="10479" max="10479" width="13.42578125" style="56" customWidth="1"/>
    <col min="10480" max="10480" width="14.28515625" style="56" customWidth="1"/>
    <col min="10481" max="10481" width="18.28515625" style="56" customWidth="1"/>
    <col min="10482" max="10482" width="17.42578125" style="56" bestFit="1" customWidth="1"/>
    <col min="10483" max="10483" width="18.28515625" style="56" bestFit="1" customWidth="1"/>
    <col min="10484" max="10729" width="9.28515625" style="56"/>
    <col min="10730" max="10730" width="11.7109375" style="56" customWidth="1"/>
    <col min="10731" max="10731" width="28.28515625" style="56" customWidth="1"/>
    <col min="10732" max="10732" width="25.7109375" style="56" customWidth="1"/>
    <col min="10733" max="10733" width="16" style="56" customWidth="1"/>
    <col min="10734" max="10734" width="16.7109375" style="56" customWidth="1"/>
    <col min="10735" max="10735" width="13.42578125" style="56" customWidth="1"/>
    <col min="10736" max="10736" width="14.28515625" style="56" customWidth="1"/>
    <col min="10737" max="10737" width="18.28515625" style="56" customWidth="1"/>
    <col min="10738" max="10738" width="17.42578125" style="56" bestFit="1" customWidth="1"/>
    <col min="10739" max="10739" width="18.28515625" style="56" bestFit="1" customWidth="1"/>
    <col min="10740" max="10985" width="9.28515625" style="56"/>
    <col min="10986" max="10986" width="11.7109375" style="56" customWidth="1"/>
    <col min="10987" max="10987" width="28.28515625" style="56" customWidth="1"/>
    <col min="10988" max="10988" width="25.7109375" style="56" customWidth="1"/>
    <col min="10989" max="10989" width="16" style="56" customWidth="1"/>
    <col min="10990" max="10990" width="16.7109375" style="56" customWidth="1"/>
    <col min="10991" max="10991" width="13.42578125" style="56" customWidth="1"/>
    <col min="10992" max="10992" width="14.28515625" style="56" customWidth="1"/>
    <col min="10993" max="10993" width="18.28515625" style="56" customWidth="1"/>
    <col min="10994" max="10994" width="17.42578125" style="56" bestFit="1" customWidth="1"/>
    <col min="10995" max="10995" width="18.28515625" style="56" bestFit="1" customWidth="1"/>
    <col min="10996" max="11241" width="9.28515625" style="56"/>
    <col min="11242" max="11242" width="11.7109375" style="56" customWidth="1"/>
    <col min="11243" max="11243" width="28.28515625" style="56" customWidth="1"/>
    <col min="11244" max="11244" width="25.7109375" style="56" customWidth="1"/>
    <col min="11245" max="11245" width="16" style="56" customWidth="1"/>
    <col min="11246" max="11246" width="16.7109375" style="56" customWidth="1"/>
    <col min="11247" max="11247" width="13.42578125" style="56" customWidth="1"/>
    <col min="11248" max="11248" width="14.28515625" style="56" customWidth="1"/>
    <col min="11249" max="11249" width="18.28515625" style="56" customWidth="1"/>
    <col min="11250" max="11250" width="17.42578125" style="56" bestFit="1" customWidth="1"/>
    <col min="11251" max="11251" width="18.28515625" style="56" bestFit="1" customWidth="1"/>
    <col min="11252" max="11497" width="9.28515625" style="56"/>
    <col min="11498" max="11498" width="11.7109375" style="56" customWidth="1"/>
    <col min="11499" max="11499" width="28.28515625" style="56" customWidth="1"/>
    <col min="11500" max="11500" width="25.7109375" style="56" customWidth="1"/>
    <col min="11501" max="11501" width="16" style="56" customWidth="1"/>
    <col min="11502" max="11502" width="16.7109375" style="56" customWidth="1"/>
    <col min="11503" max="11503" width="13.42578125" style="56" customWidth="1"/>
    <col min="11504" max="11504" width="14.28515625" style="56" customWidth="1"/>
    <col min="11505" max="11505" width="18.28515625" style="56" customWidth="1"/>
    <col min="11506" max="11506" width="17.42578125" style="56" bestFit="1" customWidth="1"/>
    <col min="11507" max="11507" width="18.28515625" style="56" bestFit="1" customWidth="1"/>
    <col min="11508" max="11753" width="9.28515625" style="56"/>
    <col min="11754" max="11754" width="11.7109375" style="56" customWidth="1"/>
    <col min="11755" max="11755" width="28.28515625" style="56" customWidth="1"/>
    <col min="11756" max="11756" width="25.7109375" style="56" customWidth="1"/>
    <col min="11757" max="11757" width="16" style="56" customWidth="1"/>
    <col min="11758" max="11758" width="16.7109375" style="56" customWidth="1"/>
    <col min="11759" max="11759" width="13.42578125" style="56" customWidth="1"/>
    <col min="11760" max="11760" width="14.28515625" style="56" customWidth="1"/>
    <col min="11761" max="11761" width="18.28515625" style="56" customWidth="1"/>
    <col min="11762" max="11762" width="17.42578125" style="56" bestFit="1" customWidth="1"/>
    <col min="11763" max="11763" width="18.28515625" style="56" bestFit="1" customWidth="1"/>
    <col min="11764" max="12009" width="9.28515625" style="56"/>
    <col min="12010" max="12010" width="11.7109375" style="56" customWidth="1"/>
    <col min="12011" max="12011" width="28.28515625" style="56" customWidth="1"/>
    <col min="12012" max="12012" width="25.7109375" style="56" customWidth="1"/>
    <col min="12013" max="12013" width="16" style="56" customWidth="1"/>
    <col min="12014" max="12014" width="16.7109375" style="56" customWidth="1"/>
    <col min="12015" max="12015" width="13.42578125" style="56" customWidth="1"/>
    <col min="12016" max="12016" width="14.28515625" style="56" customWidth="1"/>
    <col min="12017" max="12017" width="18.28515625" style="56" customWidth="1"/>
    <col min="12018" max="12018" width="17.42578125" style="56" bestFit="1" customWidth="1"/>
    <col min="12019" max="12019" width="18.28515625" style="56" bestFit="1" customWidth="1"/>
    <col min="12020" max="12265" width="9.28515625" style="56"/>
    <col min="12266" max="12266" width="11.7109375" style="56" customWidth="1"/>
    <col min="12267" max="12267" width="28.28515625" style="56" customWidth="1"/>
    <col min="12268" max="12268" width="25.7109375" style="56" customWidth="1"/>
    <col min="12269" max="12269" width="16" style="56" customWidth="1"/>
    <col min="12270" max="12270" width="16.7109375" style="56" customWidth="1"/>
    <col min="12271" max="12271" width="13.42578125" style="56" customWidth="1"/>
    <col min="12272" max="12272" width="14.28515625" style="56" customWidth="1"/>
    <col min="12273" max="12273" width="18.28515625" style="56" customWidth="1"/>
    <col min="12274" max="12274" width="17.42578125" style="56" bestFit="1" customWidth="1"/>
    <col min="12275" max="12275" width="18.28515625" style="56" bestFit="1" customWidth="1"/>
    <col min="12276" max="12521" width="9.28515625" style="56"/>
    <col min="12522" max="12522" width="11.7109375" style="56" customWidth="1"/>
    <col min="12523" max="12523" width="28.28515625" style="56" customWidth="1"/>
    <col min="12524" max="12524" width="25.7109375" style="56" customWidth="1"/>
    <col min="12525" max="12525" width="16" style="56" customWidth="1"/>
    <col min="12526" max="12526" width="16.7109375" style="56" customWidth="1"/>
    <col min="12527" max="12527" width="13.42578125" style="56" customWidth="1"/>
    <col min="12528" max="12528" width="14.28515625" style="56" customWidth="1"/>
    <col min="12529" max="12529" width="18.28515625" style="56" customWidth="1"/>
    <col min="12530" max="12530" width="17.42578125" style="56" bestFit="1" customWidth="1"/>
    <col min="12531" max="12531" width="18.28515625" style="56" bestFit="1" customWidth="1"/>
    <col min="12532" max="12777" width="9.28515625" style="56"/>
    <col min="12778" max="12778" width="11.7109375" style="56" customWidth="1"/>
    <col min="12779" max="12779" width="28.28515625" style="56" customWidth="1"/>
    <col min="12780" max="12780" width="25.7109375" style="56" customWidth="1"/>
    <col min="12781" max="12781" width="16" style="56" customWidth="1"/>
    <col min="12782" max="12782" width="16.7109375" style="56" customWidth="1"/>
    <col min="12783" max="12783" width="13.42578125" style="56" customWidth="1"/>
    <col min="12784" max="12784" width="14.28515625" style="56" customWidth="1"/>
    <col min="12785" max="12785" width="18.28515625" style="56" customWidth="1"/>
    <col min="12786" max="12786" width="17.42578125" style="56" bestFit="1" customWidth="1"/>
    <col min="12787" max="12787" width="18.28515625" style="56" bestFit="1" customWidth="1"/>
    <col min="12788" max="13033" width="9.28515625" style="56"/>
    <col min="13034" max="13034" width="11.7109375" style="56" customWidth="1"/>
    <col min="13035" max="13035" width="28.28515625" style="56" customWidth="1"/>
    <col min="13036" max="13036" width="25.7109375" style="56" customWidth="1"/>
    <col min="13037" max="13037" width="16" style="56" customWidth="1"/>
    <col min="13038" max="13038" width="16.7109375" style="56" customWidth="1"/>
    <col min="13039" max="13039" width="13.42578125" style="56" customWidth="1"/>
    <col min="13040" max="13040" width="14.28515625" style="56" customWidth="1"/>
    <col min="13041" max="13041" width="18.28515625" style="56" customWidth="1"/>
    <col min="13042" max="13042" width="17.42578125" style="56" bestFit="1" customWidth="1"/>
    <col min="13043" max="13043" width="18.28515625" style="56" bestFit="1" customWidth="1"/>
    <col min="13044" max="13289" width="9.28515625" style="56"/>
    <col min="13290" max="13290" width="11.7109375" style="56" customWidth="1"/>
    <col min="13291" max="13291" width="28.28515625" style="56" customWidth="1"/>
    <col min="13292" max="13292" width="25.7109375" style="56" customWidth="1"/>
    <col min="13293" max="13293" width="16" style="56" customWidth="1"/>
    <col min="13294" max="13294" width="16.7109375" style="56" customWidth="1"/>
    <col min="13295" max="13295" width="13.42578125" style="56" customWidth="1"/>
    <col min="13296" max="13296" width="14.28515625" style="56" customWidth="1"/>
    <col min="13297" max="13297" width="18.28515625" style="56" customWidth="1"/>
    <col min="13298" max="13298" width="17.42578125" style="56" bestFit="1" customWidth="1"/>
    <col min="13299" max="13299" width="18.28515625" style="56" bestFit="1" customWidth="1"/>
    <col min="13300" max="13545" width="9.28515625" style="56"/>
    <col min="13546" max="13546" width="11.7109375" style="56" customWidth="1"/>
    <col min="13547" max="13547" width="28.28515625" style="56" customWidth="1"/>
    <col min="13548" max="13548" width="25.7109375" style="56" customWidth="1"/>
    <col min="13549" max="13549" width="16" style="56" customWidth="1"/>
    <col min="13550" max="13550" width="16.7109375" style="56" customWidth="1"/>
    <col min="13551" max="13551" width="13.42578125" style="56" customWidth="1"/>
    <col min="13552" max="13552" width="14.28515625" style="56" customWidth="1"/>
    <col min="13553" max="13553" width="18.28515625" style="56" customWidth="1"/>
    <col min="13554" max="13554" width="17.42578125" style="56" bestFit="1" customWidth="1"/>
    <col min="13555" max="13555" width="18.28515625" style="56" bestFit="1" customWidth="1"/>
    <col min="13556" max="13801" width="9.28515625" style="56"/>
    <col min="13802" max="13802" width="11.7109375" style="56" customWidth="1"/>
    <col min="13803" max="13803" width="28.28515625" style="56" customWidth="1"/>
    <col min="13804" max="13804" width="25.7109375" style="56" customWidth="1"/>
    <col min="13805" max="13805" width="16" style="56" customWidth="1"/>
    <col min="13806" max="13806" width="16.7109375" style="56" customWidth="1"/>
    <col min="13807" max="13807" width="13.42578125" style="56" customWidth="1"/>
    <col min="13808" max="13808" width="14.28515625" style="56" customWidth="1"/>
    <col min="13809" max="13809" width="18.28515625" style="56" customWidth="1"/>
    <col min="13810" max="13810" width="17.42578125" style="56" bestFit="1" customWidth="1"/>
    <col min="13811" max="13811" width="18.28515625" style="56" bestFit="1" customWidth="1"/>
    <col min="13812" max="14057" width="9.28515625" style="56"/>
    <col min="14058" max="14058" width="11.7109375" style="56" customWidth="1"/>
    <col min="14059" max="14059" width="28.28515625" style="56" customWidth="1"/>
    <col min="14060" max="14060" width="25.7109375" style="56" customWidth="1"/>
    <col min="14061" max="14061" width="16" style="56" customWidth="1"/>
    <col min="14062" max="14062" width="16.7109375" style="56" customWidth="1"/>
    <col min="14063" max="14063" width="13.42578125" style="56" customWidth="1"/>
    <col min="14064" max="14064" width="14.28515625" style="56" customWidth="1"/>
    <col min="14065" max="14065" width="18.28515625" style="56" customWidth="1"/>
    <col min="14066" max="14066" width="17.42578125" style="56" bestFit="1" customWidth="1"/>
    <col min="14067" max="14067" width="18.28515625" style="56" bestFit="1" customWidth="1"/>
    <col min="14068" max="14313" width="9.28515625" style="56"/>
    <col min="14314" max="14314" width="11.7109375" style="56" customWidth="1"/>
    <col min="14315" max="14315" width="28.28515625" style="56" customWidth="1"/>
    <col min="14316" max="14316" width="25.7109375" style="56" customWidth="1"/>
    <col min="14317" max="14317" width="16" style="56" customWidth="1"/>
    <col min="14318" max="14318" width="16.7109375" style="56" customWidth="1"/>
    <col min="14319" max="14319" width="13.42578125" style="56" customWidth="1"/>
    <col min="14320" max="14320" width="14.28515625" style="56" customWidth="1"/>
    <col min="14321" max="14321" width="18.28515625" style="56" customWidth="1"/>
    <col min="14322" max="14322" width="17.42578125" style="56" bestFit="1" customWidth="1"/>
    <col min="14323" max="14323" width="18.28515625" style="56" bestFit="1" customWidth="1"/>
    <col min="14324" max="14569" width="9.28515625" style="56"/>
    <col min="14570" max="14570" width="11.7109375" style="56" customWidth="1"/>
    <col min="14571" max="14571" width="28.28515625" style="56" customWidth="1"/>
    <col min="14572" max="14572" width="25.7109375" style="56" customWidth="1"/>
    <col min="14573" max="14573" width="16" style="56" customWidth="1"/>
    <col min="14574" max="14574" width="16.7109375" style="56" customWidth="1"/>
    <col min="14575" max="14575" width="13.42578125" style="56" customWidth="1"/>
    <col min="14576" max="14576" width="14.28515625" style="56" customWidth="1"/>
    <col min="14577" max="14577" width="18.28515625" style="56" customWidth="1"/>
    <col min="14578" max="14578" width="17.42578125" style="56" bestFit="1" customWidth="1"/>
    <col min="14579" max="14579" width="18.28515625" style="56" bestFit="1" customWidth="1"/>
    <col min="14580" max="14825" width="9.28515625" style="56"/>
    <col min="14826" max="14826" width="11.7109375" style="56" customWidth="1"/>
    <col min="14827" max="14827" width="28.28515625" style="56" customWidth="1"/>
    <col min="14828" max="14828" width="25.7109375" style="56" customWidth="1"/>
    <col min="14829" max="14829" width="16" style="56" customWidth="1"/>
    <col min="14830" max="14830" width="16.7109375" style="56" customWidth="1"/>
    <col min="14831" max="14831" width="13.42578125" style="56" customWidth="1"/>
    <col min="14832" max="14832" width="14.28515625" style="56" customWidth="1"/>
    <col min="14833" max="14833" width="18.28515625" style="56" customWidth="1"/>
    <col min="14834" max="14834" width="17.42578125" style="56" bestFit="1" customWidth="1"/>
    <col min="14835" max="14835" width="18.28515625" style="56" bestFit="1" customWidth="1"/>
    <col min="14836" max="15081" width="9.28515625" style="56"/>
    <col min="15082" max="15082" width="11.7109375" style="56" customWidth="1"/>
    <col min="15083" max="15083" width="28.28515625" style="56" customWidth="1"/>
    <col min="15084" max="15084" width="25.7109375" style="56" customWidth="1"/>
    <col min="15085" max="15085" width="16" style="56" customWidth="1"/>
    <col min="15086" max="15086" width="16.7109375" style="56" customWidth="1"/>
    <col min="15087" max="15087" width="13.42578125" style="56" customWidth="1"/>
    <col min="15088" max="15088" width="14.28515625" style="56" customWidth="1"/>
    <col min="15089" max="15089" width="18.28515625" style="56" customWidth="1"/>
    <col min="15090" max="15090" width="17.42578125" style="56" bestFit="1" customWidth="1"/>
    <col min="15091" max="15091" width="18.28515625" style="56" bestFit="1" customWidth="1"/>
    <col min="15092" max="15337" width="9.28515625" style="56"/>
    <col min="15338" max="15338" width="11.7109375" style="56" customWidth="1"/>
    <col min="15339" max="15339" width="28.28515625" style="56" customWidth="1"/>
    <col min="15340" max="15340" width="25.7109375" style="56" customWidth="1"/>
    <col min="15341" max="15341" width="16" style="56" customWidth="1"/>
    <col min="15342" max="15342" width="16.7109375" style="56" customWidth="1"/>
    <col min="15343" max="15343" width="13.42578125" style="56" customWidth="1"/>
    <col min="15344" max="15344" width="14.28515625" style="56" customWidth="1"/>
    <col min="15345" max="15345" width="18.28515625" style="56" customWidth="1"/>
    <col min="15346" max="15346" width="17.42578125" style="56" bestFit="1" customWidth="1"/>
    <col min="15347" max="15347" width="18.28515625" style="56" bestFit="1" customWidth="1"/>
    <col min="15348" max="15593" width="9.28515625" style="56"/>
    <col min="15594" max="15594" width="11.7109375" style="56" customWidth="1"/>
    <col min="15595" max="15595" width="28.28515625" style="56" customWidth="1"/>
    <col min="15596" max="15596" width="25.7109375" style="56" customWidth="1"/>
    <col min="15597" max="15597" width="16" style="56" customWidth="1"/>
    <col min="15598" max="15598" width="16.7109375" style="56" customWidth="1"/>
    <col min="15599" max="15599" width="13.42578125" style="56" customWidth="1"/>
    <col min="15600" max="15600" width="14.28515625" style="56" customWidth="1"/>
    <col min="15601" max="15601" width="18.28515625" style="56" customWidth="1"/>
    <col min="15602" max="15602" width="17.42578125" style="56" bestFit="1" customWidth="1"/>
    <col min="15603" max="15603" width="18.28515625" style="56" bestFit="1" customWidth="1"/>
    <col min="15604" max="15849" width="9.28515625" style="56"/>
    <col min="15850" max="15850" width="11.7109375" style="56" customWidth="1"/>
    <col min="15851" max="15851" width="28.28515625" style="56" customWidth="1"/>
    <col min="15852" max="15852" width="25.7109375" style="56" customWidth="1"/>
    <col min="15853" max="15853" width="16" style="56" customWidth="1"/>
    <col min="15854" max="15854" width="16.7109375" style="56" customWidth="1"/>
    <col min="15855" max="15855" width="13.42578125" style="56" customWidth="1"/>
    <col min="15856" max="15856" width="14.28515625" style="56" customWidth="1"/>
    <col min="15857" max="15857" width="18.28515625" style="56" customWidth="1"/>
    <col min="15858" max="15858" width="17.42578125" style="56" bestFit="1" customWidth="1"/>
    <col min="15859" max="15859" width="18.28515625" style="56" bestFit="1" customWidth="1"/>
    <col min="15860" max="16105" width="9.28515625" style="56"/>
    <col min="16106" max="16106" width="11.7109375" style="56" customWidth="1"/>
    <col min="16107" max="16107" width="28.28515625" style="56" customWidth="1"/>
    <col min="16108" max="16108" width="25.7109375" style="56" customWidth="1"/>
    <col min="16109" max="16109" width="16" style="56" customWidth="1"/>
    <col min="16110" max="16110" width="16.7109375" style="56" customWidth="1"/>
    <col min="16111" max="16111" width="13.42578125" style="56" customWidth="1"/>
    <col min="16112" max="16112" width="14.28515625" style="56" customWidth="1"/>
    <col min="16113" max="16113" width="18.28515625" style="56" customWidth="1"/>
    <col min="16114" max="16114" width="17.42578125" style="56" bestFit="1" customWidth="1"/>
    <col min="16115" max="16115" width="18.28515625" style="56" bestFit="1" customWidth="1"/>
    <col min="16116" max="16384" width="9.28515625" style="56"/>
  </cols>
  <sheetData>
    <row r="1" spans="1:24" ht="18.75" customHeight="1" x14ac:dyDescent="0.2">
      <c r="A1" s="64" t="s">
        <v>162</v>
      </c>
      <c r="B1" s="60"/>
      <c r="C1" s="60"/>
      <c r="D1" s="60"/>
      <c r="E1" s="60"/>
      <c r="F1" s="60"/>
      <c r="G1" s="60"/>
      <c r="H1" s="60"/>
      <c r="I1" s="60"/>
      <c r="J1" s="60"/>
      <c r="L1" s="57" t="s">
        <v>94</v>
      </c>
      <c r="M1" s="57" t="s">
        <v>75</v>
      </c>
    </row>
    <row r="2" spans="1:24" s="34" customFormat="1" ht="76.5" customHeight="1" x14ac:dyDescent="0.2">
      <c r="A2" s="99" t="s">
        <v>67</v>
      </c>
      <c r="B2" s="99" t="s">
        <v>68</v>
      </c>
      <c r="C2" s="99" t="s">
        <v>85</v>
      </c>
      <c r="D2" s="99" t="s">
        <v>89</v>
      </c>
      <c r="E2" s="99" t="s">
        <v>98</v>
      </c>
      <c r="F2" s="99" t="s">
        <v>86</v>
      </c>
      <c r="G2" s="99" t="s">
        <v>158</v>
      </c>
      <c r="H2" s="99" t="s">
        <v>110</v>
      </c>
      <c r="I2" s="99" t="s">
        <v>93</v>
      </c>
      <c r="J2" s="99" t="s">
        <v>92</v>
      </c>
      <c r="K2" s="36"/>
      <c r="L2" s="35" t="s">
        <v>163</v>
      </c>
      <c r="M2" s="35" t="s">
        <v>97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s="36" customFormat="1" ht="24" x14ac:dyDescent="0.2">
      <c r="A3" s="100" t="s">
        <v>60</v>
      </c>
      <c r="B3" s="100" t="s">
        <v>62</v>
      </c>
      <c r="C3" s="101" t="s">
        <v>79</v>
      </c>
      <c r="D3" s="101" t="s">
        <v>64</v>
      </c>
      <c r="E3" s="101" t="s">
        <v>69</v>
      </c>
      <c r="F3" s="101" t="s">
        <v>90</v>
      </c>
      <c r="G3" s="101" t="s">
        <v>87</v>
      </c>
      <c r="H3" s="101" t="s">
        <v>91</v>
      </c>
      <c r="I3" s="102" t="s">
        <v>161</v>
      </c>
      <c r="J3" s="101" t="s">
        <v>112</v>
      </c>
      <c r="L3" s="36" t="s">
        <v>165</v>
      </c>
      <c r="M3" s="114">
        <v>43636</v>
      </c>
    </row>
    <row r="4" spans="1:24" ht="15.75" customHeight="1" x14ac:dyDescent="0.2">
      <c r="A4" s="85">
        <v>210001</v>
      </c>
      <c r="B4" s="85" t="s">
        <v>113</v>
      </c>
      <c r="C4" s="86">
        <v>362368543.1874333</v>
      </c>
      <c r="D4" s="86">
        <f>VLOOKUP(A4,'Source  PAU%'!A:D,4,FALSE)</f>
        <v>23647275.906637151</v>
      </c>
      <c r="E4" s="86">
        <f>VLOOKUP(A4,'Source  PAU%'!A:E,5,FALSE)</f>
        <v>20387729.49000001</v>
      </c>
      <c r="F4" s="86">
        <f>D4+E4</f>
        <v>44035005.396637157</v>
      </c>
      <c r="G4" s="86">
        <f>VLOOKUP(A4,'Source  PAU%'!A:G,7,FALSE)</f>
        <v>352916157.69999999</v>
      </c>
      <c r="H4" s="87">
        <f>F4/G4</f>
        <v>0.12477469346719332</v>
      </c>
      <c r="I4" s="88">
        <f>ROUND(H4*Savings!$C$18,4)</f>
        <v>-3.5000000000000001E-3</v>
      </c>
      <c r="J4" s="103">
        <f>ROUND(I4*C4,0)</f>
        <v>-1268290</v>
      </c>
      <c r="K4" s="84"/>
    </row>
    <row r="5" spans="1:24" ht="15.75" customHeight="1" x14ac:dyDescent="0.2">
      <c r="A5" s="89">
        <v>210002</v>
      </c>
      <c r="B5" s="89" t="s">
        <v>72</v>
      </c>
      <c r="C5" s="86">
        <v>1728168161.0448518</v>
      </c>
      <c r="D5" s="86">
        <f>VLOOKUP(A5,'Source  PAU%'!A:D,4,FALSE)</f>
        <v>99908703.901974097</v>
      </c>
      <c r="E5" s="86">
        <f>VLOOKUP(A5,'Source  PAU%'!A:E,5,FALSE)</f>
        <v>32493275.600000005</v>
      </c>
      <c r="F5" s="86">
        <f t="shared" ref="F5:F51" si="0">D5+E5</f>
        <v>132401979.50197411</v>
      </c>
      <c r="G5" s="86">
        <f>VLOOKUP(A5,'Source  PAU%'!A:G,7,FALSE)</f>
        <v>1739671632.5899999</v>
      </c>
      <c r="H5" s="87">
        <f t="shared" ref="H5:H53" si="1">F5/G5</f>
        <v>7.6107454430843255E-2</v>
      </c>
      <c r="I5" s="88">
        <f>ROUND(H5*Savings!$C$18,4)</f>
        <v>-2.0999999999999999E-3</v>
      </c>
      <c r="J5" s="103">
        <f t="shared" ref="J5:J51" si="2">ROUND(I5*C5,0)</f>
        <v>-3629153</v>
      </c>
      <c r="K5" s="84"/>
      <c r="L5" s="82"/>
    </row>
    <row r="6" spans="1:24" ht="15.75" customHeight="1" x14ac:dyDescent="0.2">
      <c r="A6" s="89">
        <v>210003</v>
      </c>
      <c r="B6" s="89" t="s">
        <v>114</v>
      </c>
      <c r="C6" s="86">
        <v>348438484.53914267</v>
      </c>
      <c r="D6" s="86">
        <f>VLOOKUP(A6,'Source  PAU%'!A:D,4,FALSE)+VLOOKUP(A42,'Source  PAU%'!A:J,4,FALSE)</f>
        <v>31053059.583899383</v>
      </c>
      <c r="E6" s="86">
        <f>VLOOKUP(A6,'Source  PAU%'!A:E,5,FALSE)+VLOOKUP(A42,'Source  PAU%'!A:J,5,FALSE)</f>
        <v>22884531.510000013</v>
      </c>
      <c r="F6" s="86">
        <f t="shared" si="0"/>
        <v>53937591.093899399</v>
      </c>
      <c r="G6" s="86">
        <f>VLOOKUP(A6,'Source  PAU%'!A:G,7,FALSE)+VLOOKUP(A42,'Source  PAU%'!A:J,7,FALSE)</f>
        <v>394946223.80000001</v>
      </c>
      <c r="H6" s="87">
        <f t="shared" si="1"/>
        <v>0.13656945640582524</v>
      </c>
      <c r="I6" s="88">
        <f>ROUND(H6*Savings!$C$18,4)</f>
        <v>-3.8E-3</v>
      </c>
      <c r="J6" s="103">
        <f t="shared" si="2"/>
        <v>-1324066</v>
      </c>
      <c r="K6" s="84"/>
      <c r="L6" s="82"/>
      <c r="M6" s="83"/>
    </row>
    <row r="7" spans="1:24" ht="15.75" customHeight="1" x14ac:dyDescent="0.2">
      <c r="A7" s="90">
        <v>210004</v>
      </c>
      <c r="B7" s="90" t="s">
        <v>115</v>
      </c>
      <c r="C7" s="86">
        <v>500698497.22606456</v>
      </c>
      <c r="D7" s="86">
        <f>VLOOKUP(A7,'Source  PAU%'!A:D,4,FALSE)</f>
        <v>35228554.517969005</v>
      </c>
      <c r="E7" s="86">
        <f>VLOOKUP(A7,'Source  PAU%'!A:E,5,FALSE)</f>
        <v>17796632.000000026</v>
      </c>
      <c r="F7" s="86">
        <f t="shared" si="0"/>
        <v>53025186.517969027</v>
      </c>
      <c r="G7" s="86">
        <f>VLOOKUP(A7,'Source  PAU%'!A:G,7,FALSE)</f>
        <v>518237300.49000001</v>
      </c>
      <c r="H7" s="87">
        <f t="shared" si="1"/>
        <v>0.10231835197472863</v>
      </c>
      <c r="I7" s="88">
        <f>ROUND(H7*Savings!$C$18,4)</f>
        <v>-2.8E-3</v>
      </c>
      <c r="J7" s="103">
        <f t="shared" si="2"/>
        <v>-1401956</v>
      </c>
      <c r="K7" s="84"/>
    </row>
    <row r="8" spans="1:24" s="59" customFormat="1" ht="15.75" customHeight="1" x14ac:dyDescent="0.2">
      <c r="A8" s="89">
        <v>210005</v>
      </c>
      <c r="B8" s="89" t="s">
        <v>116</v>
      </c>
      <c r="C8" s="86">
        <v>345157181.04963773</v>
      </c>
      <c r="D8" s="86">
        <f>VLOOKUP(A8,'Source  PAU%'!A:D,4,FALSE)</f>
        <v>25191216.752132274</v>
      </c>
      <c r="E8" s="86">
        <f>VLOOKUP(A8,'Source  PAU%'!A:E,5,FALSE)</f>
        <v>22285263.850000028</v>
      </c>
      <c r="F8" s="86">
        <f t="shared" si="0"/>
        <v>47476480.602132306</v>
      </c>
      <c r="G8" s="86">
        <f>VLOOKUP(A8,'Source  PAU%'!A:G,7,FALSE)</f>
        <v>355167713.83999997</v>
      </c>
      <c r="H8" s="87">
        <f t="shared" si="1"/>
        <v>0.13367341329769647</v>
      </c>
      <c r="I8" s="88">
        <f>ROUND(H8*Savings!$C$18,4)</f>
        <v>-3.7000000000000002E-3</v>
      </c>
      <c r="J8" s="103">
        <f t="shared" si="2"/>
        <v>-1277082</v>
      </c>
      <c r="K8" s="84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4" ht="15.75" customHeight="1" x14ac:dyDescent="0.2">
      <c r="A9" s="89">
        <v>210006</v>
      </c>
      <c r="B9" s="89" t="s">
        <v>117</v>
      </c>
      <c r="C9" s="86">
        <v>104913929.34240158</v>
      </c>
      <c r="D9" s="86">
        <f>VLOOKUP(A9,'Source  PAU%'!A:D,4,FALSE)</f>
        <v>9719117.5756291412</v>
      </c>
      <c r="E9" s="86">
        <f>VLOOKUP(A9,'Source  PAU%'!A:E,5,FALSE)</f>
        <v>8185344.4400000041</v>
      </c>
      <c r="F9" s="86">
        <f t="shared" si="0"/>
        <v>17904462.015629146</v>
      </c>
      <c r="G9" s="86">
        <f>VLOOKUP(A9,'Source  PAU%'!A:G,7,FALSE)</f>
        <v>105736411.08</v>
      </c>
      <c r="H9" s="87">
        <f t="shared" si="1"/>
        <v>0.1693310925985814</v>
      </c>
      <c r="I9" s="88">
        <f>ROUND(H9*Savings!$C$18,4)</f>
        <v>-4.7000000000000002E-3</v>
      </c>
      <c r="J9" s="103">
        <f t="shared" si="2"/>
        <v>-493095</v>
      </c>
      <c r="K9" s="84"/>
    </row>
    <row r="10" spans="1:24" ht="15.75" customHeight="1" x14ac:dyDescent="0.2">
      <c r="A10" s="89">
        <v>210008</v>
      </c>
      <c r="B10" s="89" t="s">
        <v>118</v>
      </c>
      <c r="C10" s="86">
        <v>536545951.43165791</v>
      </c>
      <c r="D10" s="86">
        <f>VLOOKUP(A10,'Source  PAU%'!A:D,4,FALSE)</f>
        <v>25777967.707142834</v>
      </c>
      <c r="E10" s="86">
        <f>VLOOKUP(A10,'Source  PAU%'!A:E,5,FALSE)</f>
        <v>12531546.460000005</v>
      </c>
      <c r="F10" s="86">
        <f t="shared" si="0"/>
        <v>38309514.167142838</v>
      </c>
      <c r="G10" s="86">
        <f>VLOOKUP(A10,'Source  PAU%'!A:G,7,FALSE)</f>
        <v>536780248.11000001</v>
      </c>
      <c r="H10" s="87">
        <f t="shared" si="1"/>
        <v>7.1369083162114114E-2</v>
      </c>
      <c r="I10" s="88">
        <f>ROUND(H10*Savings!$C$18,4)</f>
        <v>-2E-3</v>
      </c>
      <c r="J10" s="103">
        <f t="shared" si="2"/>
        <v>-1073092</v>
      </c>
      <c r="K10" s="84"/>
      <c r="L10" s="82"/>
    </row>
    <row r="11" spans="1:24" ht="15.75" customHeight="1" x14ac:dyDescent="0.2">
      <c r="A11" s="89">
        <v>210009</v>
      </c>
      <c r="B11" s="89" t="s">
        <v>119</v>
      </c>
      <c r="C11" s="86">
        <v>2422312770.8576393</v>
      </c>
      <c r="D11" s="86">
        <f>VLOOKUP(A11,'Source  PAU%'!A:D,4,FALSE)</f>
        <v>147217964.65431583</v>
      </c>
      <c r="E11" s="86">
        <f>VLOOKUP(A11,'Source  PAU%'!A:E,5,FALSE)</f>
        <v>50440367.229999989</v>
      </c>
      <c r="F11" s="86">
        <f t="shared" si="0"/>
        <v>197658331.88431582</v>
      </c>
      <c r="G11" s="86">
        <f>VLOOKUP(A11,'Source  PAU%'!A:G,7,FALSE)</f>
        <v>2459662475.3899999</v>
      </c>
      <c r="H11" s="87">
        <f t="shared" si="1"/>
        <v>8.0359941195986842E-2</v>
      </c>
      <c r="I11" s="88">
        <f>ROUND(H11*Savings!$C$18,4)</f>
        <v>-2.2000000000000001E-3</v>
      </c>
      <c r="J11" s="103">
        <f t="shared" si="2"/>
        <v>-5329088</v>
      </c>
      <c r="K11" s="84"/>
    </row>
    <row r="12" spans="1:24" ht="15.75" customHeight="1" x14ac:dyDescent="0.2">
      <c r="A12" s="89">
        <v>210010</v>
      </c>
      <c r="B12" s="89" t="s">
        <v>120</v>
      </c>
      <c r="C12" s="86">
        <v>46645024.237691022</v>
      </c>
      <c r="D12" s="86">
        <f>VLOOKUP(A12,'Source  PAU%'!A:D,4,FALSE)</f>
        <v>3305316.8161363667</v>
      </c>
      <c r="E12" s="86">
        <f>VLOOKUP(A12,'Source  PAU%'!A:E,5,FALSE)</f>
        <v>3285890.049999997</v>
      </c>
      <c r="F12" s="86">
        <f t="shared" si="0"/>
        <v>6591206.8661363637</v>
      </c>
      <c r="G12" s="86">
        <f>VLOOKUP(A12,'Source  PAU%'!A:G,7,FALSE)</f>
        <v>50483311.68</v>
      </c>
      <c r="H12" s="87">
        <f t="shared" si="1"/>
        <v>0.13056209362642915</v>
      </c>
      <c r="I12" s="88">
        <f>ROUND(H12*Savings!$C$18,4)</f>
        <v>-3.5999999999999999E-3</v>
      </c>
      <c r="J12" s="103">
        <f t="shared" si="2"/>
        <v>-167922</v>
      </c>
      <c r="K12" s="84"/>
      <c r="L12" s="82"/>
      <c r="M12" s="83"/>
    </row>
    <row r="13" spans="1:24" ht="15.75" customHeight="1" x14ac:dyDescent="0.2">
      <c r="A13" s="89">
        <v>210011</v>
      </c>
      <c r="B13" s="89" t="s">
        <v>121</v>
      </c>
      <c r="C13" s="86">
        <v>414960504.16394675</v>
      </c>
      <c r="D13" s="86">
        <f>VLOOKUP(A13,'Source  PAU%'!A:D,4,FALSE)</f>
        <v>33168281.417674437</v>
      </c>
      <c r="E13" s="86">
        <f>VLOOKUP(A13,'Source  PAU%'!A:E,5,FALSE)</f>
        <v>31528201.910000008</v>
      </c>
      <c r="F13" s="86">
        <f t="shared" si="0"/>
        <v>64696483.327674448</v>
      </c>
      <c r="G13" s="86">
        <f>VLOOKUP(A13,'Source  PAU%'!A:G,7,FALSE)</f>
        <v>432333724.13</v>
      </c>
      <c r="H13" s="87">
        <f t="shared" si="1"/>
        <v>0.14964477605318763</v>
      </c>
      <c r="I13" s="88">
        <f>ROUND(H13*Savings!$C$18,4)</f>
        <v>-4.1999999999999997E-3</v>
      </c>
      <c r="J13" s="103">
        <f t="shared" si="2"/>
        <v>-1742834</v>
      </c>
      <c r="K13" s="84"/>
    </row>
    <row r="14" spans="1:24" ht="15.75" customHeight="1" x14ac:dyDescent="0.2">
      <c r="A14" s="89">
        <v>210012</v>
      </c>
      <c r="B14" s="89" t="s">
        <v>122</v>
      </c>
      <c r="C14" s="86">
        <v>764180996.14415145</v>
      </c>
      <c r="D14" s="86">
        <f>VLOOKUP(A14,'Source  PAU%'!A:D,4,FALSE)</f>
        <v>40268105.071953356</v>
      </c>
      <c r="E14" s="86">
        <f>VLOOKUP(A14,'Source  PAU%'!A:E,5,FALSE)</f>
        <v>24951935.289999943</v>
      </c>
      <c r="F14" s="86">
        <f t="shared" si="0"/>
        <v>65220040.361953303</v>
      </c>
      <c r="G14" s="86">
        <f>VLOOKUP(A14,'Source  PAU%'!A:G,7,FALSE)</f>
        <v>771931995.17999995</v>
      </c>
      <c r="H14" s="87">
        <f t="shared" si="1"/>
        <v>8.4489360162801938E-2</v>
      </c>
      <c r="I14" s="88">
        <f>ROUND(H14*Savings!$C$18,4)</f>
        <v>-2.3999999999999998E-3</v>
      </c>
      <c r="J14" s="103">
        <f t="shared" si="2"/>
        <v>-1834034</v>
      </c>
      <c r="K14" s="84"/>
    </row>
    <row r="15" spans="1:24" ht="15.75" customHeight="1" x14ac:dyDescent="0.2">
      <c r="A15" s="89">
        <v>210013</v>
      </c>
      <c r="B15" s="89" t="s">
        <v>123</v>
      </c>
      <c r="C15" s="86">
        <v>112784455.86318843</v>
      </c>
      <c r="D15" s="86">
        <f>VLOOKUP(A15,'Source  PAU%'!A:D,4,FALSE)</f>
        <v>13167285.72037383</v>
      </c>
      <c r="E15" s="86">
        <f>VLOOKUP(A15,'Source  PAU%'!A:E,5,FALSE)</f>
        <v>6785329.1199999992</v>
      </c>
      <c r="F15" s="86">
        <f t="shared" si="0"/>
        <v>19952614.840373829</v>
      </c>
      <c r="G15" s="86">
        <f>VLOOKUP(A15,'Source  PAU%'!A:G,7,FALSE)</f>
        <v>114944325.53</v>
      </c>
      <c r="H15" s="87">
        <f t="shared" si="1"/>
        <v>0.17358503561070771</v>
      </c>
      <c r="I15" s="88">
        <f>ROUND(H15*Savings!$C$18,4)</f>
        <v>-4.7999999999999996E-3</v>
      </c>
      <c r="J15" s="103">
        <f t="shared" si="2"/>
        <v>-541365</v>
      </c>
      <c r="K15" s="84"/>
      <c r="L15" s="82"/>
      <c r="M15" s="83"/>
    </row>
    <row r="16" spans="1:24" ht="15.75" customHeight="1" x14ac:dyDescent="0.2">
      <c r="A16" s="89">
        <v>210015</v>
      </c>
      <c r="B16" s="89" t="s">
        <v>124</v>
      </c>
      <c r="C16" s="86">
        <v>545849179.21599722</v>
      </c>
      <c r="D16" s="86">
        <f>VLOOKUP(A16,'Source  PAU%'!A:D,4,FALSE)</f>
        <v>45954204.248653069</v>
      </c>
      <c r="E16" s="86">
        <f>VLOOKUP(A16,'Source  PAU%'!A:E,5,FALSE)</f>
        <v>35315844.560000099</v>
      </c>
      <c r="F16" s="86">
        <f t="shared" si="0"/>
        <v>81270048.808653176</v>
      </c>
      <c r="G16" s="86">
        <f>VLOOKUP(A16,'Source  PAU%'!A:G,7,FALSE)</f>
        <v>551568504.76999998</v>
      </c>
      <c r="H16" s="87">
        <f t="shared" si="1"/>
        <v>0.14734352687984276</v>
      </c>
      <c r="I16" s="88">
        <f>ROUND(H16*Savings!$C$18,4)</f>
        <v>-4.1000000000000003E-3</v>
      </c>
      <c r="J16" s="103">
        <f t="shared" si="2"/>
        <v>-2237982</v>
      </c>
      <c r="K16" s="84"/>
      <c r="L16" s="82"/>
      <c r="M16" s="83"/>
    </row>
    <row r="17" spans="1:13" ht="15.75" customHeight="1" x14ac:dyDescent="0.2">
      <c r="A17" s="89">
        <v>210016</v>
      </c>
      <c r="B17" s="89" t="s">
        <v>125</v>
      </c>
      <c r="C17" s="86">
        <v>275917608.80301803</v>
      </c>
      <c r="D17" s="86">
        <f>VLOOKUP(A17,'Source  PAU%'!A:D,4,FALSE)</f>
        <v>20353171.66533424</v>
      </c>
      <c r="E17" s="86">
        <f>VLOOKUP(A17,'Source  PAU%'!A:E,5,FALSE)</f>
        <v>14514835.329999993</v>
      </c>
      <c r="F17" s="86">
        <f t="shared" si="0"/>
        <v>34868006.99533423</v>
      </c>
      <c r="G17" s="86">
        <f>VLOOKUP(A17,'Source  PAU%'!A:G,7,FALSE)</f>
        <v>279230630.95999998</v>
      </c>
      <c r="H17" s="87">
        <f t="shared" si="1"/>
        <v>0.12487171223105928</v>
      </c>
      <c r="I17" s="88">
        <f>ROUND(H17*Savings!$C$18,4)</f>
        <v>-3.5000000000000001E-3</v>
      </c>
      <c r="J17" s="103">
        <f t="shared" si="2"/>
        <v>-965712</v>
      </c>
      <c r="K17" s="84"/>
      <c r="L17" s="82"/>
      <c r="M17" s="83"/>
    </row>
    <row r="18" spans="1:13" ht="15.75" customHeight="1" x14ac:dyDescent="0.2">
      <c r="A18" s="89">
        <v>210017</v>
      </c>
      <c r="B18" s="89" t="s">
        <v>126</v>
      </c>
      <c r="C18" s="86">
        <v>60636352.179484114</v>
      </c>
      <c r="D18" s="86">
        <f>VLOOKUP(A18,'Source  PAU%'!A:D,4,FALSE)</f>
        <v>1801123.160410959</v>
      </c>
      <c r="E18" s="86">
        <f>VLOOKUP(A18,'Source  PAU%'!A:E,5,FALSE)</f>
        <v>3336763.1600000015</v>
      </c>
      <c r="F18" s="86">
        <f t="shared" si="0"/>
        <v>5137886.3204109604</v>
      </c>
      <c r="G18" s="86">
        <f>VLOOKUP(A18,'Source  PAU%'!A:G,7,FALSE)</f>
        <v>59065072.200000003</v>
      </c>
      <c r="H18" s="87">
        <f t="shared" si="1"/>
        <v>8.6986879538783674E-2</v>
      </c>
      <c r="I18" s="88">
        <f>ROUND(H18*Savings!$C$18,4)</f>
        <v>-2.3999999999999998E-3</v>
      </c>
      <c r="J18" s="103">
        <f t="shared" si="2"/>
        <v>-145527</v>
      </c>
      <c r="K18" s="84"/>
      <c r="M18" s="83"/>
    </row>
    <row r="19" spans="1:13" ht="15.75" customHeight="1" x14ac:dyDescent="0.2">
      <c r="A19" s="89">
        <v>210018</v>
      </c>
      <c r="B19" s="89" t="s">
        <v>127</v>
      </c>
      <c r="C19" s="86">
        <v>176329978.61014849</v>
      </c>
      <c r="D19" s="86">
        <f>VLOOKUP(A19,'Source  PAU%'!A:D,4,FALSE)</f>
        <v>12655990.136808857</v>
      </c>
      <c r="E19" s="86">
        <f>VLOOKUP(A19,'Source  PAU%'!A:E,5,FALSE)</f>
        <v>9398946.1800000053</v>
      </c>
      <c r="F19" s="86">
        <f t="shared" si="0"/>
        <v>22054936.316808864</v>
      </c>
      <c r="G19" s="86">
        <f>VLOOKUP(A19,'Source  PAU%'!A:G,7,FALSE)</f>
        <v>183190385.09999999</v>
      </c>
      <c r="H19" s="87">
        <f t="shared" si="1"/>
        <v>0.12039352559234762</v>
      </c>
      <c r="I19" s="88">
        <f>ROUND(H19*Savings!$C$18,4)</f>
        <v>-3.3999999999999998E-3</v>
      </c>
      <c r="J19" s="103">
        <f t="shared" si="2"/>
        <v>-599522</v>
      </c>
      <c r="K19" s="84"/>
      <c r="M19" s="83"/>
    </row>
    <row r="20" spans="1:13" ht="15.75" customHeight="1" x14ac:dyDescent="0.2">
      <c r="A20" s="89">
        <v>210019</v>
      </c>
      <c r="B20" s="89" t="s">
        <v>73</v>
      </c>
      <c r="C20" s="86">
        <v>440472736.66290438</v>
      </c>
      <c r="D20" s="86">
        <f>VLOOKUP(A20,'Source  PAU%'!A:D,4,FALSE)</f>
        <v>31436316.406432584</v>
      </c>
      <c r="E20" s="86">
        <f>VLOOKUP(A20,'Source  PAU%'!A:E,5,FALSE)</f>
        <v>19185063.210000001</v>
      </c>
      <c r="F20" s="86">
        <f t="shared" si="0"/>
        <v>50621379.616432585</v>
      </c>
      <c r="G20" s="86">
        <f>VLOOKUP(A20,'Source  PAU%'!A:G,7,FALSE)</f>
        <v>451548899.63</v>
      </c>
      <c r="H20" s="87">
        <f t="shared" si="1"/>
        <v>0.1121060856485573</v>
      </c>
      <c r="I20" s="88">
        <f>ROUND(H20*Savings!$C$18,4)</f>
        <v>-3.0999999999999999E-3</v>
      </c>
      <c r="J20" s="103">
        <f t="shared" si="2"/>
        <v>-1365465</v>
      </c>
      <c r="K20" s="84"/>
      <c r="M20" s="83"/>
    </row>
    <row r="21" spans="1:13" ht="15.75" customHeight="1" x14ac:dyDescent="0.2">
      <c r="A21" s="89">
        <v>210022</v>
      </c>
      <c r="B21" s="89" t="s">
        <v>128</v>
      </c>
      <c r="C21" s="86">
        <v>323715549.16028607</v>
      </c>
      <c r="D21" s="86">
        <f>VLOOKUP(A21,'Source  PAU%'!A:D,4,FALSE)</f>
        <v>22549463.754795127</v>
      </c>
      <c r="E21" s="86">
        <f>VLOOKUP(A21,'Source  PAU%'!A:E,5,FALSE)</f>
        <v>11463722.779999999</v>
      </c>
      <c r="F21" s="86">
        <f t="shared" si="0"/>
        <v>34013186.534795128</v>
      </c>
      <c r="G21" s="86">
        <f>VLOOKUP(A21,'Source  PAU%'!A:G,7,FALSE)</f>
        <v>333587794.47000003</v>
      </c>
      <c r="H21" s="87">
        <f t="shared" si="1"/>
        <v>0.10196172371604555</v>
      </c>
      <c r="I21" s="88">
        <f>ROUND(H21*Savings!$C$18,4)</f>
        <v>-2.8E-3</v>
      </c>
      <c r="J21" s="103">
        <f t="shared" si="2"/>
        <v>-906404</v>
      </c>
      <c r="K21" s="84"/>
      <c r="M21" s="83"/>
    </row>
    <row r="22" spans="1:13" ht="15.75" customHeight="1" x14ac:dyDescent="0.2">
      <c r="A22" s="89">
        <v>210023</v>
      </c>
      <c r="B22" s="89" t="s">
        <v>129</v>
      </c>
      <c r="C22" s="86">
        <v>617272368.70164418</v>
      </c>
      <c r="D22" s="86">
        <f>VLOOKUP(A22,'Source  PAU%'!A:D,4,FALSE)</f>
        <v>30598320.938848056</v>
      </c>
      <c r="E22" s="86">
        <f>VLOOKUP(A22,'Source  PAU%'!A:E,5,FALSE)</f>
        <v>24707301.290000007</v>
      </c>
      <c r="F22" s="86">
        <f t="shared" si="0"/>
        <v>55305622.228848062</v>
      </c>
      <c r="G22" s="86">
        <f>VLOOKUP(A22,'Source  PAU%'!A:G,7,FALSE)</f>
        <v>637349311.46000004</v>
      </c>
      <c r="H22" s="87">
        <f t="shared" si="1"/>
        <v>8.6774428456127761E-2</v>
      </c>
      <c r="I22" s="88">
        <f>ROUND(H22*Savings!$C$18,4)</f>
        <v>-2.3999999999999998E-3</v>
      </c>
      <c r="J22" s="103">
        <f t="shared" si="2"/>
        <v>-1481454</v>
      </c>
      <c r="K22" s="84"/>
      <c r="M22" s="83"/>
    </row>
    <row r="23" spans="1:13" ht="15.75" customHeight="1" x14ac:dyDescent="0.2">
      <c r="A23" s="89">
        <v>210024</v>
      </c>
      <c r="B23" s="89" t="s">
        <v>130</v>
      </c>
      <c r="C23" s="86">
        <v>414187672.9067598</v>
      </c>
      <c r="D23" s="86">
        <f>VLOOKUP(A23,'Source  PAU%'!A:D,4,FALSE)</f>
        <v>33159963.49130429</v>
      </c>
      <c r="E23" s="86">
        <f>VLOOKUP(A23,'Source  PAU%'!A:E,5,FALSE)</f>
        <v>22109756.510000039</v>
      </c>
      <c r="F23" s="86">
        <f t="shared" si="0"/>
        <v>55269720.001304328</v>
      </c>
      <c r="G23" s="86">
        <f>VLOOKUP(A23,'Source  PAU%'!A:G,7,FALSE)</f>
        <v>432682045.57999998</v>
      </c>
      <c r="H23" s="87">
        <f t="shared" si="1"/>
        <v>0.12773749353804728</v>
      </c>
      <c r="I23" s="88">
        <f>ROUND(H23*Savings!$C$18,4)</f>
        <v>-3.5999999999999999E-3</v>
      </c>
      <c r="J23" s="103">
        <f t="shared" si="2"/>
        <v>-1491076</v>
      </c>
      <c r="K23" s="84"/>
      <c r="M23" s="83"/>
    </row>
    <row r="24" spans="1:13" ht="15.75" customHeight="1" x14ac:dyDescent="0.2">
      <c r="A24" s="89">
        <v>210027</v>
      </c>
      <c r="B24" s="89" t="s">
        <v>131</v>
      </c>
      <c r="C24" s="86">
        <v>325414055.49193567</v>
      </c>
      <c r="D24" s="86">
        <f>VLOOKUP(A24,'Source  PAU%'!A:D,4,FALSE)</f>
        <v>20328160.389637344</v>
      </c>
      <c r="E24" s="86">
        <f>VLOOKUP(A24,'Source  PAU%'!A:E,5,FALSE)</f>
        <v>14685509.649999997</v>
      </c>
      <c r="F24" s="86">
        <f t="shared" si="0"/>
        <v>35013670.039637342</v>
      </c>
      <c r="G24" s="86">
        <f>VLOOKUP(A24,'Source  PAU%'!A:G,7,FALSE)</f>
        <v>332074969.69</v>
      </c>
      <c r="H24" s="87">
        <f t="shared" si="1"/>
        <v>0.10543905212826925</v>
      </c>
      <c r="I24" s="88">
        <f>ROUND(H24*Savings!$C$18,4)</f>
        <v>-2.8999999999999998E-3</v>
      </c>
      <c r="J24" s="103">
        <f t="shared" si="2"/>
        <v>-943701</v>
      </c>
      <c r="K24" s="84"/>
      <c r="M24" s="83"/>
    </row>
    <row r="25" spans="1:13" ht="15.75" customHeight="1" x14ac:dyDescent="0.2">
      <c r="A25" s="89">
        <v>210028</v>
      </c>
      <c r="B25" s="89" t="s">
        <v>132</v>
      </c>
      <c r="C25" s="86">
        <v>185289624.10285282</v>
      </c>
      <c r="D25" s="86">
        <f>VLOOKUP(A25,'Source  PAU%'!A:D,4,FALSE)</f>
        <v>11017491.062756568</v>
      </c>
      <c r="E25" s="86">
        <f>VLOOKUP(A25,'Source  PAU%'!A:E,5,FALSE)</f>
        <v>12434119.949999999</v>
      </c>
      <c r="F25" s="86">
        <f t="shared" si="0"/>
        <v>23451611.012756567</v>
      </c>
      <c r="G25" s="86">
        <f>VLOOKUP(A25,'Source  PAU%'!A:G,7,FALSE)</f>
        <v>194366811.69999999</v>
      </c>
      <c r="H25" s="87">
        <f t="shared" si="1"/>
        <v>0.12065645779565241</v>
      </c>
      <c r="I25" s="88">
        <f>ROUND(H25*Savings!$C$18,4)</f>
        <v>-3.3999999999999998E-3</v>
      </c>
      <c r="J25" s="103">
        <f t="shared" si="2"/>
        <v>-629985</v>
      </c>
      <c r="K25" s="84"/>
      <c r="M25" s="83"/>
    </row>
    <row r="26" spans="1:13" ht="15.75" customHeight="1" x14ac:dyDescent="0.2">
      <c r="A26" s="89">
        <v>210029</v>
      </c>
      <c r="B26" s="89" t="s">
        <v>159</v>
      </c>
      <c r="C26" s="86">
        <v>671715143.74808729</v>
      </c>
      <c r="D26" s="86">
        <f>VLOOKUP(A26,'Source  PAU%'!A:D,4,FALSE)</f>
        <v>46571791.720735192</v>
      </c>
      <c r="E26" s="86">
        <f>VLOOKUP(A26,'Source  PAU%'!A:E,5,FALSE)</f>
        <v>30751940.610000044</v>
      </c>
      <c r="F26" s="86">
        <f t="shared" si="0"/>
        <v>77323732.330735236</v>
      </c>
      <c r="G26" s="86">
        <f>VLOOKUP(A26,'Source  PAU%'!A:G,7,FALSE)</f>
        <v>674620617.78999996</v>
      </c>
      <c r="H26" s="87">
        <f t="shared" si="1"/>
        <v>0.11461809836770367</v>
      </c>
      <c r="I26" s="88">
        <f>ROUND(H26*Savings!$C$18,4)</f>
        <v>-3.2000000000000002E-3</v>
      </c>
      <c r="J26" s="103">
        <f t="shared" si="2"/>
        <v>-2149488</v>
      </c>
      <c r="K26" s="84"/>
      <c r="L26" s="82"/>
      <c r="M26" s="83"/>
    </row>
    <row r="27" spans="1:13" ht="15.75" customHeight="1" x14ac:dyDescent="0.2">
      <c r="A27" s="89">
        <v>210030</v>
      </c>
      <c r="B27" s="89" t="s">
        <v>133</v>
      </c>
      <c r="C27" s="86">
        <v>53535766.10036771</v>
      </c>
      <c r="D27" s="86">
        <f>VLOOKUP(A27,'Source  PAU%'!A:D,4,FALSE)</f>
        <v>1822939.0019354832</v>
      </c>
      <c r="E27" s="86">
        <f>VLOOKUP(A27,'Source  PAU%'!A:E,5,FALSE)</f>
        <v>1684760.6400000006</v>
      </c>
      <c r="F27" s="86">
        <f t="shared" si="0"/>
        <v>3507699.6419354836</v>
      </c>
      <c r="G27" s="86">
        <f>VLOOKUP(A27,'Source  PAU%'!A:G,7,FALSE)</f>
        <v>52447986.659999996</v>
      </c>
      <c r="H27" s="87">
        <f t="shared" si="1"/>
        <v>6.6879586144546269E-2</v>
      </c>
      <c r="I27" s="88">
        <f>ROUND(H27*Savings!$C$18,4)</f>
        <v>-1.9E-3</v>
      </c>
      <c r="J27" s="103">
        <f t="shared" si="2"/>
        <v>-101718</v>
      </c>
      <c r="K27" s="84"/>
      <c r="L27" s="82"/>
      <c r="M27" s="83"/>
    </row>
    <row r="28" spans="1:13" ht="15.75" customHeight="1" x14ac:dyDescent="0.2">
      <c r="A28" s="89">
        <v>210032</v>
      </c>
      <c r="B28" s="89" t="s">
        <v>134</v>
      </c>
      <c r="C28" s="86">
        <v>160537054.32856601</v>
      </c>
      <c r="D28" s="86">
        <f>VLOOKUP(A28,'Source  PAU%'!A:D,4,FALSE)</f>
        <v>9151071.7374329474</v>
      </c>
      <c r="E28" s="86">
        <f>VLOOKUP(A28,'Source  PAU%'!A:E,5,FALSE)</f>
        <v>9166498.2999999877</v>
      </c>
      <c r="F28" s="86">
        <f t="shared" si="0"/>
        <v>18317570.037432935</v>
      </c>
      <c r="G28" s="86">
        <f>VLOOKUP(A28,'Source  PAU%'!A:G,7,FALSE)</f>
        <v>163105426.91999999</v>
      </c>
      <c r="H28" s="87">
        <f t="shared" si="1"/>
        <v>0.11230509237695288</v>
      </c>
      <c r="I28" s="88">
        <f>ROUND(H28*Savings!$C$18,4)</f>
        <v>-3.0999999999999999E-3</v>
      </c>
      <c r="J28" s="103">
        <f t="shared" si="2"/>
        <v>-497665</v>
      </c>
      <c r="K28" s="84"/>
      <c r="L28" s="82"/>
      <c r="M28" s="83"/>
    </row>
    <row r="29" spans="1:13" ht="15.75" customHeight="1" x14ac:dyDescent="0.2">
      <c r="A29" s="89">
        <v>210033</v>
      </c>
      <c r="B29" s="89" t="s">
        <v>135</v>
      </c>
      <c r="C29" s="86">
        <v>227083962.9045724</v>
      </c>
      <c r="D29" s="86">
        <f>VLOOKUP(A29,'Source  PAU%'!A:D,4,FALSE)</f>
        <v>19036024.225980122</v>
      </c>
      <c r="E29" s="86">
        <f>VLOOKUP(A29,'Source  PAU%'!A:E,5,FALSE)</f>
        <v>20416100.509999998</v>
      </c>
      <c r="F29" s="86">
        <f t="shared" si="0"/>
        <v>39452124.735980123</v>
      </c>
      <c r="G29" s="86">
        <f>VLOOKUP(A29,'Source  PAU%'!A:G,7,FALSE)</f>
        <v>232910252.68000001</v>
      </c>
      <c r="H29" s="87">
        <f t="shared" si="1"/>
        <v>0.16938766877808584</v>
      </c>
      <c r="I29" s="88">
        <f>ROUND(H29*Savings!$C$18,4)</f>
        <v>-4.7000000000000002E-3</v>
      </c>
      <c r="J29" s="103">
        <f t="shared" si="2"/>
        <v>-1067295</v>
      </c>
      <c r="K29" s="84"/>
      <c r="M29" s="83"/>
    </row>
    <row r="30" spans="1:13" ht="15.75" customHeight="1" x14ac:dyDescent="0.2">
      <c r="A30" s="89">
        <v>210034</v>
      </c>
      <c r="B30" s="89" t="s">
        <v>136</v>
      </c>
      <c r="C30" s="86">
        <v>187602543.67332307</v>
      </c>
      <c r="D30" s="86">
        <f>VLOOKUP(A30,'Source  PAU%'!A:D,4,FALSE)</f>
        <v>16453980.822058797</v>
      </c>
      <c r="E30" s="86">
        <f>VLOOKUP(A30,'Source  PAU%'!A:E,5,FALSE)</f>
        <v>13124291.640000012</v>
      </c>
      <c r="F30" s="86">
        <f t="shared" si="0"/>
        <v>29578272.462058809</v>
      </c>
      <c r="G30" s="86">
        <f>VLOOKUP(A30,'Source  PAU%'!A:G,7,FALSE)</f>
        <v>190583923.75999999</v>
      </c>
      <c r="H30" s="87">
        <f t="shared" si="1"/>
        <v>0.1551981503922984</v>
      </c>
      <c r="I30" s="88">
        <f>ROUND(H30*Savings!$C$18,4)</f>
        <v>-4.3E-3</v>
      </c>
      <c r="J30" s="103">
        <f t="shared" si="2"/>
        <v>-806691</v>
      </c>
      <c r="K30" s="84"/>
      <c r="L30" s="82"/>
      <c r="M30" s="83"/>
    </row>
    <row r="31" spans="1:13" ht="15.75" customHeight="1" x14ac:dyDescent="0.2">
      <c r="A31" s="89">
        <v>210035</v>
      </c>
      <c r="B31" s="89" t="s">
        <v>137</v>
      </c>
      <c r="C31" s="86">
        <v>153867989.16881958</v>
      </c>
      <c r="D31" s="86">
        <f>VLOOKUP(A31,'Source  PAU%'!A:D,4,FALSE)</f>
        <v>11289247.235664552</v>
      </c>
      <c r="E31" s="86">
        <f>VLOOKUP(A31,'Source  PAU%'!A:E,5,FALSE)</f>
        <v>8208247.6599999992</v>
      </c>
      <c r="F31" s="86">
        <f t="shared" si="0"/>
        <v>19497494.89566455</v>
      </c>
      <c r="G31" s="86">
        <f>VLOOKUP(A31,'Source  PAU%'!A:G,7,FALSE)</f>
        <v>155956196.34999999</v>
      </c>
      <c r="H31" s="87">
        <f t="shared" si="1"/>
        <v>0.12501904606539574</v>
      </c>
      <c r="I31" s="88">
        <f>ROUND(H31*Savings!$C$18,4)</f>
        <v>-3.5000000000000001E-3</v>
      </c>
      <c r="J31" s="103">
        <f t="shared" si="2"/>
        <v>-538538</v>
      </c>
      <c r="K31" s="84"/>
      <c r="M31" s="83"/>
    </row>
    <row r="32" spans="1:13" ht="15.75" customHeight="1" x14ac:dyDescent="0.2">
      <c r="A32" s="89">
        <v>210037</v>
      </c>
      <c r="B32" s="89" t="s">
        <v>138</v>
      </c>
      <c r="C32" s="86">
        <v>214261972.7125479</v>
      </c>
      <c r="D32" s="86">
        <f>VLOOKUP(A32,'Source  PAU%'!A:D,4,FALSE)</f>
        <v>9294556.0430534389</v>
      </c>
      <c r="E32" s="86">
        <f>VLOOKUP(A32,'Source  PAU%'!A:E,5,FALSE)</f>
        <v>5866303.2299999911</v>
      </c>
      <c r="F32" s="86">
        <f t="shared" si="0"/>
        <v>15160859.27305343</v>
      </c>
      <c r="G32" s="86">
        <f>VLOOKUP(A32,'Source  PAU%'!A:G,7,FALSE)</f>
        <v>212292460.47999999</v>
      </c>
      <c r="H32" s="87">
        <f t="shared" si="1"/>
        <v>7.1414968005807863E-2</v>
      </c>
      <c r="I32" s="88">
        <f>ROUND(H32*Savings!$C$18,4)</f>
        <v>-2E-3</v>
      </c>
      <c r="J32" s="103">
        <f t="shared" si="2"/>
        <v>-428524</v>
      </c>
      <c r="K32" s="84"/>
      <c r="M32" s="83"/>
    </row>
    <row r="33" spans="1:13" ht="15.75" customHeight="1" x14ac:dyDescent="0.2">
      <c r="A33" s="89">
        <v>210038</v>
      </c>
      <c r="B33" s="89" t="s">
        <v>139</v>
      </c>
      <c r="C33" s="86">
        <v>223331473.17698106</v>
      </c>
      <c r="D33" s="86">
        <f>VLOOKUP(A33,'Source  PAU%'!A:D,4,FALSE)</f>
        <v>20946230.764242411</v>
      </c>
      <c r="E33" s="86">
        <f>VLOOKUP(A33,'Source  PAU%'!A:E,5,FALSE)</f>
        <v>12228058.730000004</v>
      </c>
      <c r="F33" s="86">
        <f t="shared" si="0"/>
        <v>33174289.494242415</v>
      </c>
      <c r="G33" s="86">
        <f>VLOOKUP(A33,'Source  PAU%'!A:G,7,FALSE)</f>
        <v>234294483.08000001</v>
      </c>
      <c r="H33" s="87">
        <f t="shared" si="1"/>
        <v>0.14159227762488555</v>
      </c>
      <c r="I33" s="88">
        <f>ROUND(H33*Savings!$C$18,4)</f>
        <v>-3.8999999999999998E-3</v>
      </c>
      <c r="J33" s="103">
        <f t="shared" si="2"/>
        <v>-870993</v>
      </c>
      <c r="K33" s="84"/>
      <c r="L33" s="82"/>
      <c r="M33" s="83"/>
    </row>
    <row r="34" spans="1:13" ht="15.75" customHeight="1" x14ac:dyDescent="0.2">
      <c r="A34" s="89">
        <v>210039</v>
      </c>
      <c r="B34" s="89" t="s">
        <v>140</v>
      </c>
      <c r="C34" s="86">
        <v>146163780.44888815</v>
      </c>
      <c r="D34" s="86">
        <f>VLOOKUP(A34,'Source  PAU%'!A:D,4,FALSE)</f>
        <v>8572138.8459334522</v>
      </c>
      <c r="E34" s="86">
        <f>VLOOKUP(A34,'Source  PAU%'!A:E,5,FALSE)</f>
        <v>7811569.4500000048</v>
      </c>
      <c r="F34" s="86">
        <f t="shared" si="0"/>
        <v>16383708.295933457</v>
      </c>
      <c r="G34" s="86">
        <f>VLOOKUP(A34,'Source  PAU%'!A:G,7,FALSE)</f>
        <v>143269361.44999999</v>
      </c>
      <c r="H34" s="87">
        <f t="shared" si="1"/>
        <v>0.11435598044213562</v>
      </c>
      <c r="I34" s="88">
        <f>ROUND(H34*Savings!$C$18,4)</f>
        <v>-3.2000000000000002E-3</v>
      </c>
      <c r="J34" s="103">
        <f t="shared" si="2"/>
        <v>-467724</v>
      </c>
      <c r="K34" s="84"/>
      <c r="M34" s="83"/>
    </row>
    <row r="35" spans="1:13" s="57" customFormat="1" ht="15.75" customHeight="1" x14ac:dyDescent="0.2">
      <c r="A35" s="89">
        <v>210040</v>
      </c>
      <c r="B35" s="89" t="s">
        <v>141</v>
      </c>
      <c r="C35" s="86">
        <v>262648421.57924467</v>
      </c>
      <c r="D35" s="86">
        <f>VLOOKUP(A35,'Source  PAU%'!A:D,4,FALSE)</f>
        <v>21119261.513985958</v>
      </c>
      <c r="E35" s="86">
        <f>VLOOKUP(A35,'Source  PAU%'!A:E,5,FALSE)</f>
        <v>20407793.239999998</v>
      </c>
      <c r="F35" s="86">
        <f t="shared" si="0"/>
        <v>41527054.753985956</v>
      </c>
      <c r="G35" s="86">
        <f>VLOOKUP(A35,'Source  PAU%'!A:G,7,FALSE)</f>
        <v>267599081.09</v>
      </c>
      <c r="H35" s="87">
        <f t="shared" si="1"/>
        <v>0.1551838466142543</v>
      </c>
      <c r="I35" s="88">
        <f>ROUND(H35*Savings!$C$18,4)</f>
        <v>-4.3E-3</v>
      </c>
      <c r="J35" s="103">
        <f t="shared" si="2"/>
        <v>-1129388</v>
      </c>
      <c r="K35" s="84"/>
    </row>
    <row r="36" spans="1:13" s="57" customFormat="1" ht="15.75" customHeight="1" x14ac:dyDescent="0.2">
      <c r="A36" s="89">
        <v>210043</v>
      </c>
      <c r="B36" s="89" t="s">
        <v>142</v>
      </c>
      <c r="C36" s="86">
        <v>432711981.91458106</v>
      </c>
      <c r="D36" s="86">
        <f>VLOOKUP(A36,'Source  PAU%'!A:D,4,FALSE)</f>
        <v>36638760.357075013</v>
      </c>
      <c r="E36" s="86">
        <f>VLOOKUP(A36,'Source  PAU%'!A:E,5,FALSE)</f>
        <v>23253021.319999944</v>
      </c>
      <c r="F36" s="86">
        <f t="shared" si="0"/>
        <v>59891781.677074954</v>
      </c>
      <c r="G36" s="86">
        <f>VLOOKUP(A36,'Source  PAU%'!A:G,7,FALSE)</f>
        <v>429471123.85000002</v>
      </c>
      <c r="H36" s="87">
        <f t="shared" si="1"/>
        <v>0.13945473479142026</v>
      </c>
      <c r="I36" s="88">
        <f>ROUND(H36*Savings!$C$18,4)</f>
        <v>-3.8999999999999998E-3</v>
      </c>
      <c r="J36" s="103">
        <f t="shared" si="2"/>
        <v>-1687577</v>
      </c>
      <c r="K36" s="84"/>
      <c r="L36" s="82"/>
    </row>
    <row r="37" spans="1:13" s="57" customFormat="1" ht="15.75" customHeight="1" x14ac:dyDescent="0.2">
      <c r="A37" s="89">
        <v>210044</v>
      </c>
      <c r="B37" s="89" t="s">
        <v>143</v>
      </c>
      <c r="C37" s="86">
        <v>460191024.33638883</v>
      </c>
      <c r="D37" s="86">
        <f>VLOOKUP(A37,'Source  PAU%'!A:D,4,FALSE)</f>
        <v>23985769.950279318</v>
      </c>
      <c r="E37" s="86">
        <f>VLOOKUP(A37,'Source  PAU%'!A:E,5,FALSE)</f>
        <v>17077604.080000021</v>
      </c>
      <c r="F37" s="86">
        <f t="shared" si="0"/>
        <v>41063374.030279338</v>
      </c>
      <c r="G37" s="86">
        <f>VLOOKUP(A37,'Source  PAU%'!A:G,7,FALSE)</f>
        <v>468264827.26999998</v>
      </c>
      <c r="H37" s="87">
        <f t="shared" si="1"/>
        <v>8.7692629552555162E-2</v>
      </c>
      <c r="I37" s="88">
        <f>ROUND(H37*Savings!$C$18,4)</f>
        <v>-2.3999999999999998E-3</v>
      </c>
      <c r="J37" s="103">
        <f t="shared" si="2"/>
        <v>-1104458</v>
      </c>
      <c r="K37" s="84"/>
    </row>
    <row r="38" spans="1:13" s="57" customFormat="1" ht="15.75" customHeight="1" x14ac:dyDescent="0.2">
      <c r="A38" s="89">
        <v>210045</v>
      </c>
      <c r="B38" s="89" t="s">
        <v>144</v>
      </c>
      <c r="C38" s="86">
        <v>14249480.968686718</v>
      </c>
      <c r="D38" s="86">
        <f>VLOOKUP(A38,'Source  PAU%'!A:D,4,FALSE)</f>
        <v>243767.45454545459</v>
      </c>
      <c r="E38" s="86">
        <f>VLOOKUP(A38,'Source  PAU%'!A:E,5,FALSE)</f>
        <v>757719.52999999991</v>
      </c>
      <c r="F38" s="86">
        <f t="shared" si="0"/>
        <v>1001486.9845454545</v>
      </c>
      <c r="G38" s="86">
        <f>VLOOKUP(A38,'Source  PAU%'!A:G,7,FALSE)</f>
        <v>15155075.640000001</v>
      </c>
      <c r="H38" s="87">
        <f t="shared" si="1"/>
        <v>6.6082612078962502E-2</v>
      </c>
      <c r="I38" s="88">
        <f>ROUND(H38*Savings!$C$18,4)</f>
        <v>-1.8E-3</v>
      </c>
      <c r="J38" s="103">
        <f t="shared" si="2"/>
        <v>-25649</v>
      </c>
      <c r="K38" s="84"/>
    </row>
    <row r="39" spans="1:13" s="57" customFormat="1" ht="15.75" customHeight="1" x14ac:dyDescent="0.2">
      <c r="A39" s="89">
        <v>210048</v>
      </c>
      <c r="B39" s="89" t="s">
        <v>145</v>
      </c>
      <c r="C39" s="86">
        <v>299669480.93341917</v>
      </c>
      <c r="D39" s="86">
        <f>VLOOKUP(A39,'Source  PAU%'!A:D,4,FALSE)</f>
        <v>21568990.635759685</v>
      </c>
      <c r="E39" s="86">
        <f>VLOOKUP(A39,'Source  PAU%'!A:E,5,FALSE)</f>
        <v>15582245.749999993</v>
      </c>
      <c r="F39" s="86">
        <f t="shared" si="0"/>
        <v>37151236.385759681</v>
      </c>
      <c r="G39" s="86">
        <f>VLOOKUP(A39,'Source  PAU%'!A:G,7,FALSE)</f>
        <v>313487982.43000001</v>
      </c>
      <c r="H39" s="87">
        <f t="shared" si="1"/>
        <v>0.11850928414474494</v>
      </c>
      <c r="I39" s="88">
        <f>ROUND(H39*Savings!$C$18,4)</f>
        <v>-3.3E-3</v>
      </c>
      <c r="J39" s="103">
        <f t="shared" si="2"/>
        <v>-988909</v>
      </c>
      <c r="K39" s="84"/>
    </row>
    <row r="40" spans="1:13" s="57" customFormat="1" ht="15.75" customHeight="1" x14ac:dyDescent="0.2">
      <c r="A40" s="89">
        <v>210049</v>
      </c>
      <c r="B40" s="89" t="s">
        <v>146</v>
      </c>
      <c r="C40" s="86">
        <v>311867569.56742662</v>
      </c>
      <c r="D40" s="86">
        <f>VLOOKUP(A40,'Source  PAU%'!A:D,4,FALSE)</f>
        <v>22374054.814152338</v>
      </c>
      <c r="E40" s="86">
        <f>VLOOKUP(A40,'Source  PAU%'!A:E,5,FALSE)</f>
        <v>19329559.539999966</v>
      </c>
      <c r="F40" s="86">
        <f t="shared" si="0"/>
        <v>41703614.354152307</v>
      </c>
      <c r="G40" s="86">
        <f>VLOOKUP(A40,'Source  PAU%'!A:G,7,FALSE)</f>
        <v>324703792.35000002</v>
      </c>
      <c r="H40" s="87">
        <f t="shared" si="1"/>
        <v>0.1284358708973739</v>
      </c>
      <c r="I40" s="88">
        <f>ROUND(H40*Savings!$C$18,4)</f>
        <v>-3.5999999999999999E-3</v>
      </c>
      <c r="J40" s="103">
        <f t="shared" si="2"/>
        <v>-1122723</v>
      </c>
      <c r="K40" s="84"/>
    </row>
    <row r="41" spans="1:13" s="60" customFormat="1" ht="15.75" customHeight="1" x14ac:dyDescent="0.2">
      <c r="A41" s="89">
        <v>210051</v>
      </c>
      <c r="B41" s="89" t="s">
        <v>147</v>
      </c>
      <c r="C41" s="86">
        <v>247543706.44282448</v>
      </c>
      <c r="D41" s="86">
        <f>VLOOKUP(A41,'Source  PAU%'!A:D,4,FALSE)</f>
        <v>21795715.334111966</v>
      </c>
      <c r="E41" s="86">
        <f>VLOOKUP(A41,'Source  PAU%'!A:E,5,FALSE)</f>
        <v>20859002.629999984</v>
      </c>
      <c r="F41" s="86">
        <f t="shared" si="0"/>
        <v>42654717.964111954</v>
      </c>
      <c r="G41" s="86">
        <f>VLOOKUP(A41,'Source  PAU%'!A:G,7,FALSE)</f>
        <v>192651394.59</v>
      </c>
      <c r="H41" s="87">
        <f t="shared" si="1"/>
        <v>0.22140882008609161</v>
      </c>
      <c r="I41" s="88">
        <f>ROUND(H41*Savings!$C$18,4)</f>
        <v>-6.1999999999999998E-3</v>
      </c>
      <c r="J41" s="103">
        <f t="shared" si="2"/>
        <v>-1534771</v>
      </c>
      <c r="K41" s="84"/>
    </row>
    <row r="42" spans="1:13" s="60" customFormat="1" ht="15.75" customHeight="1" x14ac:dyDescent="0.2">
      <c r="A42" s="89">
        <v>210055</v>
      </c>
      <c r="B42" s="89" t="s">
        <v>157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7"/>
      <c r="I42" s="88">
        <f>ROUND(H42*Savings!$C$18,4)</f>
        <v>0</v>
      </c>
      <c r="J42" s="103"/>
      <c r="K42" s="84"/>
    </row>
    <row r="43" spans="1:13" s="57" customFormat="1" ht="15.75" customHeight="1" x14ac:dyDescent="0.2">
      <c r="A43" s="89">
        <v>210056</v>
      </c>
      <c r="B43" s="89" t="s">
        <v>148</v>
      </c>
      <c r="C43" s="86">
        <v>258484446.35177794</v>
      </c>
      <c r="D43" s="86">
        <f>VLOOKUP(A43,'Source  PAU%'!A:D,4,FALSE)</f>
        <v>23923132.236104101</v>
      </c>
      <c r="E43" s="86">
        <f>VLOOKUP(A43,'Source  PAU%'!A:E,5,FALSE)</f>
        <v>19722494.160000037</v>
      </c>
      <c r="F43" s="86">
        <f t="shared" si="0"/>
        <v>43645626.396104142</v>
      </c>
      <c r="G43" s="86">
        <f>VLOOKUP(A43,'Source  PAU%'!A:G,7,FALSE)</f>
        <v>258410719.87</v>
      </c>
      <c r="H43" s="87">
        <f t="shared" si="1"/>
        <v>0.16890021597424892</v>
      </c>
      <c r="I43" s="88">
        <f>ROUND(H43*Savings!$C$18,4)</f>
        <v>-4.7000000000000002E-3</v>
      </c>
      <c r="J43" s="103">
        <f t="shared" si="2"/>
        <v>-1214877</v>
      </c>
      <c r="K43" s="84"/>
    </row>
    <row r="44" spans="1:13" s="57" customFormat="1" ht="15.75" customHeight="1" x14ac:dyDescent="0.2">
      <c r="A44" s="89">
        <v>210057</v>
      </c>
      <c r="B44" s="89" t="s">
        <v>149</v>
      </c>
      <c r="C44" s="86">
        <v>436099745.7649942</v>
      </c>
      <c r="D44" s="86">
        <f>VLOOKUP(A44,'Source  PAU%'!A:D,4,FALSE)</f>
        <v>24351329.303576913</v>
      </c>
      <c r="E44" s="86">
        <f>VLOOKUP(A44,'Source  PAU%'!A:E,5,FALSE)</f>
        <v>16745960.549999975</v>
      </c>
      <c r="F44" s="86">
        <f t="shared" si="0"/>
        <v>41097289.853576884</v>
      </c>
      <c r="G44" s="86">
        <f>VLOOKUP(A44,'Source  PAU%'!A:G,7,FALSE)</f>
        <v>427277908.75</v>
      </c>
      <c r="H44" s="87">
        <f t="shared" si="1"/>
        <v>9.6183980055994142E-2</v>
      </c>
      <c r="I44" s="88">
        <f>ROUND(H44*Savings!$C$18,4)</f>
        <v>-2.7000000000000001E-3</v>
      </c>
      <c r="J44" s="103">
        <f t="shared" si="2"/>
        <v>-1177469</v>
      </c>
      <c r="K44" s="84"/>
    </row>
    <row r="45" spans="1:13" s="57" customFormat="1" ht="15.75" customHeight="1" x14ac:dyDescent="0.2">
      <c r="A45" s="89">
        <v>210058</v>
      </c>
      <c r="B45" s="90" t="s">
        <v>150</v>
      </c>
      <c r="C45" s="86">
        <v>120383834.88650474</v>
      </c>
      <c r="D45" s="86">
        <f>VLOOKUP(A45,'Source  PAU%'!A:D,4,FALSE)</f>
        <v>0</v>
      </c>
      <c r="E45" s="86">
        <f>VLOOKUP(A45,'Source  PAU%'!A:E,5,FALSE)</f>
        <v>0</v>
      </c>
      <c r="F45" s="86">
        <f t="shared" si="0"/>
        <v>0</v>
      </c>
      <c r="G45" s="86">
        <f>VLOOKUP(A45,'Source  PAU%'!A:G,7,FALSE)</f>
        <v>125448599.77</v>
      </c>
      <c r="H45" s="87">
        <f t="shared" si="1"/>
        <v>0</v>
      </c>
      <c r="I45" s="88">
        <f>ROUND(H45*Savings!$C$18,4)</f>
        <v>0</v>
      </c>
      <c r="J45" s="103">
        <f t="shared" si="2"/>
        <v>0</v>
      </c>
      <c r="K45" s="84"/>
    </row>
    <row r="46" spans="1:13" s="57" customFormat="1" ht="15.75" customHeight="1" x14ac:dyDescent="0.2">
      <c r="A46" s="89">
        <v>210060</v>
      </c>
      <c r="B46" s="89" t="s">
        <v>151</v>
      </c>
      <c r="C46" s="86">
        <v>50264399.505942188</v>
      </c>
      <c r="D46" s="86">
        <f>VLOOKUP(A46,'Source  PAU%'!A:D,4,FALSE)</f>
        <v>2596218.4826666662</v>
      </c>
      <c r="E46" s="86">
        <f>VLOOKUP(A46,'Source  PAU%'!A:E,5,FALSE)</f>
        <v>5389133.2400000012</v>
      </c>
      <c r="F46" s="86">
        <f t="shared" si="0"/>
        <v>7985351.7226666678</v>
      </c>
      <c r="G46" s="86">
        <f>VLOOKUP(A46,'Source  PAU%'!A:G,7,FALSE)</f>
        <v>53455728.509999998</v>
      </c>
      <c r="H46" s="87">
        <f t="shared" si="1"/>
        <v>0.14938252541395713</v>
      </c>
      <c r="I46" s="88">
        <f>ROUND(H46*Savings!$C$18,4)</f>
        <v>-4.1999999999999997E-3</v>
      </c>
      <c r="J46" s="103">
        <f t="shared" si="2"/>
        <v>-211110</v>
      </c>
      <c r="K46" s="84"/>
    </row>
    <row r="47" spans="1:13" s="57" customFormat="1" ht="15.75" customHeight="1" x14ac:dyDescent="0.2">
      <c r="A47" s="89">
        <v>210061</v>
      </c>
      <c r="B47" s="89" t="s">
        <v>152</v>
      </c>
      <c r="C47" s="86">
        <v>107225177.28135918</v>
      </c>
      <c r="D47" s="86">
        <f>VLOOKUP(A47,'Source  PAU%'!A:D,4,FALSE)</f>
        <v>5329514.9955087686</v>
      </c>
      <c r="E47" s="86">
        <f>VLOOKUP(A47,'Source  PAU%'!A:E,5,FALSE)</f>
        <v>5425853.7900000019</v>
      </c>
      <c r="F47" s="86">
        <f t="shared" si="0"/>
        <v>10755368.78550877</v>
      </c>
      <c r="G47" s="86">
        <f>VLOOKUP(A47,'Source  PAU%'!A:G,7,FALSE)</f>
        <v>110941092.3</v>
      </c>
      <c r="H47" s="87">
        <f t="shared" si="1"/>
        <v>9.6946663878383063E-2</v>
      </c>
      <c r="I47" s="88">
        <f>ROUND(H47*Savings!$C$18,4)</f>
        <v>-2.7000000000000001E-3</v>
      </c>
      <c r="J47" s="103">
        <f t="shared" si="2"/>
        <v>-289508</v>
      </c>
      <c r="K47" s="84"/>
    </row>
    <row r="48" spans="1:13" s="57" customFormat="1" ht="15.75" customHeight="1" x14ac:dyDescent="0.2">
      <c r="A48" s="89">
        <v>210062</v>
      </c>
      <c r="B48" s="89" t="s">
        <v>153</v>
      </c>
      <c r="C48" s="86">
        <v>270197318.69968313</v>
      </c>
      <c r="D48" s="86">
        <f>VLOOKUP(A48,'Source  PAU%'!A:D,4,FALSE)</f>
        <v>19647710.434109744</v>
      </c>
      <c r="E48" s="86">
        <f>VLOOKUP(A48,'Source  PAU%'!A:E,5,FALSE)</f>
        <v>19761616.490000002</v>
      </c>
      <c r="F48" s="86">
        <f t="shared" si="0"/>
        <v>39409326.924109742</v>
      </c>
      <c r="G48" s="86">
        <f>VLOOKUP(A48,'Source  PAU%'!A:G,7,FALSE)</f>
        <v>265473083.25999999</v>
      </c>
      <c r="H48" s="87">
        <f t="shared" si="1"/>
        <v>0.14844942636053574</v>
      </c>
      <c r="I48" s="88">
        <f>ROUND(H48*Savings!$C$18,4)</f>
        <v>-4.1000000000000003E-3</v>
      </c>
      <c r="J48" s="103">
        <f t="shared" si="2"/>
        <v>-1107809</v>
      </c>
      <c r="K48" s="84"/>
    </row>
    <row r="49" spans="1:24" s="57" customFormat="1" ht="15.75" customHeight="1" x14ac:dyDescent="0.2">
      <c r="A49" s="89">
        <v>210063</v>
      </c>
      <c r="B49" s="89" t="s">
        <v>154</v>
      </c>
      <c r="C49" s="86">
        <v>375488512.26807195</v>
      </c>
      <c r="D49" s="86">
        <f>VLOOKUP(A49,'Source  PAU%'!A:D,4,FALSE)</f>
        <v>24501069.890296213</v>
      </c>
      <c r="E49" s="86">
        <f>VLOOKUP(A49,'Source  PAU%'!A:E,5,FALSE)</f>
        <v>9348378.9399999958</v>
      </c>
      <c r="F49" s="86">
        <f t="shared" si="0"/>
        <v>33849448.830296211</v>
      </c>
      <c r="G49" s="86">
        <f>VLOOKUP(A49,'Source  PAU%'!A:G,7,FALSE)</f>
        <v>399076808.11000001</v>
      </c>
      <c r="H49" s="87">
        <f t="shared" si="1"/>
        <v>8.4819383493129674E-2</v>
      </c>
      <c r="I49" s="88">
        <f>ROUND(H49*Savings!$C$18,4)</f>
        <v>-2.3999999999999998E-3</v>
      </c>
      <c r="J49" s="103">
        <f t="shared" si="2"/>
        <v>-901172</v>
      </c>
      <c r="K49" s="84"/>
    </row>
    <row r="50" spans="1:24" s="61" customFormat="1" ht="15.75" customHeight="1" x14ac:dyDescent="0.2">
      <c r="A50" s="89">
        <v>210064</v>
      </c>
      <c r="B50" s="89" t="s">
        <v>155</v>
      </c>
      <c r="C50" s="86">
        <v>59867175.208568588</v>
      </c>
      <c r="D50" s="86">
        <f>VLOOKUP(A50,'Source  PAU%'!A:D,4,FALSE)</f>
        <v>3934610.0411764705</v>
      </c>
      <c r="E50" s="86">
        <f>VLOOKUP(A50,'Source  PAU%'!A:E,5,FALSE)</f>
        <v>0</v>
      </c>
      <c r="F50" s="86">
        <f t="shared" si="0"/>
        <v>3934610.0411764705</v>
      </c>
      <c r="G50" s="86">
        <f>VLOOKUP(A50,'Source  PAU%'!A:G,7,FALSE)</f>
        <v>59722601.32</v>
      </c>
      <c r="H50" s="87">
        <f t="shared" si="1"/>
        <v>6.5881424355486704E-2</v>
      </c>
      <c r="I50" s="88">
        <f>ROUND(H50*Savings!$C$18,4)</f>
        <v>-1.8E-3</v>
      </c>
      <c r="J50" s="103">
        <f t="shared" si="2"/>
        <v>-107761</v>
      </c>
      <c r="K50" s="84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1:24" s="57" customFormat="1" ht="15.75" customHeight="1" x14ac:dyDescent="0.2">
      <c r="A51" s="90">
        <v>210065</v>
      </c>
      <c r="B51" s="90" t="s">
        <v>156</v>
      </c>
      <c r="C51" s="86">
        <v>103680715.85917763</v>
      </c>
      <c r="D51" s="86">
        <f>VLOOKUP(A51,'Source  PAU%'!A:D,4,FALSE)</f>
        <v>6812845.0889679752</v>
      </c>
      <c r="E51" s="86">
        <f>VLOOKUP(A51,'Source  PAU%'!A:E,5,FALSE)</f>
        <v>5290460.9300000053</v>
      </c>
      <c r="F51" s="86">
        <f t="shared" si="0"/>
        <v>12103306.018967981</v>
      </c>
      <c r="G51" s="86">
        <f>VLOOKUP(A51,'Source  PAU%'!A:G,7,FALSE)</f>
        <v>101193648.06</v>
      </c>
      <c r="H51" s="87">
        <f t="shared" si="1"/>
        <v>0.11960539273958833</v>
      </c>
      <c r="I51" s="88">
        <f>ROUND(H51*Savings!$C$18,4)</f>
        <v>-3.3E-3</v>
      </c>
      <c r="J51" s="103">
        <f t="shared" si="2"/>
        <v>-342146</v>
      </c>
      <c r="K51" s="84"/>
    </row>
    <row r="52" spans="1:24" s="57" customFormat="1" ht="12" customHeight="1" x14ac:dyDescent="0.2">
      <c r="A52" s="91"/>
      <c r="B52" s="91"/>
      <c r="C52" s="92"/>
      <c r="D52" s="92"/>
      <c r="E52" s="92"/>
      <c r="F52" s="92"/>
      <c r="G52" s="92"/>
      <c r="H52" s="93"/>
      <c r="I52" s="94"/>
      <c r="J52" s="104"/>
      <c r="K52" s="58"/>
    </row>
    <row r="53" spans="1:24" s="57" customFormat="1" ht="18.75" customHeight="1" x14ac:dyDescent="0.2">
      <c r="A53" s="95" t="s">
        <v>95</v>
      </c>
      <c r="B53" s="95" t="s">
        <v>95</v>
      </c>
      <c r="C53" s="96">
        <v>16900932302.753643</v>
      </c>
      <c r="D53" s="96">
        <f t="shared" ref="D53" si="3">SUM(D3:D51)</f>
        <v>1119467785.8101721</v>
      </c>
      <c r="E53" s="96">
        <f>SUM(E3:E51)</f>
        <v>728916524.52999997</v>
      </c>
      <c r="F53" s="96">
        <f>SUM(F4:F51)</f>
        <v>1848384310.3401718</v>
      </c>
      <c r="G53" s="96">
        <f>SUM(G4:G51)</f>
        <v>17159290121.420006</v>
      </c>
      <c r="H53" s="97">
        <f t="shared" si="1"/>
        <v>0.10771915954919527</v>
      </c>
      <c r="I53" s="98">
        <f>ROUND(H53*Savings!$C$18,4)</f>
        <v>-3.0000000000000001E-3</v>
      </c>
      <c r="J53" s="105">
        <f>I53*C53</f>
        <v>-50702796.908260927</v>
      </c>
      <c r="K53" s="84"/>
    </row>
    <row r="54" spans="1:24" ht="7.5" customHeight="1" x14ac:dyDescent="0.2">
      <c r="C54" s="62"/>
      <c r="D54" s="62"/>
      <c r="E54" s="62"/>
      <c r="F54" s="62"/>
      <c r="G54" s="62"/>
      <c r="H54" s="66"/>
      <c r="I54" s="66"/>
      <c r="J54" s="80"/>
    </row>
    <row r="55" spans="1:24" x14ac:dyDescent="0.2">
      <c r="A55" s="63" t="s">
        <v>111</v>
      </c>
      <c r="C55" s="62"/>
      <c r="D55" s="62"/>
      <c r="E55" s="62"/>
      <c r="F55" s="62"/>
      <c r="G55" s="62"/>
      <c r="H55" s="66"/>
      <c r="I55" s="66"/>
      <c r="J55" s="80"/>
    </row>
    <row r="56" spans="1:24" x14ac:dyDescent="0.2">
      <c r="A56" s="34" t="s">
        <v>160</v>
      </c>
      <c r="C56" s="62"/>
      <c r="D56" s="62"/>
      <c r="E56" s="62"/>
      <c r="F56" s="62"/>
      <c r="G56" s="62"/>
      <c r="H56" s="66"/>
      <c r="I56" s="66"/>
      <c r="J56" s="62"/>
    </row>
    <row r="57" spans="1:24" x14ac:dyDescent="0.2">
      <c r="A57" s="37" t="s">
        <v>71</v>
      </c>
      <c r="J57" s="65"/>
    </row>
    <row r="58" spans="1:24" x14ac:dyDescent="0.2">
      <c r="B58" s="57"/>
      <c r="C58" s="57"/>
      <c r="D58" s="57"/>
      <c r="E58" s="57"/>
      <c r="F58" s="57"/>
      <c r="G58" s="57"/>
      <c r="H58" s="58"/>
      <c r="I58" s="57"/>
      <c r="J58" s="57"/>
    </row>
  </sheetData>
  <autoFilter ref="A3:J3">
    <sortState ref="A4:O51">
      <sortCondition ref="A3"/>
    </sortState>
  </autoFilter>
  <pageMargins left="0.25" right="0.25" top="0.5" bottom="0.5" header="0.3" footer="0.3"/>
  <pageSetup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8CC6F7-36F1-49A7-AA25-95E259DA6958}"/>
</file>

<file path=customXml/itemProps2.xml><?xml version="1.0" encoding="utf-8"?>
<ds:datastoreItem xmlns:ds="http://schemas.openxmlformats.org/officeDocument/2006/customXml" ds:itemID="{9226A26D-67C6-4755-A7C5-EBF373A81995}"/>
</file>

<file path=customXml/itemProps3.xml><?xml version="1.0" encoding="utf-8"?>
<ds:datastoreItem xmlns:ds="http://schemas.openxmlformats.org/officeDocument/2006/customXml" ds:itemID="{86806304-B0EB-451A-A844-BED903F82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Source  PAU%</vt:lpstr>
      <vt:lpstr>Savings</vt:lpstr>
      <vt:lpstr>PAU Savings</vt:lpstr>
      <vt:lpstr>'PAU Savings'!Print_Area</vt:lpstr>
      <vt:lpstr>'PAU Savings'!Print_Titles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cp:lastPrinted>2019-04-30T18:56:27Z</cp:lastPrinted>
  <dcterms:created xsi:type="dcterms:W3CDTF">2017-08-22T16:40:20Z</dcterms:created>
  <dcterms:modified xsi:type="dcterms:W3CDTF">2019-06-20T21:19:41Z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