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feeney\Documents\"/>
    </mc:Choice>
  </mc:AlternateContent>
  <xr:revisionPtr revIDLastSave="0" documentId="13_ncr:1_{E2C16E18-DAF4-42F9-9AE5-22BB0F3769C4}" xr6:coauthVersionLast="47" xr6:coauthVersionMax="47" xr10:uidLastSave="{00000000-0000-0000-0000-000000000000}"/>
  <bookViews>
    <workbookView xWindow="7140" yWindow="3140" windowWidth="20660" windowHeight="10460" xr2:uid="{81E0D371-3898-41D3-9BB5-74E308D30CCC}"/>
  </bookViews>
  <sheets>
    <sheet name="Cover Sheet" sheetId="3" r:id="rId1"/>
    <sheet name="Model Summaries" sheetId="8" r:id="rId2"/>
    <sheet name=" MHAC Prelim Rev Adj M1" sheetId="10" r:id="rId3"/>
    <sheet name="MHAC Prelim Rev Adj M2" sheetId="11" r:id="rId4"/>
    <sheet name="RRIP Prelim Rev Adj M1" sheetId="12" r:id="rId5"/>
    <sheet name="RRIP Prelim Rev Adj M2" sheetId="1" r:id="rId6"/>
    <sheet name="QBR Prelim CURRENT Scale" sheetId="4" r:id="rId7"/>
    <sheet name="QBR Prelim ADJUSTED Scale" sheetId="5" r:id="rId8"/>
  </sheets>
  <externalReferences>
    <externalReference r:id="rId9"/>
    <externalReference r:id="rId10"/>
    <externalReference r:id="rId11"/>
  </externalReferences>
  <definedNames>
    <definedName name="_xlnm._FilterDatabase" localSheetId="1" hidden="1">'Model Summaries'!$A$3:$M$3</definedName>
    <definedName name="_xlnm._FilterDatabase" localSheetId="4" hidden="1">'RRIP Prelim Rev Adj M1'!$A$3:$R$3</definedName>
    <definedName name="_xlnm._FilterDatabase" localSheetId="5" hidden="1">'RRIP Prelim Rev Adj M2'!$A$3:$R$3</definedName>
    <definedName name="AttMaxPenaltyScore">'RRIP Prelim Rev Adj M1'!$C$66</definedName>
    <definedName name="AttMaxRewardScore">'RRIP Prelim Rev Adj M1'!$C$65</definedName>
    <definedName name="AttTarget">'RRIP Prelim Rev Adj M1'!$C$64</definedName>
    <definedName name="ImpMaxPenaltyScore">'RRIP Prelim Rev Adj M1'!$C$63</definedName>
    <definedName name="ImpMaxRewardScore">'RRIP Prelim Rev Adj M1'!$C$62</definedName>
    <definedName name="ImpTarget">'RRIP Prelim Rev Adj M1'!$C$61</definedName>
    <definedName name="MaxPenalty">'RRIP Prelim Rev Adj M1'!$C$59</definedName>
    <definedName name="MaxReward">'RRIP Prelim Rev Adj M1'!$C$58</definedName>
    <definedName name="MHAC_Highest_Score">' MHAC Prelim Rev Adj M1'!$B$56</definedName>
    <definedName name="MHAC_Highest_Score2">'MHAC Prelim Rev Adj M2'!$B$56</definedName>
    <definedName name="MHAC_Lowest_Score">' MHAC Prelim Rev Adj M1'!$B$54</definedName>
    <definedName name="MHAC_Lowest_Score2">'MHAC Prelim Rev Adj M2'!$B$54</definedName>
    <definedName name="MHAC_Max_Penalty">' MHAC Prelim Rev Adj M1'!$B$55</definedName>
    <definedName name="MHAC_Max_Penalty2">'MHAC Prelim Rev Adj M2'!$B$55</definedName>
    <definedName name="MHAC_Max_Reward">' MHAC Prelim Rev Adj M1'!$B$57</definedName>
    <definedName name="MHAC_Max_Reward2">'MHAC Prelim Rev Adj M2'!$B$57</definedName>
    <definedName name="MHAC_Penalty_Threshold">' MHAC Prelim Rev Adj M1'!$B$58</definedName>
    <definedName name="MHAC_Penalty_Threshold2">'MHAC Prelim Rev Adj M2'!$B$58</definedName>
    <definedName name="MHAC_Reward_Threshold">' MHAC Prelim Rev Adj M1'!$B$59</definedName>
    <definedName name="MHAC_Reward_Threshold2">'MHAC Prelim Rev Adj M2'!$B$59</definedName>
    <definedName name="QBR__Threshold">'QBR Prelim CURRENT Scale'!$C$54</definedName>
    <definedName name="QBR__Threshold2">'QBR Prelim ADJUSTED Scale'!$C$54</definedName>
    <definedName name="QBR_Highest_Score">'QBR Prelim CURRENT Scale'!$C$52</definedName>
    <definedName name="QBR_Highest_Score2">'QBR Prelim ADJUSTED Scale'!$C$52</definedName>
    <definedName name="QBR_Lowest_Score">'QBR Prelim CURRENT Scale'!$C$50</definedName>
    <definedName name="QBR_Lowest_Score2">'QBR Prelim ADJUSTED Scale'!$C$50</definedName>
    <definedName name="QBR_Max_Penalty">'QBR Prelim CURRENT Scale'!$C$51</definedName>
    <definedName name="QBR_Max_Penalty2">'QBR Prelim ADJUSTED Scale'!$C$51</definedName>
    <definedName name="QBR_Max_Reward">'QBR Prelim CURRENT Scale'!$C$53</definedName>
    <definedName name="QBR_Max_Reward2">'QBR Prelim ADJUSTED Scale'!$C$53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4" i="1" l="1"/>
  <c r="E4" i="5"/>
  <c r="E5" i="5"/>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F39" i="5" s="1"/>
  <c r="J42" i="8" s="1"/>
  <c r="E40" i="5"/>
  <c r="E41" i="5"/>
  <c r="E42" i="5"/>
  <c r="E43" i="5"/>
  <c r="E3" i="5"/>
  <c r="E40" i="4" a="1"/>
  <c r="E40" i="4" s="1"/>
  <c r="E3" i="4" a="1"/>
  <c r="E3" i="4" s="1"/>
  <c r="E43" i="4" a="1"/>
  <c r="E43" i="4" s="1"/>
  <c r="H7" i="1"/>
  <c r="H21" i="1"/>
  <c r="H45" i="1"/>
  <c r="H5" i="1"/>
  <c r="H6" i="1"/>
  <c r="H8" i="1"/>
  <c r="H9" i="1"/>
  <c r="H10" i="1"/>
  <c r="H11" i="1"/>
  <c r="H12" i="1"/>
  <c r="H13" i="1"/>
  <c r="H14" i="1"/>
  <c r="H15" i="1"/>
  <c r="H16" i="1"/>
  <c r="H17" i="1"/>
  <c r="H18" i="1"/>
  <c r="H19" i="1"/>
  <c r="H20" i="1"/>
  <c r="H22" i="1"/>
  <c r="H23" i="1"/>
  <c r="H24" i="1"/>
  <c r="H25" i="1"/>
  <c r="H26" i="1"/>
  <c r="H27" i="1"/>
  <c r="H28" i="1"/>
  <c r="H29" i="1"/>
  <c r="H30" i="1"/>
  <c r="H31" i="1"/>
  <c r="H32" i="1"/>
  <c r="H33" i="1"/>
  <c r="H34" i="1"/>
  <c r="H35" i="1"/>
  <c r="H36" i="1"/>
  <c r="H37" i="1"/>
  <c r="H38" i="1"/>
  <c r="H39" i="1"/>
  <c r="H40" i="1"/>
  <c r="H41" i="1"/>
  <c r="H42" i="1"/>
  <c r="H43" i="1"/>
  <c r="H44" i="1"/>
  <c r="H46" i="1"/>
  <c r="H47" i="1"/>
  <c r="H4" i="1"/>
  <c r="H4" i="12" a="1"/>
  <c r="H4" i="12" s="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3" i="11"/>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F41" i="8"/>
  <c r="J25" i="8"/>
  <c r="J41" i="8"/>
  <c r="J46"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C4" i="8"/>
  <c r="F37" i="5"/>
  <c r="J39" i="8" s="1"/>
  <c r="F38" i="5"/>
  <c r="J40" i="8" s="1"/>
  <c r="F40" i="5"/>
  <c r="J43" i="8" s="1"/>
  <c r="E37" i="4"/>
  <c r="F37" i="4" s="1"/>
  <c r="E38" i="4"/>
  <c r="F38" i="4" s="1"/>
  <c r="C49" i="8" l="1"/>
  <c r="F25" i="8"/>
  <c r="F39" i="8"/>
  <c r="F40" i="8"/>
  <c r="F46" i="8"/>
  <c r="L41" i="1"/>
  <c r="M41" i="1" s="1"/>
  <c r="L39" i="1"/>
  <c r="M39" i="1" s="1"/>
  <c r="L40" i="1"/>
  <c r="M40" i="1" s="1"/>
  <c r="K39" i="1"/>
  <c r="K40" i="1"/>
  <c r="K41" i="1"/>
  <c r="I39" i="1"/>
  <c r="I40" i="1"/>
  <c r="I41" i="1"/>
  <c r="G39" i="1"/>
  <c r="G40" i="1"/>
  <c r="G41" i="1"/>
  <c r="F39" i="1"/>
  <c r="F40" i="1"/>
  <c r="F41" i="1"/>
  <c r="L39" i="12"/>
  <c r="M39" i="12" s="1"/>
  <c r="L40" i="12"/>
  <c r="M40" i="12" s="1"/>
  <c r="L41" i="12"/>
  <c r="M41" i="12" s="1"/>
  <c r="K39" i="12"/>
  <c r="K40" i="12"/>
  <c r="K41" i="12"/>
  <c r="H39" i="12"/>
  <c r="I39" i="12" s="1"/>
  <c r="H40" i="12"/>
  <c r="I40" i="12" s="1"/>
  <c r="H41" i="12"/>
  <c r="I41" i="12" s="1"/>
  <c r="H42" i="12"/>
  <c r="G39" i="12"/>
  <c r="G40" i="12"/>
  <c r="G41" i="12"/>
  <c r="G36" i="12"/>
  <c r="F39" i="12"/>
  <c r="F40" i="12"/>
  <c r="F41" i="12"/>
  <c r="N40" i="1" l="1"/>
  <c r="I40" i="8" s="1"/>
  <c r="N41" i="12"/>
  <c r="O41" i="12" s="1"/>
  <c r="N39" i="1"/>
  <c r="I39" i="8" s="1"/>
  <c r="N39" i="12"/>
  <c r="O39" i="12" s="1"/>
  <c r="N41" i="1"/>
  <c r="I41" i="8" s="1"/>
  <c r="N40" i="12"/>
  <c r="P40" i="1" l="1"/>
  <c r="O40" i="1"/>
  <c r="P39" i="1"/>
  <c r="O39" i="1"/>
  <c r="E41" i="8"/>
  <c r="E39" i="8"/>
  <c r="E40" i="8"/>
  <c r="O40" i="12"/>
  <c r="P41" i="1"/>
  <c r="O41" i="1"/>
  <c r="C49" i="12" l="1"/>
  <c r="K47" i="12"/>
  <c r="G47" i="12"/>
  <c r="K46" i="12"/>
  <c r="G46" i="12"/>
  <c r="F46" i="12"/>
  <c r="H46" i="12" s="1"/>
  <c r="I46" i="12" s="1"/>
  <c r="K45" i="12"/>
  <c r="G45" i="12"/>
  <c r="K44" i="12"/>
  <c r="G44" i="12"/>
  <c r="F44" i="12"/>
  <c r="H44" i="12" s="1"/>
  <c r="I44" i="12" s="1"/>
  <c r="K43" i="12"/>
  <c r="G43" i="12"/>
  <c r="F43" i="12"/>
  <c r="H43" i="12" s="1"/>
  <c r="I43" i="12" s="1"/>
  <c r="K42" i="12"/>
  <c r="G42" i="12"/>
  <c r="F42" i="12"/>
  <c r="I42" i="12" s="1"/>
  <c r="K38" i="12"/>
  <c r="G38" i="12"/>
  <c r="F38" i="12"/>
  <c r="H38" i="12" s="1"/>
  <c r="I38" i="12" s="1"/>
  <c r="K37" i="12"/>
  <c r="G37" i="12"/>
  <c r="F37" i="12"/>
  <c r="H37" i="12" s="1"/>
  <c r="I37" i="12" s="1"/>
  <c r="K36" i="12"/>
  <c r="K35" i="12"/>
  <c r="H35" i="12"/>
  <c r="I35" i="12" s="1"/>
  <c r="G35" i="12"/>
  <c r="F35" i="12"/>
  <c r="K34" i="12"/>
  <c r="G34" i="12"/>
  <c r="K33" i="12"/>
  <c r="G33" i="12"/>
  <c r="F33" i="12"/>
  <c r="H33" i="12" s="1"/>
  <c r="I33" i="12" s="1"/>
  <c r="K32" i="12"/>
  <c r="G32" i="12"/>
  <c r="F32" i="12"/>
  <c r="H32" i="12" s="1"/>
  <c r="I32" i="12" s="1"/>
  <c r="K31" i="12"/>
  <c r="G31" i="12"/>
  <c r="F31" i="12"/>
  <c r="H31" i="12" s="1"/>
  <c r="I31" i="12" s="1"/>
  <c r="K30" i="12"/>
  <c r="G30" i="12"/>
  <c r="F30" i="12"/>
  <c r="H30" i="12" s="1"/>
  <c r="I30" i="12" s="1"/>
  <c r="K29" i="12"/>
  <c r="G29" i="12"/>
  <c r="F29" i="12"/>
  <c r="H29" i="12" s="1"/>
  <c r="I29" i="12" s="1"/>
  <c r="K28" i="12"/>
  <c r="G28" i="12"/>
  <c r="K27" i="12"/>
  <c r="G27" i="12"/>
  <c r="F27" i="12"/>
  <c r="H27" i="12" s="1"/>
  <c r="I27" i="12" s="1"/>
  <c r="K26" i="12"/>
  <c r="G26" i="12"/>
  <c r="K25" i="12"/>
  <c r="G25" i="12"/>
  <c r="F25" i="12"/>
  <c r="H25" i="12" s="1"/>
  <c r="I25" i="12" s="1"/>
  <c r="K24" i="12"/>
  <c r="G24" i="12"/>
  <c r="F24" i="12"/>
  <c r="H24" i="12" s="1"/>
  <c r="I24" i="12" s="1"/>
  <c r="K23" i="12"/>
  <c r="G23" i="12"/>
  <c r="F23" i="12"/>
  <c r="H23" i="12" s="1"/>
  <c r="I23" i="12" s="1"/>
  <c r="K22" i="12"/>
  <c r="G22" i="12"/>
  <c r="F22" i="12"/>
  <c r="H22" i="12" s="1"/>
  <c r="I22" i="12" s="1"/>
  <c r="K21" i="12"/>
  <c r="G21" i="12"/>
  <c r="F21" i="12"/>
  <c r="H21" i="12" s="1"/>
  <c r="I21" i="12" s="1"/>
  <c r="K20" i="12"/>
  <c r="G20" i="12"/>
  <c r="K19" i="12"/>
  <c r="G19" i="12"/>
  <c r="F19" i="12"/>
  <c r="H19" i="12" s="1"/>
  <c r="I19" i="12" s="1"/>
  <c r="K18" i="12"/>
  <c r="G18" i="12"/>
  <c r="K17" i="12"/>
  <c r="G17" i="12"/>
  <c r="F17" i="12"/>
  <c r="H17" i="12" s="1"/>
  <c r="I17" i="12" s="1"/>
  <c r="K16" i="12"/>
  <c r="G16" i="12"/>
  <c r="F16" i="12"/>
  <c r="H16" i="12" s="1"/>
  <c r="I16" i="12" s="1"/>
  <c r="K15" i="12"/>
  <c r="G15" i="12"/>
  <c r="F15" i="12"/>
  <c r="H15" i="12" s="1"/>
  <c r="I15" i="12" s="1"/>
  <c r="K14" i="12"/>
  <c r="G14" i="12"/>
  <c r="F14" i="12"/>
  <c r="H14" i="12" s="1"/>
  <c r="I14" i="12" s="1"/>
  <c r="K13" i="12"/>
  <c r="G13" i="12"/>
  <c r="F13" i="12"/>
  <c r="H13" i="12" s="1"/>
  <c r="I13" i="12" s="1"/>
  <c r="K12" i="12"/>
  <c r="G12" i="12"/>
  <c r="K11" i="12"/>
  <c r="G11" i="12"/>
  <c r="F11" i="12"/>
  <c r="H11" i="12" s="1"/>
  <c r="I11" i="12" s="1"/>
  <c r="K10" i="12"/>
  <c r="G10" i="12"/>
  <c r="F10" i="12"/>
  <c r="H10" i="12" s="1"/>
  <c r="I10" i="12" s="1"/>
  <c r="K9" i="12"/>
  <c r="G9" i="12"/>
  <c r="F9" i="12"/>
  <c r="H9" i="12" s="1"/>
  <c r="I9" i="12" s="1"/>
  <c r="K8" i="12"/>
  <c r="G8" i="12"/>
  <c r="F8" i="12"/>
  <c r="H8" i="12" s="1"/>
  <c r="I8" i="12" s="1"/>
  <c r="K7" i="12"/>
  <c r="G7" i="12"/>
  <c r="F7" i="12"/>
  <c r="H7" i="12" s="1"/>
  <c r="I7" i="12" s="1"/>
  <c r="K6" i="12"/>
  <c r="G6" i="12"/>
  <c r="F6" i="12"/>
  <c r="H6" i="12" s="1"/>
  <c r="I6" i="12" s="1"/>
  <c r="K5" i="12"/>
  <c r="G5" i="12"/>
  <c r="F5" i="12"/>
  <c r="H5" i="12" s="1"/>
  <c r="I5" i="12" s="1"/>
  <c r="K4" i="12"/>
  <c r="G4" i="12"/>
  <c r="F45" i="12" l="1"/>
  <c r="H45" i="12" s="1"/>
  <c r="I45" i="12" s="1"/>
  <c r="F34" i="12"/>
  <c r="H34" i="12" s="1"/>
  <c r="I34" i="12" s="1"/>
  <c r="F26" i="12"/>
  <c r="H26" i="12" s="1"/>
  <c r="I26" i="12" s="1"/>
  <c r="F18" i="12"/>
  <c r="H18" i="12" s="1"/>
  <c r="I18" i="12" s="1"/>
  <c r="F47" i="12"/>
  <c r="H47" i="12" s="1"/>
  <c r="I47" i="12" s="1"/>
  <c r="F36" i="12"/>
  <c r="H36" i="12" s="1"/>
  <c r="I36" i="12" s="1"/>
  <c r="F28" i="12"/>
  <c r="H28" i="12" s="1"/>
  <c r="I28" i="12" s="1"/>
  <c r="F20" i="12"/>
  <c r="H20" i="12" s="1"/>
  <c r="I20" i="12" s="1"/>
  <c r="I51" i="12" s="1"/>
  <c r="F12" i="12"/>
  <c r="H12" i="12" s="1"/>
  <c r="I12" i="12" s="1"/>
  <c r="F4" i="12"/>
  <c r="I4" i="12" s="1"/>
  <c r="I50" i="12" l="1"/>
  <c r="I49" i="12"/>
  <c r="L37" i="12" l="1"/>
  <c r="M37" i="12" s="1"/>
  <c r="N37" i="12" s="1"/>
  <c r="L28" i="12"/>
  <c r="M28" i="12" s="1"/>
  <c r="N28" i="12" s="1"/>
  <c r="L25" i="12"/>
  <c r="M25" i="12" s="1"/>
  <c r="N25" i="12" s="1"/>
  <c r="L21" i="12"/>
  <c r="M21" i="12" s="1"/>
  <c r="N21" i="12" s="1"/>
  <c r="L20" i="12"/>
  <c r="M20" i="12" s="1"/>
  <c r="N20" i="12" s="1"/>
  <c r="L19" i="12"/>
  <c r="M19" i="12" s="1"/>
  <c r="N19" i="12" s="1"/>
  <c r="L5" i="12"/>
  <c r="M5" i="12" s="1"/>
  <c r="N5" i="12" s="1"/>
  <c r="L26" i="12"/>
  <c r="M26" i="12" s="1"/>
  <c r="N26" i="12" s="1"/>
  <c r="L33" i="12"/>
  <c r="M33" i="12" s="1"/>
  <c r="N33" i="12" s="1"/>
  <c r="L42" i="12"/>
  <c r="M42" i="12" s="1"/>
  <c r="N42" i="12" s="1"/>
  <c r="L9" i="12"/>
  <c r="M9" i="12" s="1"/>
  <c r="N9" i="12" s="1"/>
  <c r="L23" i="12"/>
  <c r="M23" i="12" s="1"/>
  <c r="N23" i="12" s="1"/>
  <c r="L44" i="12"/>
  <c r="M44" i="12" s="1"/>
  <c r="N44" i="12" s="1"/>
  <c r="L32" i="12"/>
  <c r="M32" i="12" s="1"/>
  <c r="N32" i="12" s="1"/>
  <c r="L46" i="12"/>
  <c r="M46" i="12" s="1"/>
  <c r="N46" i="12" s="1"/>
  <c r="L47" i="12"/>
  <c r="M47" i="12" s="1"/>
  <c r="N47" i="12" s="1"/>
  <c r="L31" i="12"/>
  <c r="M31" i="12" s="1"/>
  <c r="N31" i="12" s="1"/>
  <c r="L15" i="12"/>
  <c r="M15" i="12" s="1"/>
  <c r="N15" i="12" s="1"/>
  <c r="L45" i="12"/>
  <c r="M45" i="12" s="1"/>
  <c r="N45" i="12" s="1"/>
  <c r="L29" i="12"/>
  <c r="M29" i="12" s="1"/>
  <c r="N29" i="12" s="1"/>
  <c r="L43" i="12"/>
  <c r="M43" i="12" s="1"/>
  <c r="N43" i="12" s="1"/>
  <c r="L27" i="12"/>
  <c r="M27" i="12" s="1"/>
  <c r="N27" i="12" s="1"/>
  <c r="L11" i="12"/>
  <c r="M11" i="12" s="1"/>
  <c r="N11" i="12" s="1"/>
  <c r="L24" i="12"/>
  <c r="M24" i="12" s="1"/>
  <c r="N24" i="12" s="1"/>
  <c r="L8" i="12"/>
  <c r="M8" i="12" s="1"/>
  <c r="N8" i="12" s="1"/>
  <c r="L38" i="12"/>
  <c r="M38" i="12" s="1"/>
  <c r="N38" i="12" s="1"/>
  <c r="L22" i="12"/>
  <c r="M22" i="12" s="1"/>
  <c r="N22" i="12" s="1"/>
  <c r="L6" i="12"/>
  <c r="M6" i="12" s="1"/>
  <c r="N6" i="12" s="1"/>
  <c r="L12" i="12"/>
  <c r="M12" i="12" s="1"/>
  <c r="N12" i="12" s="1"/>
  <c r="L34" i="12"/>
  <c r="M34" i="12" s="1"/>
  <c r="N34" i="12" s="1"/>
  <c r="L18" i="12"/>
  <c r="M18" i="12" s="1"/>
  <c r="N18" i="12" s="1"/>
  <c r="L10" i="12"/>
  <c r="M10" i="12" s="1"/>
  <c r="N10" i="12" s="1"/>
  <c r="L4" i="12"/>
  <c r="M4" i="12" s="1"/>
  <c r="E21" i="8" l="1"/>
  <c r="E34" i="8"/>
  <c r="E11" i="8"/>
  <c r="E15" i="8"/>
  <c r="E46" i="8"/>
  <c r="E25" i="8"/>
  <c r="E42" i="8"/>
  <c r="E6" i="8"/>
  <c r="E47" i="8"/>
  <c r="E33" i="8"/>
  <c r="E12" i="8"/>
  <c r="E27" i="8"/>
  <c r="E44" i="8"/>
  <c r="E26" i="8"/>
  <c r="E45" i="8"/>
  <c r="E31" i="8"/>
  <c r="E22" i="8"/>
  <c r="E38" i="8"/>
  <c r="E43" i="8"/>
  <c r="E23" i="8"/>
  <c r="E32" i="8"/>
  <c r="E28" i="8"/>
  <c r="E8" i="8"/>
  <c r="E19" i="8"/>
  <c r="E37" i="8"/>
  <c r="E18" i="8"/>
  <c r="E5" i="8"/>
  <c r="E10" i="8"/>
  <c r="E24" i="8"/>
  <c r="E29" i="8"/>
  <c r="E9" i="8"/>
  <c r="E20" i="8"/>
  <c r="P18" i="12"/>
  <c r="O18" i="12"/>
  <c r="P28" i="12"/>
  <c r="O28" i="12"/>
  <c r="O8" i="12"/>
  <c r="P8" i="12"/>
  <c r="P44" i="12"/>
  <c r="O44" i="12"/>
  <c r="O26" i="12"/>
  <c r="P26" i="12"/>
  <c r="O21" i="12"/>
  <c r="P21" i="12"/>
  <c r="O34" i="12"/>
  <c r="P34" i="12"/>
  <c r="P9" i="12"/>
  <c r="O9" i="12"/>
  <c r="P10" i="12"/>
  <c r="O10" i="12"/>
  <c r="O24" i="12"/>
  <c r="P24" i="12"/>
  <c r="O29" i="12"/>
  <c r="P29" i="12"/>
  <c r="P23" i="12"/>
  <c r="O23" i="12"/>
  <c r="O25" i="12"/>
  <c r="P25" i="12"/>
  <c r="L7" i="12"/>
  <c r="M7" i="12" s="1"/>
  <c r="N7" i="12" s="1"/>
  <c r="P12" i="12"/>
  <c r="O12" i="12"/>
  <c r="P31" i="12"/>
  <c r="O31" i="12"/>
  <c r="P42" i="12"/>
  <c r="O42" i="12"/>
  <c r="L13" i="12"/>
  <c r="M13" i="12" s="1"/>
  <c r="N13" i="12" s="1"/>
  <c r="L35" i="12"/>
  <c r="M35" i="12" s="1"/>
  <c r="N35" i="12" s="1"/>
  <c r="O15" i="12"/>
  <c r="P15" i="12"/>
  <c r="L30" i="12"/>
  <c r="M30" i="12" s="1"/>
  <c r="N30" i="12" s="1"/>
  <c r="O6" i="12"/>
  <c r="P6" i="12"/>
  <c r="P47" i="12"/>
  <c r="O47" i="12"/>
  <c r="O46" i="12"/>
  <c r="P46" i="12"/>
  <c r="L14" i="12"/>
  <c r="M14" i="12" s="1"/>
  <c r="N14" i="12" s="1"/>
  <c r="L36" i="12"/>
  <c r="M36" i="12" s="1"/>
  <c r="N36" i="12" s="1"/>
  <c r="P45" i="12"/>
  <c r="O45" i="12"/>
  <c r="L16" i="12"/>
  <c r="M16" i="12" s="1"/>
  <c r="N16" i="12" s="1"/>
  <c r="O11" i="12"/>
  <c r="P11" i="12"/>
  <c r="P27" i="12"/>
  <c r="O27" i="12"/>
  <c r="P32" i="12"/>
  <c r="O32" i="12"/>
  <c r="O19" i="12"/>
  <c r="P19" i="12"/>
  <c r="P37" i="12"/>
  <c r="O37" i="12"/>
  <c r="P5" i="12"/>
  <c r="O5" i="12"/>
  <c r="P22" i="12"/>
  <c r="O22" i="12"/>
  <c r="P38" i="12"/>
  <c r="O38" i="12"/>
  <c r="O43" i="12"/>
  <c r="P43" i="12"/>
  <c r="L17" i="12"/>
  <c r="M17" i="12" s="1"/>
  <c r="N17" i="12" s="1"/>
  <c r="P33" i="12"/>
  <c r="O33" i="12"/>
  <c r="P20" i="12"/>
  <c r="O20" i="12"/>
  <c r="N4" i="12"/>
  <c r="E13" i="8" l="1"/>
  <c r="E14" i="8"/>
  <c r="E30" i="8"/>
  <c r="E7" i="8"/>
  <c r="E35" i="8"/>
  <c r="E36" i="8"/>
  <c r="E16" i="8"/>
  <c r="E17" i="8"/>
  <c r="E4" i="8"/>
  <c r="O35" i="12"/>
  <c r="P35" i="12"/>
  <c r="O36" i="12"/>
  <c r="P36" i="12"/>
  <c r="P13" i="12"/>
  <c r="O13" i="12"/>
  <c r="O14" i="12"/>
  <c r="P14" i="12"/>
  <c r="O30" i="12"/>
  <c r="P30" i="12"/>
  <c r="P7" i="12"/>
  <c r="O7" i="12"/>
  <c r="M51" i="12"/>
  <c r="O16" i="12"/>
  <c r="P16" i="12"/>
  <c r="M49" i="12"/>
  <c r="O17" i="12"/>
  <c r="P17" i="12"/>
  <c r="M50" i="12"/>
  <c r="O4" i="12"/>
  <c r="AF54" i="12" s="1"/>
  <c r="N51" i="12"/>
  <c r="P4" i="12"/>
  <c r="N50" i="12"/>
  <c r="N49" i="12"/>
  <c r="C4" i="10" l="1"/>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3" i="10"/>
  <c r="F5" i="11" l="1"/>
  <c r="H6" i="8" s="1"/>
  <c r="F12" i="11"/>
  <c r="H13" i="8" s="1"/>
  <c r="F14" i="11"/>
  <c r="H15" i="8" s="1"/>
  <c r="F28" i="11"/>
  <c r="H29" i="8" s="1"/>
  <c r="F25" i="11"/>
  <c r="H26" i="8" s="1"/>
  <c r="F13" i="11"/>
  <c r="H14" i="8" s="1"/>
  <c r="F4" i="11"/>
  <c r="H5" i="8" s="1"/>
  <c r="F20" i="11"/>
  <c r="H21" i="8" s="1"/>
  <c r="F17" i="11"/>
  <c r="H18" i="8" s="1"/>
  <c r="F39" i="11"/>
  <c r="H40" i="8" s="1"/>
  <c r="K40" i="8" s="1"/>
  <c r="F26" i="11"/>
  <c r="H27" i="8" s="1"/>
  <c r="F18" i="11"/>
  <c r="H19" i="8" s="1"/>
  <c r="F10" i="11"/>
  <c r="H11" i="8" s="1"/>
  <c r="F19" i="11"/>
  <c r="H20" i="8" s="1"/>
  <c r="F33" i="11"/>
  <c r="H34" i="8" s="1"/>
  <c r="F3" i="11"/>
  <c r="H4" i="8" s="1"/>
  <c r="D48" i="11"/>
  <c r="D49" i="11"/>
  <c r="F6" i="11"/>
  <c r="H7" i="8" s="1"/>
  <c r="F7" i="11"/>
  <c r="H8" i="8" s="1"/>
  <c r="F8" i="11"/>
  <c r="H9" i="8" s="1"/>
  <c r="F9" i="11"/>
  <c r="H10" i="8" s="1"/>
  <c r="F11" i="11"/>
  <c r="H12" i="8" s="1"/>
  <c r="F15" i="11"/>
  <c r="H16" i="8" s="1"/>
  <c r="F16" i="11"/>
  <c r="H17" i="8" s="1"/>
  <c r="F21" i="11"/>
  <c r="H22" i="8" s="1"/>
  <c r="F22" i="11"/>
  <c r="H23" i="8" s="1"/>
  <c r="F23" i="11"/>
  <c r="H24" i="8" s="1"/>
  <c r="F24" i="11"/>
  <c r="H25" i="8" s="1"/>
  <c r="F27" i="11"/>
  <c r="H28" i="8" s="1"/>
  <c r="F29" i="11"/>
  <c r="H30" i="8" s="1"/>
  <c r="F30" i="11"/>
  <c r="H31" i="8" s="1"/>
  <c r="F31" i="11"/>
  <c r="H32" i="8" s="1"/>
  <c r="F32" i="11"/>
  <c r="H33" i="8" s="1"/>
  <c r="F34" i="11"/>
  <c r="H35" i="8" s="1"/>
  <c r="F35" i="11"/>
  <c r="H36" i="8" s="1"/>
  <c r="F36" i="11"/>
  <c r="H37" i="8" s="1"/>
  <c r="F37" i="11"/>
  <c r="H38" i="8" s="1"/>
  <c r="F38" i="11"/>
  <c r="H39" i="8" s="1"/>
  <c r="K39" i="8" s="1"/>
  <c r="F40" i="11"/>
  <c r="H41" i="8" s="1"/>
  <c r="K41" i="8" s="1"/>
  <c r="F41" i="11"/>
  <c r="H42" i="8" s="1"/>
  <c r="F42" i="11"/>
  <c r="H43" i="8" s="1"/>
  <c r="F43" i="11"/>
  <c r="H44" i="8" s="1"/>
  <c r="F44" i="11"/>
  <c r="H45" i="8" s="1"/>
  <c r="F45" i="11"/>
  <c r="H46" i="8" s="1"/>
  <c r="F46" i="11"/>
  <c r="H47" i="8" s="1"/>
  <c r="F51" i="11" l="1"/>
  <c r="F52" i="11" s="1"/>
  <c r="C48" i="11"/>
  <c r="F48" i="11"/>
  <c r="F49" i="11"/>
  <c r="F50" i="11" s="1"/>
  <c r="D46" i="10" l="1"/>
  <c r="F46" i="10" s="1"/>
  <c r="D45" i="10"/>
  <c r="F45" i="10" s="1"/>
  <c r="D44" i="10"/>
  <c r="F44" i="10" s="1"/>
  <c r="D43" i="10"/>
  <c r="F43" i="10" s="1"/>
  <c r="D42" i="10"/>
  <c r="F42" i="10" s="1"/>
  <c r="D41" i="10"/>
  <c r="F41" i="10" s="1"/>
  <c r="D40" i="10"/>
  <c r="F40" i="10" s="1"/>
  <c r="D39" i="10"/>
  <c r="F39" i="10" s="1"/>
  <c r="D38" i="10"/>
  <c r="F38" i="10" s="1"/>
  <c r="D37" i="10"/>
  <c r="F37" i="10" s="1"/>
  <c r="D36" i="10"/>
  <c r="F36" i="10" s="1"/>
  <c r="D35" i="10"/>
  <c r="F35" i="10" s="1"/>
  <c r="D34" i="10"/>
  <c r="F34" i="10" s="1"/>
  <c r="D33" i="10"/>
  <c r="F33" i="10" s="1"/>
  <c r="D32" i="10"/>
  <c r="F32" i="10" s="1"/>
  <c r="D31" i="10"/>
  <c r="F31" i="10" s="1"/>
  <c r="D30" i="10"/>
  <c r="F30" i="10" s="1"/>
  <c r="D29" i="10"/>
  <c r="F29" i="10" s="1"/>
  <c r="D28" i="10"/>
  <c r="F28" i="10" s="1"/>
  <c r="D27" i="10"/>
  <c r="F27" i="10" s="1"/>
  <c r="D26" i="10"/>
  <c r="F26" i="10" s="1"/>
  <c r="D25" i="10"/>
  <c r="F25" i="10" s="1"/>
  <c r="D24" i="10"/>
  <c r="F24" i="10" s="1"/>
  <c r="D23" i="10"/>
  <c r="F23" i="10" s="1"/>
  <c r="D22" i="10"/>
  <c r="F22" i="10" s="1"/>
  <c r="D21" i="10"/>
  <c r="F21" i="10" s="1"/>
  <c r="D20" i="10"/>
  <c r="F20" i="10" s="1"/>
  <c r="D19" i="10"/>
  <c r="F19" i="10" s="1"/>
  <c r="D18" i="10"/>
  <c r="F18" i="10" s="1"/>
  <c r="D17" i="10"/>
  <c r="F17" i="10" s="1"/>
  <c r="D16" i="10"/>
  <c r="F16" i="10" s="1"/>
  <c r="D15" i="10"/>
  <c r="F15" i="10" s="1"/>
  <c r="D14" i="10"/>
  <c r="F14" i="10" s="1"/>
  <c r="D13" i="10"/>
  <c r="F13" i="10" s="1"/>
  <c r="D12" i="10"/>
  <c r="F12" i="10" s="1"/>
  <c r="D11" i="10"/>
  <c r="F11" i="10" s="1"/>
  <c r="D10" i="10"/>
  <c r="F10" i="10" s="1"/>
  <c r="D9" i="10"/>
  <c r="F9" i="10" s="1"/>
  <c r="D8" i="10"/>
  <c r="F8" i="10" s="1"/>
  <c r="D7" i="10"/>
  <c r="F7" i="10" s="1"/>
  <c r="D6" i="10"/>
  <c r="F6" i="10" s="1"/>
  <c r="D5" i="10"/>
  <c r="F5" i="10" s="1"/>
  <c r="D4" i="10"/>
  <c r="F4" i="10" s="1"/>
  <c r="D3" i="10"/>
  <c r="C48" i="10"/>
  <c r="D9" i="8" l="1"/>
  <c r="D10" i="8"/>
  <c r="D18" i="8"/>
  <c r="D26" i="8"/>
  <c r="D34" i="8"/>
  <c r="D42" i="8"/>
  <c r="D32" i="8"/>
  <c r="D25" i="8"/>
  <c r="G25" i="8" s="1"/>
  <c r="D11" i="8"/>
  <c r="D19" i="8"/>
  <c r="D27" i="8"/>
  <c r="D35" i="8"/>
  <c r="D43" i="8"/>
  <c r="D17" i="8"/>
  <c r="D12" i="8"/>
  <c r="D20" i="8"/>
  <c r="D28" i="8"/>
  <c r="D36" i="8"/>
  <c r="D44" i="8"/>
  <c r="D16" i="8"/>
  <c r="D41" i="8"/>
  <c r="G41" i="8" s="1"/>
  <c r="L41" i="8" s="1"/>
  <c r="D5" i="8"/>
  <c r="D13" i="8"/>
  <c r="D21" i="8"/>
  <c r="D29" i="8"/>
  <c r="D37" i="8"/>
  <c r="D45" i="8"/>
  <c r="D8" i="8"/>
  <c r="D40" i="8"/>
  <c r="G40" i="8" s="1"/>
  <c r="L40" i="8" s="1"/>
  <c r="D6" i="8"/>
  <c r="D14" i="8"/>
  <c r="D22" i="8"/>
  <c r="D30" i="8"/>
  <c r="D38" i="8"/>
  <c r="D46" i="8"/>
  <c r="G46" i="8" s="1"/>
  <c r="D24" i="8"/>
  <c r="D33" i="8"/>
  <c r="D7" i="8"/>
  <c r="D15" i="8"/>
  <c r="D23" i="8"/>
  <c r="D31" i="8"/>
  <c r="D39" i="8"/>
  <c r="G39" i="8" s="1"/>
  <c r="L39" i="8" s="1"/>
  <c r="D47" i="8"/>
  <c r="D49" i="10"/>
  <c r="D48" i="10"/>
  <c r="F3" i="10"/>
  <c r="D4" i="8" l="1"/>
  <c r="F51" i="10"/>
  <c r="F52" i="10" s="1"/>
  <c r="F49" i="10"/>
  <c r="F50" i="10" s="1"/>
  <c r="F48" i="10"/>
  <c r="K45" i="1" l="1"/>
  <c r="K46" i="1"/>
  <c r="K47" i="1"/>
  <c r="L45" i="1"/>
  <c r="M45" i="1" s="1"/>
  <c r="L46" i="1"/>
  <c r="M46" i="1" s="1"/>
  <c r="L47" i="1"/>
  <c r="F46" i="1"/>
  <c r="G46" i="1" l="1"/>
  <c r="I46" i="1" l="1"/>
  <c r="N46" i="1" s="1"/>
  <c r="I46" i="8" s="1"/>
  <c r="K46" i="8" s="1"/>
  <c r="L46" i="8" s="1"/>
  <c r="O46" i="1" l="1"/>
  <c r="P46" i="1"/>
  <c r="F4" i="5"/>
  <c r="J5" i="8" s="1"/>
  <c r="F10" i="5"/>
  <c r="J11" i="8" s="1"/>
  <c r="F16" i="5"/>
  <c r="J17" i="8" s="1"/>
  <c r="F18" i="5"/>
  <c r="J19" i="8" s="1"/>
  <c r="F19" i="5"/>
  <c r="J20" i="8" s="1"/>
  <c r="F20" i="5"/>
  <c r="J21" i="8" s="1"/>
  <c r="F26" i="5"/>
  <c r="J28" i="8" s="1"/>
  <c r="F29" i="5"/>
  <c r="J31" i="8" s="1"/>
  <c r="F32" i="5"/>
  <c r="J34" i="8" s="1"/>
  <c r="F35" i="5"/>
  <c r="J37" i="8" s="1"/>
  <c r="F36" i="5"/>
  <c r="J38" i="8" s="1"/>
  <c r="F43" i="5"/>
  <c r="J47" i="8" s="1"/>
  <c r="C46" i="5"/>
  <c r="F42" i="5"/>
  <c r="J45" i="8" s="1"/>
  <c r="F41" i="5"/>
  <c r="J44" i="8" s="1"/>
  <c r="F34" i="5"/>
  <c r="J36" i="8" s="1"/>
  <c r="F33" i="5"/>
  <c r="J35" i="8" s="1"/>
  <c r="F31" i="5"/>
  <c r="J33" i="8" s="1"/>
  <c r="F30" i="5"/>
  <c r="J32" i="8" s="1"/>
  <c r="F28" i="5"/>
  <c r="J30" i="8" s="1"/>
  <c r="F27" i="5"/>
  <c r="J29" i="8" s="1"/>
  <c r="F25" i="5"/>
  <c r="J27" i="8" s="1"/>
  <c r="F24" i="5"/>
  <c r="J26" i="8" s="1"/>
  <c r="F23" i="5"/>
  <c r="J24" i="8" s="1"/>
  <c r="F22" i="5"/>
  <c r="J23" i="8" s="1"/>
  <c r="F21" i="5"/>
  <c r="J22" i="8" s="1"/>
  <c r="F17" i="5"/>
  <c r="J18" i="8" s="1"/>
  <c r="F15" i="5"/>
  <c r="J16" i="8" s="1"/>
  <c r="F14" i="5"/>
  <c r="J15" i="8" s="1"/>
  <c r="F13" i="5"/>
  <c r="J14" i="8" s="1"/>
  <c r="F12" i="5"/>
  <c r="J13" i="8" s="1"/>
  <c r="F11" i="5"/>
  <c r="J12" i="8" s="1"/>
  <c r="F9" i="5"/>
  <c r="J10" i="8" s="1"/>
  <c r="F8" i="5"/>
  <c r="J9" i="8" s="1"/>
  <c r="F7" i="5"/>
  <c r="J8" i="8" s="1"/>
  <c r="F6" i="5"/>
  <c r="J7" i="8" s="1"/>
  <c r="F5" i="5"/>
  <c r="J6" i="8" s="1"/>
  <c r="D47" i="5" l="1"/>
  <c r="F3" i="5"/>
  <c r="J4" i="8" s="1"/>
  <c r="F51" i="5" l="1"/>
  <c r="F52" i="5" s="1"/>
  <c r="F49" i="5"/>
  <c r="F50" i="5" s="1"/>
  <c r="F46" i="5"/>
  <c r="F47" i="5" s="1"/>
  <c r="E42" i="4" l="1"/>
  <c r="E41" i="4"/>
  <c r="F40" i="4"/>
  <c r="E39" i="4"/>
  <c r="F39" i="4" s="1"/>
  <c r="E36" i="4"/>
  <c r="F36" i="4" s="1"/>
  <c r="E35" i="4"/>
  <c r="F35" i="4" s="1"/>
  <c r="E34" i="4"/>
  <c r="E33" i="4"/>
  <c r="E32" i="4"/>
  <c r="F32" i="4" s="1"/>
  <c r="E31" i="4"/>
  <c r="F31" i="4" s="1"/>
  <c r="E30" i="4"/>
  <c r="F30" i="4" s="1"/>
  <c r="E29" i="4"/>
  <c r="F29" i="4" s="1"/>
  <c r="E28" i="4"/>
  <c r="F28" i="4" s="1"/>
  <c r="E27" i="4"/>
  <c r="F27" i="4" s="1"/>
  <c r="E26" i="4"/>
  <c r="E25" i="4"/>
  <c r="E24" i="4"/>
  <c r="F24" i="4" s="1"/>
  <c r="E23" i="4"/>
  <c r="F23" i="4" s="1"/>
  <c r="E22" i="4"/>
  <c r="F22" i="4" s="1"/>
  <c r="E21" i="4"/>
  <c r="F21" i="4" s="1"/>
  <c r="E20" i="4"/>
  <c r="F20" i="4" s="1"/>
  <c r="E19" i="4"/>
  <c r="F19" i="4" s="1"/>
  <c r="E18" i="4"/>
  <c r="E17" i="4"/>
  <c r="E16" i="4"/>
  <c r="F16" i="4" s="1"/>
  <c r="E15" i="4"/>
  <c r="F15" i="4" s="1"/>
  <c r="E14" i="4"/>
  <c r="F14" i="4" s="1"/>
  <c r="E13" i="4"/>
  <c r="F13" i="4" s="1"/>
  <c r="E12" i="4"/>
  <c r="F12" i="4" s="1"/>
  <c r="E11" i="4"/>
  <c r="F11" i="4" s="1"/>
  <c r="E10" i="4"/>
  <c r="E9" i="4"/>
  <c r="F9" i="4" s="1"/>
  <c r="E8" i="4"/>
  <c r="F8" i="4" s="1"/>
  <c r="E7" i="4"/>
  <c r="F7" i="4" s="1"/>
  <c r="E6" i="4"/>
  <c r="F6" i="4" s="1"/>
  <c r="E5" i="4"/>
  <c r="F5" i="4" s="1"/>
  <c r="E4" i="4"/>
  <c r="F4" i="4" s="1"/>
  <c r="F12" i="8" l="1"/>
  <c r="G12" i="8" s="1"/>
  <c r="F20" i="8"/>
  <c r="G20" i="8" s="1"/>
  <c r="F29" i="8"/>
  <c r="G29" i="8" s="1"/>
  <c r="F37" i="8"/>
  <c r="G37" i="8" s="1"/>
  <c r="F5" i="8"/>
  <c r="G5" i="8" s="1"/>
  <c r="F6" i="8"/>
  <c r="G6" i="8" s="1"/>
  <c r="F14" i="8"/>
  <c r="G14" i="8" s="1"/>
  <c r="F22" i="8"/>
  <c r="G22" i="8" s="1"/>
  <c r="F31" i="8"/>
  <c r="G31" i="8" s="1"/>
  <c r="F42" i="8"/>
  <c r="G42" i="8" s="1"/>
  <c r="F38" i="8"/>
  <c r="G38" i="8" s="1"/>
  <c r="F15" i="8"/>
  <c r="G15" i="8" s="1"/>
  <c r="F23" i="8"/>
  <c r="G23" i="8" s="1"/>
  <c r="F32" i="8"/>
  <c r="G32" i="8" s="1"/>
  <c r="F43" i="8"/>
  <c r="G43" i="8" s="1"/>
  <c r="F21" i="8"/>
  <c r="G21" i="8" s="1"/>
  <c r="F8" i="8"/>
  <c r="G8" i="8" s="1"/>
  <c r="F16" i="8"/>
  <c r="G16" i="8" s="1"/>
  <c r="F24" i="8"/>
  <c r="G24" i="8" s="1"/>
  <c r="F33" i="8"/>
  <c r="G33" i="8" s="1"/>
  <c r="F30" i="8"/>
  <c r="G30" i="8" s="1"/>
  <c r="F9" i="8"/>
  <c r="G9" i="8" s="1"/>
  <c r="F17" i="8"/>
  <c r="G17" i="8" s="1"/>
  <c r="F26" i="8"/>
  <c r="G26" i="8" s="1"/>
  <c r="F34" i="8"/>
  <c r="G34" i="8" s="1"/>
  <c r="F13" i="8"/>
  <c r="G13" i="8" s="1"/>
  <c r="F7" i="8"/>
  <c r="G7" i="8" s="1"/>
  <c r="F10" i="8"/>
  <c r="G10" i="8" s="1"/>
  <c r="F43" i="4"/>
  <c r="F10" i="4"/>
  <c r="F17" i="4"/>
  <c r="F25" i="4"/>
  <c r="F33" i="4"/>
  <c r="F41" i="4"/>
  <c r="C46" i="4"/>
  <c r="F18" i="4"/>
  <c r="F26" i="4"/>
  <c r="F34" i="4"/>
  <c r="F42" i="4"/>
  <c r="F3" i="4"/>
  <c r="D47" i="4"/>
  <c r="F35" i="8" l="1"/>
  <c r="G35" i="8" s="1"/>
  <c r="F4" i="8"/>
  <c r="G4" i="8" s="1"/>
  <c r="F27" i="8"/>
  <c r="G27" i="8" s="1"/>
  <c r="F19" i="8"/>
  <c r="G19" i="8" s="1"/>
  <c r="F44" i="8"/>
  <c r="G44" i="8" s="1"/>
  <c r="F45" i="8"/>
  <c r="G45" i="8" s="1"/>
  <c r="F11" i="8"/>
  <c r="G11" i="8" s="1"/>
  <c r="F18" i="8"/>
  <c r="G18" i="8" s="1"/>
  <c r="F36" i="8"/>
  <c r="G36" i="8" s="1"/>
  <c r="F28" i="8"/>
  <c r="G28" i="8" s="1"/>
  <c r="F47" i="8"/>
  <c r="G47" i="8" s="1"/>
  <c r="F46" i="4"/>
  <c r="F47" i="4" s="1"/>
  <c r="F51" i="4"/>
  <c r="F52" i="4" s="1"/>
  <c r="F49" i="4"/>
  <c r="F50" i="4" s="1"/>
  <c r="G50" i="8" l="1"/>
  <c r="G51" i="8" s="1"/>
  <c r="G52" i="8"/>
  <c r="G53" i="8" s="1"/>
  <c r="G49" i="8"/>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42" i="1"/>
  <c r="F43" i="1"/>
  <c r="F44" i="1"/>
  <c r="F45" i="1"/>
  <c r="F47" i="1"/>
  <c r="F4" i="1"/>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2" i="1"/>
  <c r="G43" i="1"/>
  <c r="G45" i="1"/>
  <c r="G47" i="1"/>
  <c r="C49" i="1" l="1"/>
  <c r="L21" i="1" l="1"/>
  <c r="M21" i="1" s="1"/>
  <c r="L7" i="1"/>
  <c r="M7" i="1" s="1"/>
  <c r="I44" i="1" l="1"/>
  <c r="I36" i="1"/>
  <c r="I28" i="1"/>
  <c r="I20" i="1"/>
  <c r="I13" i="1"/>
  <c r="I5" i="1"/>
  <c r="I43" i="1"/>
  <c r="I35" i="1"/>
  <c r="I27" i="1"/>
  <c r="I19" i="1"/>
  <c r="I12" i="1"/>
  <c r="L6" i="1"/>
  <c r="M6" i="1" s="1"/>
  <c r="I42" i="1"/>
  <c r="I34" i="1"/>
  <c r="I26" i="1"/>
  <c r="I18" i="1"/>
  <c r="I11" i="1"/>
  <c r="I33" i="1"/>
  <c r="I25" i="1"/>
  <c r="I17" i="1"/>
  <c r="I10" i="1"/>
  <c r="L37" i="1"/>
  <c r="M37" i="1" s="1"/>
  <c r="I4" i="1"/>
  <c r="I32" i="1"/>
  <c r="I24" i="1"/>
  <c r="I16" i="1"/>
  <c r="I9" i="1"/>
  <c r="I47" i="1"/>
  <c r="I31" i="1"/>
  <c r="I23" i="1"/>
  <c r="I15" i="1"/>
  <c r="I8" i="1"/>
  <c r="I38" i="1"/>
  <c r="I30" i="1"/>
  <c r="I22" i="1"/>
  <c r="I14" i="1"/>
  <c r="I7" i="1"/>
  <c r="N7" i="1" s="1"/>
  <c r="I7" i="8" s="1"/>
  <c r="K7" i="8" s="1"/>
  <c r="L7" i="8" s="1"/>
  <c r="I45" i="1"/>
  <c r="N45" i="1" s="1"/>
  <c r="I45" i="8" s="1"/>
  <c r="K45" i="8" s="1"/>
  <c r="L45" i="8" s="1"/>
  <c r="I37" i="1"/>
  <c r="I29" i="1"/>
  <c r="I21" i="1"/>
  <c r="N21" i="1" s="1"/>
  <c r="I21" i="8" s="1"/>
  <c r="K21" i="8" s="1"/>
  <c r="L21" i="8" s="1"/>
  <c r="I6" i="1"/>
  <c r="L35" i="1"/>
  <c r="M35" i="1" s="1"/>
  <c r="L19" i="1"/>
  <c r="M19" i="1" s="1"/>
  <c r="L9" i="1"/>
  <c r="M9" i="1" s="1"/>
  <c r="L44" i="1"/>
  <c r="M44" i="1" s="1"/>
  <c r="N44" i="1" s="1"/>
  <c r="I44" i="8" s="1"/>
  <c r="K44" i="8" s="1"/>
  <c r="L44" i="8" s="1"/>
  <c r="L11" i="1"/>
  <c r="M11" i="1" s="1"/>
  <c r="L30" i="1"/>
  <c r="M30" i="1" s="1"/>
  <c r="L26" i="1"/>
  <c r="M26" i="1" s="1"/>
  <c r="L16" i="1"/>
  <c r="M16" i="1" s="1"/>
  <c r="L18" i="1"/>
  <c r="M18" i="1" s="1"/>
  <c r="L4" i="1"/>
  <c r="M4" i="1" s="1"/>
  <c r="M47" i="1"/>
  <c r="L31" i="1"/>
  <c r="M31" i="1" s="1"/>
  <c r="L15" i="1"/>
  <c r="M15" i="1" s="1"/>
  <c r="L12" i="1"/>
  <c r="M12" i="1" s="1"/>
  <c r="L10" i="1"/>
  <c r="M10" i="1" s="1"/>
  <c r="L24" i="1"/>
  <c r="M24" i="1" s="1"/>
  <c r="L5" i="1"/>
  <c r="M5" i="1" s="1"/>
  <c r="L38" i="1"/>
  <c r="M38" i="1" s="1"/>
  <c r="N47" i="1" l="1"/>
  <c r="N38" i="1"/>
  <c r="N37" i="1"/>
  <c r="N6" i="1"/>
  <c r="L42" i="1"/>
  <c r="M42" i="1" s="1"/>
  <c r="N42" i="1" s="1"/>
  <c r="I42" i="8" s="1"/>
  <c r="K42" i="8" s="1"/>
  <c r="L42" i="8" s="1"/>
  <c r="P21" i="1"/>
  <c r="O21" i="1"/>
  <c r="O7" i="1"/>
  <c r="P7" i="1"/>
  <c r="N9" i="1"/>
  <c r="I9" i="8" s="1"/>
  <c r="K9" i="8" s="1"/>
  <c r="L9" i="8" s="1"/>
  <c r="N18" i="1"/>
  <c r="I18" i="8" s="1"/>
  <c r="K18" i="8" s="1"/>
  <c r="L18" i="8" s="1"/>
  <c r="N35" i="1"/>
  <c r="I35" i="8" s="1"/>
  <c r="K35" i="8" s="1"/>
  <c r="L35" i="8" s="1"/>
  <c r="L23" i="1"/>
  <c r="M23" i="1" s="1"/>
  <c r="N23" i="1" s="1"/>
  <c r="I23" i="8" s="1"/>
  <c r="K23" i="8" s="1"/>
  <c r="L23" i="8" s="1"/>
  <c r="L20" i="1"/>
  <c r="M20" i="1" s="1"/>
  <c r="N20" i="1" s="1"/>
  <c r="I20" i="8" s="1"/>
  <c r="K20" i="8" s="1"/>
  <c r="L20" i="8" s="1"/>
  <c r="L36" i="1"/>
  <c r="M36" i="1" s="1"/>
  <c r="N36" i="1" s="1"/>
  <c r="I36" i="8" s="1"/>
  <c r="K36" i="8" s="1"/>
  <c r="L36" i="8" s="1"/>
  <c r="N31" i="1"/>
  <c r="I31" i="8" s="1"/>
  <c r="K31" i="8" s="1"/>
  <c r="L31" i="8" s="1"/>
  <c r="N16" i="1"/>
  <c r="I16" i="8" s="1"/>
  <c r="K16" i="8" s="1"/>
  <c r="L16" i="8" s="1"/>
  <c r="I49" i="1"/>
  <c r="N4" i="1"/>
  <c r="I4" i="8" s="1"/>
  <c r="K4" i="8" s="1"/>
  <c r="I51" i="1"/>
  <c r="I50" i="1"/>
  <c r="N26" i="1"/>
  <c r="I26" i="8" s="1"/>
  <c r="K26" i="8" s="1"/>
  <c r="L26" i="8" s="1"/>
  <c r="N12" i="1"/>
  <c r="I12" i="8" s="1"/>
  <c r="K12" i="8" s="1"/>
  <c r="L12" i="8" s="1"/>
  <c r="L27" i="1"/>
  <c r="M27" i="1" s="1"/>
  <c r="N27" i="1" s="1"/>
  <c r="I27" i="8" s="1"/>
  <c r="K27" i="8" s="1"/>
  <c r="L27" i="8" s="1"/>
  <c r="L8" i="1"/>
  <c r="M8" i="1" s="1"/>
  <c r="N24" i="1"/>
  <c r="I24" i="8" s="1"/>
  <c r="K24" i="8" s="1"/>
  <c r="L24" i="8" s="1"/>
  <c r="N19" i="1"/>
  <c r="I19" i="8" s="1"/>
  <c r="K19" i="8" s="1"/>
  <c r="L19" i="8" s="1"/>
  <c r="N5" i="1"/>
  <c r="I5" i="8" s="1"/>
  <c r="K5" i="8" s="1"/>
  <c r="L5" i="8" s="1"/>
  <c r="L17" i="1"/>
  <c r="M17" i="1" s="1"/>
  <c r="N17" i="1" s="1"/>
  <c r="I17" i="8" s="1"/>
  <c r="K17" i="8" s="1"/>
  <c r="L17" i="8" s="1"/>
  <c r="L43" i="1"/>
  <c r="M43" i="1" s="1"/>
  <c r="N43" i="1" s="1"/>
  <c r="I43" i="8" s="1"/>
  <c r="K43" i="8" s="1"/>
  <c r="L43" i="8" s="1"/>
  <c r="L14" i="1"/>
  <c r="M14" i="1" s="1"/>
  <c r="N14" i="1" s="1"/>
  <c r="I14" i="8" s="1"/>
  <c r="K14" i="8" s="1"/>
  <c r="L14" i="8" s="1"/>
  <c r="L29" i="1"/>
  <c r="M29" i="1" s="1"/>
  <c r="N29" i="1" s="1"/>
  <c r="I29" i="8" s="1"/>
  <c r="K29" i="8" s="1"/>
  <c r="L29" i="8" s="1"/>
  <c r="L25" i="1"/>
  <c r="M25" i="1" s="1"/>
  <c r="N25" i="1" s="1"/>
  <c r="I25" i="8" s="1"/>
  <c r="K25" i="8" s="1"/>
  <c r="L25" i="8" s="1"/>
  <c r="L22" i="1"/>
  <c r="M22" i="1" s="1"/>
  <c r="N22" i="1" s="1"/>
  <c r="I22" i="8" s="1"/>
  <c r="K22" i="8" s="1"/>
  <c r="L22" i="8" s="1"/>
  <c r="L13" i="1"/>
  <c r="M13" i="1" s="1"/>
  <c r="N13" i="1" s="1"/>
  <c r="I13" i="8" s="1"/>
  <c r="K13" i="8" s="1"/>
  <c r="L13" i="8" s="1"/>
  <c r="L32" i="1"/>
  <c r="M32" i="1" s="1"/>
  <c r="N32" i="1" s="1"/>
  <c r="I32" i="8" s="1"/>
  <c r="K32" i="8" s="1"/>
  <c r="L32" i="8" s="1"/>
  <c r="N30" i="1"/>
  <c r="I30" i="8" s="1"/>
  <c r="K30" i="8" s="1"/>
  <c r="L30" i="8" s="1"/>
  <c r="N15" i="1"/>
  <c r="I15" i="8" s="1"/>
  <c r="K15" i="8" s="1"/>
  <c r="L15" i="8" s="1"/>
  <c r="N10" i="1"/>
  <c r="I10" i="8" s="1"/>
  <c r="K10" i="8" s="1"/>
  <c r="L10" i="8" s="1"/>
  <c r="N11" i="1"/>
  <c r="I11" i="8" s="1"/>
  <c r="K11" i="8" s="1"/>
  <c r="L11" i="8" s="1"/>
  <c r="L34" i="1"/>
  <c r="M34" i="1" s="1"/>
  <c r="N34" i="1" s="1"/>
  <c r="I34" i="8" s="1"/>
  <c r="K34" i="8" s="1"/>
  <c r="L34" i="8" s="1"/>
  <c r="L28" i="1"/>
  <c r="M28" i="1" s="1"/>
  <c r="N28" i="1" s="1"/>
  <c r="I28" i="8" s="1"/>
  <c r="K28" i="8" s="1"/>
  <c r="L28" i="8" s="1"/>
  <c r="L33" i="1"/>
  <c r="M33" i="1" s="1"/>
  <c r="N33" i="1" s="1"/>
  <c r="I33" i="8" s="1"/>
  <c r="K33" i="8" s="1"/>
  <c r="L33" i="8" s="1"/>
  <c r="P6" i="1" l="1"/>
  <c r="I6" i="8"/>
  <c r="K6" i="8" s="1"/>
  <c r="L6" i="8" s="1"/>
  <c r="L4" i="8"/>
  <c r="O37" i="1"/>
  <c r="I37" i="8"/>
  <c r="K37" i="8" s="1"/>
  <c r="L37" i="8" s="1"/>
  <c r="P38" i="1"/>
  <c r="I38" i="8"/>
  <c r="K38" i="8" s="1"/>
  <c r="L38" i="8" s="1"/>
  <c r="O47" i="1"/>
  <c r="I47" i="8"/>
  <c r="K47" i="8" s="1"/>
  <c r="L47" i="8" s="1"/>
  <c r="P37" i="1"/>
  <c r="O38" i="1"/>
  <c r="O6" i="1"/>
  <c r="M51" i="1"/>
  <c r="N8" i="1"/>
  <c r="O33" i="1"/>
  <c r="P33" i="1"/>
  <c r="O25" i="1"/>
  <c r="P25" i="1"/>
  <c r="P17" i="1"/>
  <c r="O17" i="1"/>
  <c r="P36" i="1"/>
  <c r="O36" i="1"/>
  <c r="P28" i="1"/>
  <c r="O28" i="1"/>
  <c r="P20" i="1"/>
  <c r="O20" i="1"/>
  <c r="O34" i="1"/>
  <c r="P34" i="1"/>
  <c r="O13" i="1"/>
  <c r="P13" i="1"/>
  <c r="P14" i="1"/>
  <c r="O14" i="1"/>
  <c r="O23" i="1"/>
  <c r="P23" i="1"/>
  <c r="P32" i="1"/>
  <c r="O32" i="1"/>
  <c r="P22" i="1"/>
  <c r="O22" i="1"/>
  <c r="O43" i="1"/>
  <c r="P43" i="1"/>
  <c r="P27" i="1"/>
  <c r="O27" i="1"/>
  <c r="O29" i="1"/>
  <c r="P29" i="1"/>
  <c r="O42" i="1"/>
  <c r="P42" i="1"/>
  <c r="P24" i="1"/>
  <c r="O24" i="1"/>
  <c r="O16" i="1"/>
  <c r="P16" i="1"/>
  <c r="P9" i="1"/>
  <c r="O9" i="1"/>
  <c r="O11" i="1"/>
  <c r="P11" i="1"/>
  <c r="P12" i="1"/>
  <c r="O12" i="1"/>
  <c r="P31" i="1"/>
  <c r="O31" i="1"/>
  <c r="P10" i="1"/>
  <c r="O10" i="1"/>
  <c r="O26" i="1"/>
  <c r="P26" i="1"/>
  <c r="P47" i="1"/>
  <c r="O5" i="1"/>
  <c r="P5" i="1"/>
  <c r="M50" i="1"/>
  <c r="P35" i="1"/>
  <c r="O35" i="1"/>
  <c r="O44" i="1"/>
  <c r="P44" i="1"/>
  <c r="P15" i="1"/>
  <c r="O15" i="1"/>
  <c r="P19" i="1"/>
  <c r="O19" i="1"/>
  <c r="M49" i="1"/>
  <c r="O18" i="1"/>
  <c r="P18" i="1"/>
  <c r="K23" i="1"/>
  <c r="K31" i="1"/>
  <c r="K36" i="1"/>
  <c r="K42" i="1"/>
  <c r="K10" i="1"/>
  <c r="K13" i="1"/>
  <c r="K18" i="1"/>
  <c r="K21" i="1"/>
  <c r="K5" i="1"/>
  <c r="K26" i="1"/>
  <c r="K29" i="1"/>
  <c r="K8" i="1"/>
  <c r="K16" i="1"/>
  <c r="K34" i="1"/>
  <c r="K37" i="1"/>
  <c r="K11" i="1"/>
  <c r="K19" i="1"/>
  <c r="K24" i="1"/>
  <c r="K32" i="1"/>
  <c r="K43" i="1"/>
  <c r="K6" i="1"/>
  <c r="K14" i="1"/>
  <c r="K22" i="1"/>
  <c r="K27" i="1"/>
  <c r="K9" i="1"/>
  <c r="K12" i="1"/>
  <c r="K17" i="1"/>
  <c r="K20" i="1"/>
  <c r="K30" i="1"/>
  <c r="K35" i="1"/>
  <c r="K4" i="1"/>
  <c r="K7" i="1"/>
  <c r="K15" i="1"/>
  <c r="K25" i="1"/>
  <c r="K28" i="1"/>
  <c r="K33" i="1"/>
  <c r="K38" i="1"/>
  <c r="K44" i="1"/>
  <c r="O30" i="1"/>
  <c r="P30" i="1"/>
  <c r="P4" i="1"/>
  <c r="O4" i="1"/>
  <c r="AF54" i="1" s="1"/>
  <c r="O45" i="1"/>
  <c r="P45" i="1"/>
  <c r="N49" i="1" l="1"/>
  <c r="I8" i="8"/>
  <c r="K8" i="8" s="1"/>
  <c r="K49" i="8" s="1"/>
  <c r="N51" i="1"/>
  <c r="O8" i="1"/>
  <c r="N50" i="1"/>
  <c r="P8" i="1"/>
  <c r="L8" i="8" l="1"/>
  <c r="K50" i="8"/>
  <c r="K51" i="8" s="1"/>
  <c r="K52" i="8"/>
  <c r="K53"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<sst xmlns="http://schemas.openxmlformats.org/spreadsheetml/2006/main" count="515" uniqueCount="152">
  <si>
    <t>Improvement Scaling</t>
  </si>
  <si>
    <t>Attainment Scaling</t>
  </si>
  <si>
    <t>Final Adjustment</t>
  </si>
  <si>
    <t>HOSPITAL ID</t>
  </si>
  <si>
    <t>HOSPITAL NAME</t>
  </si>
  <si>
    <t>Target</t>
  </si>
  <si>
    <t>% Revenue Adjustment</t>
  </si>
  <si>
    <t>$ Revenue Adjustment</t>
  </si>
  <si>
    <t xml:space="preserve">$ Better of Attainment or Improvement </t>
  </si>
  <si>
    <t>Revenue Adjustment Based on Improvement or Attainment</t>
  </si>
  <si>
    <t>CY18-CY21% Change in Case Mix Adjusted Rate</t>
  </si>
  <si>
    <t>FY 2021 Case Mix Adjusted Rate with Out-of-State Adjustment</t>
  </si>
  <si>
    <t>Target (top 25th %)</t>
  </si>
  <si>
    <t>MERITUS</t>
  </si>
  <si>
    <t>UNIVERSITY OF MARYLAND</t>
  </si>
  <si>
    <t>PRINCE GEORGE</t>
  </si>
  <si>
    <t>HOLY CROSS</t>
  </si>
  <si>
    <t>FREDERICK MEMORIAL</t>
  </si>
  <si>
    <t>HARFORD</t>
  </si>
  <si>
    <t>MERCY</t>
  </si>
  <si>
    <t>JOHNS HOPKINS</t>
  </si>
  <si>
    <t>ST. AGNES</t>
  </si>
  <si>
    <t>SINAI</t>
  </si>
  <si>
    <t>FRANKLIN SQUARE</t>
  </si>
  <si>
    <t>WASHINGTON ADVENTIST</t>
  </si>
  <si>
    <t>GARRETT COUNTY</t>
  </si>
  <si>
    <t>MONTGOMERY GENERAL</t>
  </si>
  <si>
    <t>PENINSULA &amp; McCready</t>
  </si>
  <si>
    <t>SUBURBAN</t>
  </si>
  <si>
    <t>ANNE ARUNDEL</t>
  </si>
  <si>
    <t>UNION MEMORIAL</t>
  </si>
  <si>
    <t>WESTERN MARYLAND HEALTH SYSTEM</t>
  </si>
  <si>
    <t>ST. MARY</t>
  </si>
  <si>
    <t>HOPKINS BAYVIEW MED CTR</t>
  </si>
  <si>
    <t>CHESTERTOWN</t>
  </si>
  <si>
    <t>UNION HOSPITAL  OF CECIL COUNT</t>
  </si>
  <si>
    <t>CARROLL COUNTY</t>
  </si>
  <si>
    <t>HARBOR</t>
  </si>
  <si>
    <t>CHARLES REGIONAL</t>
  </si>
  <si>
    <t>EASTON</t>
  </si>
  <si>
    <t>UMMC MIDTOWN</t>
  </si>
  <si>
    <t>CALVERT</t>
  </si>
  <si>
    <t>NORTHWEST</t>
  </si>
  <si>
    <t>BWMC</t>
  </si>
  <si>
    <t>G.B.M.C.</t>
  </si>
  <si>
    <t>HOWARD COUNTY</t>
  </si>
  <si>
    <t>UPPER CHESAPEAKE HEALTH</t>
  </si>
  <si>
    <t>DOCTORS COMMUNITY</t>
  </si>
  <si>
    <t>FT. WASHINGTON</t>
  </si>
  <si>
    <t>ATLANTIC GENERAL</t>
  </si>
  <si>
    <t>SOUTHERN MARYLAND</t>
  </si>
  <si>
    <t>UM ST. JOSEPH</t>
  </si>
  <si>
    <t>HOLY CROSS GERMANTOWN</t>
  </si>
  <si>
    <t>STATEWIDE</t>
  </si>
  <si>
    <t>Penalty</t>
  </si>
  <si>
    <t>Reward</t>
  </si>
  <si>
    <t>Percentages have been rounded for display. Final scaling values are rounded to two decimal places.</t>
  </si>
  <si>
    <t>*Revenue adjustments for Peninsula Regional Medical Center are based on combined performance results and estimated IP revenue for Peninsula and McCready</t>
  </si>
  <si>
    <t>**Based on 051121 Revenue</t>
  </si>
  <si>
    <t>MaxReward</t>
  </si>
  <si>
    <t>MaxPenalty</t>
  </si>
  <si>
    <t>ImpTarget</t>
  </si>
  <si>
    <t>ImpMaxRewardScore</t>
  </si>
  <si>
    <t>ImpMaxPenaltyScore</t>
  </si>
  <si>
    <t>AttTarget</t>
  </si>
  <si>
    <t>AttMaxRewardScore</t>
  </si>
  <si>
    <t>AttMaxPenaltyScore</t>
  </si>
  <si>
    <t>Hospital ID</t>
  </si>
  <si>
    <t>Hospital Name</t>
  </si>
  <si>
    <t>% Adjustment</t>
  </si>
  <si>
    <t>$ Adjustment**</t>
  </si>
  <si>
    <t>PENINSULA REGIONAL</t>
  </si>
  <si>
    <t>BALTIMORE WASHINGTON MEDICAL CENTER</t>
  </si>
  <si>
    <t>State Total</t>
  </si>
  <si>
    <t>CY18 Case Mix Adjusted Readmission Rate (FY23 Base Period)</t>
  </si>
  <si>
    <t>FY21 Case Mix Adjusted Readmission Rate (FY23 Modeled Performance Period)</t>
  </si>
  <si>
    <t>RY 23 Preliminary % Revenue Adjustment</t>
  </si>
  <si>
    <t>HOSPID</t>
  </si>
  <si>
    <t>% Revenue Impact</t>
  </si>
  <si>
    <t>$ Revenue Impact</t>
  </si>
  <si>
    <t>WESTERN MARYLAND</t>
  </si>
  <si>
    <t>UNION HOSPITAL OF CECIL</t>
  </si>
  <si>
    <t>BALTIMORE WASHINGTON</t>
  </si>
  <si>
    <t>HC-GERMANTOWN</t>
  </si>
  <si>
    <t>Statewide Total</t>
  </si>
  <si>
    <t>average</t>
  </si>
  <si>
    <t>Scaling Components</t>
  </si>
  <si>
    <t>Values</t>
  </si>
  <si>
    <t>Total Penalties</t>
  </si>
  <si>
    <t>QBR Lowest Score</t>
  </si>
  <si>
    <t>% Inpatient Revenue</t>
  </si>
  <si>
    <t>QBR Max Penalty</t>
  </si>
  <si>
    <t>Total rewards</t>
  </si>
  <si>
    <t>QBR Highest Score</t>
  </si>
  <si>
    <t>% Inpatient revenue</t>
  </si>
  <si>
    <t>QBR Max Reward</t>
  </si>
  <si>
    <t>QBR  Threshold</t>
  </si>
  <si>
    <t xml:space="preserve"> RY 2023 Prelim QBR Points</t>
  </si>
  <si>
    <t>RY22 Permanent Inpatient Revenue*</t>
  </si>
  <si>
    <t>*Preliminary revenue as of 3/10/2022</t>
  </si>
  <si>
    <r>
      <t xml:space="preserve">FY 22 </t>
    </r>
    <r>
      <rPr>
        <b/>
        <sz val="11"/>
        <color rgb="FF000000"/>
        <rFont val="Arial"/>
        <family val="2"/>
      </rPr>
      <t>Preliminary</t>
    </r>
    <r>
      <rPr>
        <b/>
        <sz val="11"/>
        <color indexed="8"/>
        <rFont val="Arial"/>
        <family val="2"/>
      </rPr>
      <t xml:space="preserve"> Permanent Inpatient Revenue*</t>
    </r>
  </si>
  <si>
    <t>Base Period</t>
  </si>
  <si>
    <t>Performance Period</t>
  </si>
  <si>
    <t>Risk Adjustment Period</t>
  </si>
  <si>
    <t>CY 2018</t>
  </si>
  <si>
    <t>FY 2021</t>
  </si>
  <si>
    <t>CY 2019 and FY 2021</t>
  </si>
  <si>
    <t>Concurrent Norms including COVID pts</t>
  </si>
  <si>
    <t>RY 2023 Preliminary QBR SCALING</t>
  </si>
  <si>
    <t xml:space="preserve">Concurrent Norms including COVID pts </t>
  </si>
  <si>
    <t xml:space="preserve">CY 2018 </t>
  </si>
  <si>
    <t>Preliminary Revenue Adjustments for Budgeting</t>
  </si>
  <si>
    <t>QBR Prelim CURRENT and ADJUSTED scales</t>
  </si>
  <si>
    <t>*No COVID related changes have been made to the QBR program, however results with an adjusted scale are presented.  These preliminary results use YTD mortality, PSI, and TFU data.  For the Care Compare measures the January 2022 data is used.</t>
  </si>
  <si>
    <t>RRIP RY23 Model 2 Revenue Adjustments</t>
  </si>
  <si>
    <t>LEVINDALE</t>
  </si>
  <si>
    <t>Base Period Norms</t>
  </si>
  <si>
    <t>Tab Name</t>
  </si>
  <si>
    <t>GOOD SAMARITAN</t>
  </si>
  <si>
    <t>SHADY GROVE</t>
  </si>
  <si>
    <t>REHAB &amp; ORTHO</t>
  </si>
  <si>
    <t>HC-Germantown</t>
  </si>
  <si>
    <t>% Inpatient</t>
  </si>
  <si>
    <t>Scaling Named Range Titles</t>
  </si>
  <si>
    <t>Scaling Named Range Values</t>
  </si>
  <si>
    <t>MHAC Lowest Score</t>
  </si>
  <si>
    <t>MHAC Max Penalty</t>
  </si>
  <si>
    <t>MHAC Highest Score</t>
  </si>
  <si>
    <t>MHAC Max Reward</t>
  </si>
  <si>
    <t>MHAC Penalty Threshold</t>
  </si>
  <si>
    <t>MHAC Reward Threshold</t>
  </si>
  <si>
    <t xml:space="preserve">RY22 Permanent Inpatient Revenue* </t>
  </si>
  <si>
    <t>RY 2021 MHAC score</t>
  </si>
  <si>
    <t>MODEL 1 RY23 PRELIMINARY REVENUE ADJUSTMENT</t>
  </si>
  <si>
    <t xml:space="preserve"> </t>
  </si>
  <si>
    <t>RRIP RY23 Model 1 Revenue Adjustments</t>
  </si>
  <si>
    <t>RY22 Prelim IP Revenue</t>
  </si>
  <si>
    <t>MHAC Prelim Rev Adj Model 2</t>
  </si>
  <si>
    <t>RRIP Prelim Rev Adj Model 1</t>
  </si>
  <si>
    <t>RRIP Prelim Rev Adj Model 2</t>
  </si>
  <si>
    <t>MHAC Prelim Rev Adj Model 1</t>
  </si>
  <si>
    <t>Description</t>
  </si>
  <si>
    <t>Model 1</t>
  </si>
  <si>
    <t>Model 2</t>
  </si>
  <si>
    <t>MHAC</t>
  </si>
  <si>
    <t>RRIP</t>
  </si>
  <si>
    <t>QBR</t>
  </si>
  <si>
    <t>TOTAL RY23 Preliminary Revenue Adjustment</t>
  </si>
  <si>
    <t>Model Summaries</t>
  </si>
  <si>
    <t>Summary of revenue adjustments across Model 1 and Model 2</t>
  </si>
  <si>
    <r>
      <t xml:space="preserve">This workbook serves as a </t>
    </r>
    <r>
      <rPr>
        <b/>
        <sz val="11"/>
        <color theme="1"/>
        <rFont val="Calibri"/>
        <family val="2"/>
        <scheme val="minor"/>
      </rPr>
      <t xml:space="preserve">preliminary </t>
    </r>
    <r>
      <rPr>
        <sz val="11"/>
        <color theme="1"/>
        <rFont val="Calibri"/>
        <family val="2"/>
        <scheme val="minor"/>
      </rPr>
      <t xml:space="preserve">revenue adjustment for RY23 for budgeting purposes.  The MHAC and the RRIP results reflect the staff proposal to use  concurrent norms with COVID patients.  </t>
    </r>
    <r>
      <rPr>
        <sz val="11"/>
        <color rgb="FFFF0000"/>
        <rFont val="Calibri"/>
        <family val="2"/>
        <scheme val="minor"/>
      </rPr>
      <t>STAFF NOTE THAT THESE REVENUE ADJUSTMENTS MAY CHANGE BUT REPRESENT THE BEST CURRENT ESTIMATE.</t>
    </r>
  </si>
  <si>
    <t>Difference Model 2-Model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</si>
</sst>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quot;$&quot;#,##0"/>
    <numFmt numFmtId="165" formatCode="0.0%"/>
    <numFmt numFmtId="166" formatCode="0.0000%"/>
    <numFmt numFmtId="167" formatCode="0.000%"/>
    <numFmt numFmtId="168" formatCode="_(&quot;$&quot;* #,##0_);_(&quot;$&quot;* \(#,##0\);_(&quot;$&quot;* &quot;-&quot;??_);_(@_)"/>
    <numFmt numFmtId="169" formatCode="\ ##0.00%"/>
  </numFmts>
  <fonts count="33">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sz val="12"/>
      <color theme="1"/>
      <name val="Arial"/>
      <family val="2"/>
    </font>
    <font>
      <b/>
      <sz val="12"/>
      <color theme="1"/>
      <name val="Arial"/>
      <family val="2"/>
    </font>
    <font>
      <b/>
      <sz val="12"/>
      <color rgb="FFFF0000"/>
      <name val="Arial"/>
      <family val="2"/>
    </font>
    <font>
      <b/>
      <sz val="9"/>
      <color indexed="8"/>
      <name val="Arial"/>
      <family val="2"/>
    </font>
    <font>
      <b/>
      <sz val="11"/>
      <color indexed="8"/>
      <name val="Arial"/>
      <family val="2"/>
    </font>
    <font>
      <b/>
      <sz val="11"/>
      <color rgb="FFFF0000"/>
      <name val="Arial"/>
      <family val="2"/>
    </font>
    <font>
      <sz val="11"/>
      <color theme="1"/>
      <name val="Arial"/>
      <family val="2"/>
    </font>
    <font>
      <sz val="12"/>
      <color indexed="8"/>
      <name val="Arial"/>
      <family val="2"/>
    </font>
    <font>
      <sz val="12"/>
      <name val="Arial"/>
      <family val="2"/>
    </font>
    <font>
      <sz val="12"/>
      <color rgb="FFFF0000"/>
      <name val="Arial"/>
      <family val="2"/>
    </font>
    <font>
      <sz val="12"/>
      <color indexed="8"/>
      <name val="Arial, Helvetica, sans-serif"/>
    </font>
    <font>
      <sz val="11"/>
      <color indexed="8"/>
      <name val="Calibri"/>
      <family val="2"/>
    </font>
    <font>
      <b/>
      <sz val="12"/>
      <color indexed="8"/>
      <name val="Arial"/>
      <family val="2"/>
    </font>
    <font>
      <sz val="12"/>
      <color rgb="FF000000"/>
      <name val="Arial"/>
      <family val="2"/>
    </font>
    <font>
      <b/>
      <sz val="11"/>
      <color rgb="FF000000"/>
      <name val="Calibri"/>
      <family val="2"/>
    </font>
    <font>
      <b/>
      <sz val="11"/>
      <color theme="1"/>
      <name val="Arial"/>
      <family val="2"/>
    </font>
    <font>
      <b/>
      <sz val="12"/>
      <color rgb="FF000000"/>
      <name val="Arial"/>
      <family val="2"/>
    </font>
    <font>
      <b/>
      <sz val="11"/>
      <color theme="0"/>
      <name val="Calibri"/>
      <family val="2"/>
      <scheme val="minor"/>
    </font>
    <font>
      <b/>
      <sz val="11"/>
      <color rgb="FF000000"/>
      <name val="Arial"/>
      <family val="2"/>
    </font>
    <font>
      <b/>
      <sz val="18"/>
      <name val="Arial"/>
      <family val="2"/>
    </font>
    <font>
      <sz val="10"/>
      <name val="Arial"/>
      <family val="2"/>
    </font>
    <font>
      <b/>
      <sz val="16"/>
      <color theme="1"/>
      <name val="Calibri"/>
      <family val="2"/>
      <scheme val="minor"/>
    </font>
    <font>
      <sz val="11"/>
      <name val="Calibri"/>
      <family val="2"/>
      <scheme val="minor"/>
    </font>
    <font>
      <b/>
      <sz val="11"/>
      <color theme="1"/>
      <name val="Calibri"/>
      <family val="2"/>
    </font>
    <font>
      <sz val="11"/>
      <color theme="1"/>
      <name val="Calibri"/>
      <family val="2"/>
    </font>
    <font>
      <sz val="9.5"/>
      <color rgb="FF000000"/>
      <name val="Arial"/>
      <family val="2"/>
    </font>
    <font>
      <sz val="11"/>
      <color rgb="FFFF0000"/>
      <name val="Calibri"/>
      <family val="2"/>
      <scheme val="minor"/>
    </font>
    <font>
      <b/>
      <sz val="14"/>
      <color theme="1"/>
      <name val="Calibri"/>
      <family val="2"/>
      <scheme val="minor"/>
    </font>
    <font>
      <sz val="11"/>
      <color rgb="FF000000"/>
      <name val="Arial"/>
      <family val="2"/>
    </font>
  </fonts>
  <fills count="21">
    <fill>
      <patternFill patternType="none"/>
    </fill>
    <fill>
      <patternFill patternType="gray125"/>
    </fill>
    <fill>
      <patternFill patternType="solid">
        <fgColor rgb="FFFFFFFF"/>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C5D9F1"/>
        <bgColor indexed="64"/>
      </patternFill>
    </fill>
    <fill>
      <patternFill patternType="solid">
        <fgColor theme="4" tint="0.59999389629810485"/>
        <bgColor indexed="64"/>
      </patternFill>
    </fill>
    <fill>
      <patternFill patternType="solid">
        <fgColor rgb="FFD9D9D9"/>
        <bgColor rgb="FF000000"/>
      </patternFill>
    </fill>
    <fill>
      <patternFill patternType="solid">
        <fgColor rgb="FFFFFF00"/>
        <bgColor rgb="FF000000"/>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79998168889431442"/>
        <bgColor rgb="FF000000"/>
      </patternFill>
    </fill>
    <fill>
      <patternFill patternType="solid">
        <fgColor rgb="FFD9D9D9"/>
        <bgColor indexed="64"/>
      </patternFill>
    </fill>
    <fill>
      <patternFill patternType="solid">
        <fgColor theme="0"/>
        <bgColor indexed="64"/>
      </patternFill>
    </fill>
    <fill>
      <patternFill patternType="solid">
        <fgColor theme="6" tint="0.79998168889431442"/>
        <bgColor indexed="64"/>
      </patternFill>
    </fill>
    <fill>
      <patternFill patternType="solid">
        <fgColor theme="8"/>
        <bgColor theme="8"/>
      </patternFill>
    </fill>
    <fill>
      <patternFill patternType="solid">
        <fgColor rgb="FFFFFFFF"/>
        <bgColor rgb="FF000000"/>
      </patternFill>
    </fill>
    <fill>
      <patternFill patternType="solid">
        <fgColor theme="0" tint="-4.9989318521683403E-2"/>
        <bgColor indexed="64"/>
      </patternFill>
    </fill>
    <fill>
      <patternFill patternType="solid">
        <fgColor rgb="FFFFFF00"/>
        <bgColor indexed="64"/>
      </patternFill>
    </fill>
    <fill>
      <patternFill patternType="solid">
        <fgColor theme="5" tint="0.39997558519241921"/>
        <bgColor indexed="64"/>
      </patternFill>
    </fill>
  </fills>
  <borders count="19">
    <border>
      <left/>
      <right/>
      <top/>
      <bottom/>
      <diagonal/>
    </border>
    <border>
      <left style="thin">
        <color auto="1"/>
      </left>
      <right/>
      <top style="thin">
        <color auto="1"/>
      </top>
      <bottom style="thin">
        <color auto="1"/>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rgb="FFCCD6BE"/>
      </right>
      <top/>
      <bottom style="thin">
        <color rgb="FFCCD6BE"/>
      </bottom>
      <diagonal/>
    </border>
    <border>
      <left/>
      <right/>
      <top style="medium">
        <color indexed="8"/>
      </top>
      <bottom/>
      <diagonal/>
    </border>
    <border>
      <left/>
      <right style="thin">
        <color rgb="FF4F493B"/>
      </right>
      <top/>
      <bottom style="thin">
        <color rgb="FF4F493B"/>
      </bottom>
      <diagonal/>
    </border>
    <border>
      <left/>
      <right style="medium">
        <color auto="1"/>
      </right>
      <top/>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43" fontId="1" fillId="0" borderId="0" applyFont="0" applyFill="0" applyBorder="0" applyAlignment="0" applyProtection="0"/>
    <xf numFmtId="0" fontId="15" fillId="0" borderId="0"/>
    <xf numFmtId="9" fontId="29" fillId="0" borderId="0" applyFont="0" applyFill="0" applyBorder="0" applyAlignment="0" applyProtection="0"/>
  </cellStyleXfs>
  <cellXfs count="173">
    <xf numFmtId="0" fontId="0" fillId="0" borderId="0" xfId="0"/>
    <xf numFmtId="0" fontId="4" fillId="2" borderId="0" xfId="0" applyFont="1" applyFill="1" applyAlignment="1">
      <alignment wrapText="1"/>
    </xf>
    <xf numFmtId="0" fontId="4" fillId="2" borderId="0" xfId="0" applyFont="1" applyFill="1"/>
    <xf numFmtId="0" fontId="4" fillId="2" borderId="2" xfId="0" applyFont="1" applyFill="1" applyBorder="1"/>
    <xf numFmtId="0" fontId="7" fillId="6" borderId="8" xfId="0" applyFont="1" applyFill="1" applyBorder="1" applyAlignment="1">
      <alignment horizontal="center" vertical="center" wrapText="1"/>
    </xf>
    <xf numFmtId="0" fontId="8" fillId="6" borderId="8" xfId="0" applyFont="1" applyFill="1" applyBorder="1" applyAlignment="1">
      <alignment horizontal="center" vertical="center" wrapText="1"/>
    </xf>
    <xf numFmtId="10" fontId="8" fillId="6" borderId="8" xfId="0" applyNumberFormat="1"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10" fillId="2" borderId="0" xfId="0" applyFont="1" applyFill="1" applyAlignment="1">
      <alignment wrapText="1"/>
    </xf>
    <xf numFmtId="0" fontId="11" fillId="0" borderId="8" xfId="0" applyFont="1" applyBorder="1" applyAlignment="1">
      <alignment horizontal="right"/>
    </xf>
    <xf numFmtId="0" fontId="11" fillId="0" borderId="8" xfId="0" applyFont="1" applyBorder="1" applyAlignment="1">
      <alignment horizontal="left" wrapText="1"/>
    </xf>
    <xf numFmtId="164" fontId="12" fillId="0" borderId="8" xfId="0" applyNumberFormat="1" applyFont="1" applyBorder="1" applyAlignment="1">
      <alignment horizontal="right"/>
    </xf>
    <xf numFmtId="10" fontId="4" fillId="0" borderId="8" xfId="2" applyNumberFormat="1" applyFont="1" applyFill="1" applyBorder="1" applyAlignment="1" applyProtection="1"/>
    <xf numFmtId="10" fontId="11" fillId="2" borderId="8" xfId="2" applyNumberFormat="1" applyFont="1" applyFill="1" applyBorder="1" applyAlignment="1" applyProtection="1"/>
    <xf numFmtId="10" fontId="4" fillId="2" borderId="8" xfId="2" applyNumberFormat="1" applyFont="1" applyFill="1" applyBorder="1" applyAlignment="1" applyProtection="1"/>
    <xf numFmtId="164" fontId="11" fillId="0" borderId="1" xfId="1" applyNumberFormat="1" applyFont="1" applyFill="1" applyBorder="1" applyAlignment="1" applyProtection="1"/>
    <xf numFmtId="10" fontId="13" fillId="0" borderId="8" xfId="2" applyNumberFormat="1" applyFont="1" applyFill="1" applyBorder="1" applyAlignment="1" applyProtection="1"/>
    <xf numFmtId="10" fontId="13" fillId="2" borderId="8" xfId="2" applyNumberFormat="1" applyFont="1" applyFill="1" applyBorder="1" applyAlignment="1" applyProtection="1"/>
    <xf numFmtId="164" fontId="13" fillId="0" borderId="1" xfId="1" applyNumberFormat="1" applyFont="1" applyFill="1" applyBorder="1" applyAlignment="1" applyProtection="1"/>
    <xf numFmtId="164" fontId="13" fillId="0" borderId="8" xfId="1" applyNumberFormat="1" applyFont="1" applyFill="1" applyBorder="1" applyAlignment="1" applyProtection="1"/>
    <xf numFmtId="0" fontId="13" fillId="0" borderId="8" xfId="0" applyFont="1" applyBorder="1" applyAlignment="1">
      <alignment horizontal="left"/>
    </xf>
    <xf numFmtId="10" fontId="11" fillId="0" borderId="8" xfId="2" applyNumberFormat="1" applyFont="1" applyFill="1" applyBorder="1" applyAlignment="1" applyProtection="1"/>
    <xf numFmtId="0" fontId="4" fillId="0" borderId="0" xfId="0" applyFont="1"/>
    <xf numFmtId="0" fontId="14" fillId="0" borderId="8" xfId="0" applyFont="1" applyBorder="1" applyAlignment="1">
      <alignment horizontal="left" wrapText="1"/>
    </xf>
    <xf numFmtId="0" fontId="11" fillId="0" borderId="9" xfId="0" applyFont="1" applyBorder="1" applyAlignment="1">
      <alignment horizontal="left" wrapText="1"/>
    </xf>
    <xf numFmtId="0" fontId="5" fillId="2" borderId="0" xfId="0" applyFont="1" applyFill="1"/>
    <xf numFmtId="0" fontId="4" fillId="0" borderId="0" xfId="0" applyFont="1" applyAlignment="1">
      <alignment wrapText="1"/>
    </xf>
    <xf numFmtId="0" fontId="16" fillId="0" borderId="8" xfId="0" applyFont="1" applyBorder="1"/>
    <xf numFmtId="164" fontId="3" fillId="0" borderId="8" xfId="0" applyNumberFormat="1" applyFont="1" applyBorder="1" applyAlignment="1">
      <alignment horizontal="right"/>
    </xf>
    <xf numFmtId="166" fontId="4" fillId="0" borderId="8" xfId="2" applyNumberFormat="1" applyFont="1" applyFill="1" applyBorder="1" applyAlignment="1" applyProtection="1"/>
    <xf numFmtId="164" fontId="16" fillId="0" borderId="1" xfId="1" applyNumberFormat="1" applyFont="1" applyFill="1" applyBorder="1" applyAlignment="1" applyProtection="1"/>
    <xf numFmtId="164" fontId="6" fillId="0" borderId="1" xfId="1" applyNumberFormat="1" applyFont="1" applyFill="1" applyBorder="1" applyAlignment="1" applyProtection="1"/>
    <xf numFmtId="0" fontId="13" fillId="2" borderId="8" xfId="0" applyFont="1" applyFill="1" applyBorder="1"/>
    <xf numFmtId="0" fontId="6" fillId="0" borderId="8" xfId="0" applyFont="1" applyBorder="1"/>
    <xf numFmtId="164" fontId="16" fillId="0" borderId="8" xfId="0" applyNumberFormat="1" applyFont="1" applyBorder="1" applyAlignment="1">
      <alignment wrapText="1"/>
    </xf>
    <xf numFmtId="44" fontId="16" fillId="2" borderId="8" xfId="1" applyFont="1" applyFill="1" applyBorder="1" applyAlignment="1" applyProtection="1"/>
    <xf numFmtId="0" fontId="4" fillId="0" borderId="8" xfId="0" applyFont="1" applyBorder="1"/>
    <xf numFmtId="0" fontId="4" fillId="2" borderId="8" xfId="0" applyFont="1" applyFill="1" applyBorder="1" applyAlignment="1">
      <alignment wrapText="1"/>
    </xf>
    <xf numFmtId="0" fontId="4" fillId="2" borderId="8" xfId="0" applyFont="1" applyFill="1" applyBorder="1"/>
    <xf numFmtId="44" fontId="4" fillId="2" borderId="8" xfId="1" applyFont="1" applyFill="1" applyBorder="1"/>
    <xf numFmtId="0" fontId="16" fillId="0" borderId="8" xfId="0" applyFont="1" applyBorder="1" applyAlignment="1">
      <alignment horizontal="right"/>
    </xf>
    <xf numFmtId="0" fontId="16" fillId="0" borderId="8" xfId="0" applyFont="1" applyBorder="1" applyAlignment="1">
      <alignment horizontal="left" wrapText="1"/>
    </xf>
    <xf numFmtId="10" fontId="13" fillId="0" borderId="8" xfId="3" applyNumberFormat="1" applyFont="1" applyFill="1" applyBorder="1" applyAlignment="1" applyProtection="1"/>
    <xf numFmtId="165" fontId="11" fillId="0" borderId="8" xfId="2" applyNumberFormat="1" applyFont="1" applyFill="1" applyBorder="1" applyAlignment="1" applyProtection="1"/>
    <xf numFmtId="164" fontId="11" fillId="0" borderId="8" xfId="1" applyNumberFormat="1" applyFont="1" applyFill="1" applyBorder="1" applyAlignment="1" applyProtection="1"/>
    <xf numFmtId="0" fontId="16" fillId="0" borderId="8" xfId="0" applyFont="1" applyBorder="1" applyAlignment="1">
      <alignment horizontal="left"/>
    </xf>
    <xf numFmtId="0" fontId="16" fillId="0" borderId="0" xfId="0" applyFont="1" applyAlignment="1">
      <alignment horizontal="left"/>
    </xf>
    <xf numFmtId="0" fontId="16" fillId="0" borderId="0" xfId="0" applyFont="1" applyAlignment="1">
      <alignment horizontal="left" wrapText="1"/>
    </xf>
    <xf numFmtId="164" fontId="12" fillId="0" borderId="0" xfId="0" applyNumberFormat="1" applyFont="1" applyAlignment="1">
      <alignment horizontal="right"/>
    </xf>
    <xf numFmtId="10" fontId="13" fillId="2" borderId="0" xfId="3" applyNumberFormat="1" applyFont="1" applyFill="1" applyBorder="1" applyAlignment="1" applyProtection="1"/>
    <xf numFmtId="165" fontId="11" fillId="2" borderId="0" xfId="2" applyNumberFormat="1" applyFont="1" applyFill="1" applyBorder="1" applyAlignment="1" applyProtection="1"/>
    <xf numFmtId="165" fontId="4" fillId="2" borderId="0" xfId="2" applyNumberFormat="1" applyFont="1" applyFill="1" applyBorder="1" applyAlignment="1" applyProtection="1"/>
    <xf numFmtId="10" fontId="4" fillId="2" borderId="2" xfId="2" applyNumberFormat="1" applyFont="1" applyFill="1" applyBorder="1" applyAlignment="1" applyProtection="1"/>
    <xf numFmtId="0" fontId="18" fillId="8" borderId="1" xfId="0" applyFont="1" applyFill="1" applyBorder="1" applyAlignment="1">
      <alignment wrapText="1"/>
    </xf>
    <xf numFmtId="10" fontId="18" fillId="8" borderId="8" xfId="2" applyNumberFormat="1" applyFont="1" applyFill="1" applyBorder="1" applyAlignment="1" applyProtection="1">
      <alignment horizontal="center" wrapText="1"/>
    </xf>
    <xf numFmtId="10" fontId="18" fillId="9" borderId="8" xfId="2" applyNumberFormat="1" applyFont="1" applyFill="1" applyBorder="1" applyAlignment="1" applyProtection="1">
      <alignment horizontal="center" wrapText="1"/>
    </xf>
    <xf numFmtId="0" fontId="19" fillId="0" borderId="0" xfId="0" applyFont="1"/>
    <xf numFmtId="0" fontId="10" fillId="0" borderId="0" xfId="0" applyFont="1"/>
    <xf numFmtId="0" fontId="16" fillId="11" borderId="8" xfId="0" applyFont="1" applyFill="1" applyBorder="1" applyAlignment="1">
      <alignment horizontal="left"/>
    </xf>
    <xf numFmtId="164" fontId="20" fillId="12" borderId="8" xfId="1" applyNumberFormat="1" applyFont="1" applyFill="1" applyBorder="1" applyAlignment="1" applyProtection="1">
      <alignment horizontal="center" wrapText="1"/>
    </xf>
    <xf numFmtId="2" fontId="4" fillId="0" borderId="0" xfId="0" applyNumberFormat="1" applyFont="1"/>
    <xf numFmtId="0" fontId="5" fillId="0" borderId="0" xfId="0" applyFont="1"/>
    <xf numFmtId="164" fontId="5" fillId="0" borderId="8" xfId="1" applyNumberFormat="1" applyFont="1" applyBorder="1"/>
    <xf numFmtId="0" fontId="4" fillId="0" borderId="8" xfId="0" applyFont="1" applyBorder="1" applyAlignment="1">
      <alignment horizontal="right"/>
    </xf>
    <xf numFmtId="10" fontId="5" fillId="0" borderId="8" xfId="2" applyNumberFormat="1" applyFont="1" applyBorder="1"/>
    <xf numFmtId="0" fontId="4" fillId="2" borderId="0" xfId="0" applyFont="1" applyFill="1" applyBorder="1"/>
    <xf numFmtId="10" fontId="18" fillId="8" borderId="0" xfId="2" applyNumberFormat="1" applyFont="1" applyFill="1" applyBorder="1" applyAlignment="1" applyProtection="1">
      <alignment horizontal="center" wrapText="1"/>
    </xf>
    <xf numFmtId="10" fontId="18" fillId="9" borderId="0" xfId="2" applyNumberFormat="1" applyFont="1" applyFill="1" applyBorder="1" applyAlignment="1" applyProtection="1">
      <alignment horizontal="center" wrapText="1"/>
    </xf>
    <xf numFmtId="10" fontId="12" fillId="0" borderId="8" xfId="2" applyNumberFormat="1" applyFont="1" applyBorder="1" applyAlignment="1">
      <alignment horizontal="right"/>
    </xf>
    <xf numFmtId="10" fontId="12" fillId="0" borderId="8" xfId="0" applyNumberFormat="1" applyFont="1" applyBorder="1" applyAlignment="1">
      <alignment horizontal="right"/>
    </xf>
    <xf numFmtId="0" fontId="4" fillId="0" borderId="0" xfId="0" applyFont="1" applyAlignment="1">
      <alignment vertical="center"/>
    </xf>
    <xf numFmtId="1" fontId="3" fillId="10" borderId="8" xfId="0" applyNumberFormat="1" applyFont="1" applyFill="1" applyBorder="1" applyAlignment="1">
      <alignment horizontal="center" vertical="center" wrapText="1"/>
    </xf>
    <xf numFmtId="0" fontId="3" fillId="10" borderId="8" xfId="0" applyFont="1" applyFill="1" applyBorder="1" applyAlignment="1">
      <alignment horizontal="center" vertical="center" wrapText="1"/>
    </xf>
    <xf numFmtId="10" fontId="3" fillId="10" borderId="8" xfId="0" applyNumberFormat="1" applyFont="1" applyFill="1" applyBorder="1" applyAlignment="1">
      <alignment horizontal="center" vertical="center" wrapText="1"/>
    </xf>
    <xf numFmtId="1" fontId="12" fillId="14" borderId="8" xfId="0" applyNumberFormat="1" applyFont="1" applyFill="1" applyBorder="1" applyAlignment="1">
      <alignment horizontal="left" vertical="center"/>
    </xf>
    <xf numFmtId="168" fontId="4" fillId="0" borderId="8" xfId="1" applyNumberFormat="1" applyFont="1" applyFill="1" applyBorder="1" applyAlignment="1">
      <alignment horizontal="center" vertical="center"/>
    </xf>
    <xf numFmtId="169" fontId="24" fillId="2" borderId="11" xfId="5" applyNumberFormat="1" applyFont="1" applyFill="1" applyBorder="1" applyAlignment="1">
      <alignment horizontal="right" wrapText="1"/>
    </xf>
    <xf numFmtId="10" fontId="4" fillId="0" borderId="8" xfId="2" applyNumberFormat="1" applyFont="1" applyFill="1" applyBorder="1" applyAlignment="1">
      <alignment horizontal="center" vertical="center"/>
    </xf>
    <xf numFmtId="164" fontId="12" fillId="0" borderId="8" xfId="0" applyNumberFormat="1" applyFont="1" applyBorder="1" applyAlignment="1">
      <alignment horizontal="center" vertical="center"/>
    </xf>
    <xf numFmtId="0" fontId="13" fillId="0" borderId="0" xfId="0" applyFont="1"/>
    <xf numFmtId="1" fontId="12" fillId="0" borderId="8" xfId="0" applyNumberFormat="1" applyFont="1" applyBorder="1" applyAlignment="1">
      <alignment horizontal="left" vertical="center"/>
    </xf>
    <xf numFmtId="167" fontId="12" fillId="0" borderId="8" xfId="4" applyNumberFormat="1" applyFont="1" applyFill="1" applyBorder="1" applyAlignment="1">
      <alignment horizontal="right" vertical="center"/>
    </xf>
    <xf numFmtId="0" fontId="4" fillId="0" borderId="8" xfId="0" applyFont="1" applyBorder="1" applyAlignment="1">
      <alignment vertical="center"/>
    </xf>
    <xf numFmtId="0" fontId="5" fillId="15" borderId="8" xfId="0" applyFont="1" applyFill="1" applyBorder="1" applyAlignment="1">
      <alignment vertical="center"/>
    </xf>
    <xf numFmtId="1" fontId="3" fillId="15" borderId="8" xfId="0" applyNumberFormat="1" applyFont="1" applyFill="1" applyBorder="1" applyAlignment="1">
      <alignment horizontal="left" vertical="center"/>
    </xf>
    <xf numFmtId="164" fontId="3" fillId="15" borderId="8" xfId="0" applyNumberFormat="1" applyFont="1" applyFill="1" applyBorder="1" applyAlignment="1">
      <alignment vertical="center"/>
    </xf>
    <xf numFmtId="167" fontId="12" fillId="15" borderId="8" xfId="0" applyNumberFormat="1" applyFont="1" applyFill="1" applyBorder="1" applyAlignment="1">
      <alignment vertical="center"/>
    </xf>
    <xf numFmtId="0" fontId="4" fillId="15" borderId="8" xfId="0" applyFont="1" applyFill="1" applyBorder="1" applyAlignment="1">
      <alignment vertical="center"/>
    </xf>
    <xf numFmtId="164" fontId="3" fillId="15" borderId="8" xfId="0" applyNumberFormat="1" applyFont="1" applyFill="1" applyBorder="1" applyAlignment="1">
      <alignment horizontal="center" vertical="center"/>
    </xf>
    <xf numFmtId="0" fontId="5" fillId="0" borderId="0" xfId="0" applyFont="1" applyAlignment="1">
      <alignment vertical="center"/>
    </xf>
    <xf numFmtId="1" fontId="3" fillId="14" borderId="0" xfId="0" applyNumberFormat="1" applyFont="1" applyFill="1" applyAlignment="1">
      <alignment horizontal="left" vertical="center"/>
    </xf>
    <xf numFmtId="0" fontId="3" fillId="14" borderId="0" xfId="0" applyFont="1" applyFill="1" applyAlignment="1">
      <alignment vertical="center"/>
    </xf>
    <xf numFmtId="9" fontId="3" fillId="14" borderId="0" xfId="2" applyFont="1" applyFill="1" applyAlignment="1">
      <alignment horizontal="center" vertical="center"/>
    </xf>
    <xf numFmtId="10" fontId="4" fillId="0" borderId="12" xfId="2" applyNumberFormat="1" applyFont="1" applyBorder="1" applyAlignment="1">
      <alignment horizontal="center" vertical="center"/>
    </xf>
    <xf numFmtId="0" fontId="12" fillId="0" borderId="0" xfId="0" applyFont="1" applyAlignment="1">
      <alignment vertical="center"/>
    </xf>
    <xf numFmtId="164" fontId="5" fillId="0" borderId="0" xfId="0" applyNumberFormat="1" applyFont="1" applyAlignment="1">
      <alignment vertical="center"/>
    </xf>
    <xf numFmtId="167" fontId="3" fillId="0" borderId="0" xfId="0" applyNumberFormat="1" applyFont="1" applyAlignment="1">
      <alignment vertical="center"/>
    </xf>
    <xf numFmtId="0" fontId="3" fillId="0" borderId="8" xfId="0" applyFont="1" applyBorder="1" applyAlignment="1">
      <alignment vertical="center"/>
    </xf>
    <xf numFmtId="167" fontId="12" fillId="0" borderId="0" xfId="0" applyNumberFormat="1" applyFont="1"/>
    <xf numFmtId="10" fontId="3" fillId="0" borderId="1" xfId="0" applyNumberFormat="1" applyFont="1" applyBorder="1" applyAlignment="1">
      <alignment vertical="center"/>
    </xf>
    <xf numFmtId="3" fontId="12" fillId="0" borderId="4" xfId="0" applyNumberFormat="1" applyFont="1" applyBorder="1" applyAlignment="1">
      <alignment horizontal="center" vertical="center"/>
    </xf>
    <xf numFmtId="0" fontId="12" fillId="0" borderId="8" xfId="0" applyFont="1" applyBorder="1" applyAlignment="1">
      <alignment vertical="center"/>
    </xf>
    <xf numFmtId="10" fontId="3" fillId="0" borderId="2" xfId="0" applyNumberFormat="1" applyFont="1" applyBorder="1" applyAlignment="1">
      <alignment vertical="center"/>
    </xf>
    <xf numFmtId="10" fontId="12" fillId="0" borderId="13" xfId="2" applyNumberFormat="1" applyFont="1" applyBorder="1" applyAlignment="1">
      <alignment horizontal="center" vertical="center"/>
    </xf>
    <xf numFmtId="10" fontId="3" fillId="0" borderId="5" xfId="0" applyNumberFormat="1" applyFont="1" applyBorder="1" applyAlignment="1">
      <alignment vertical="center"/>
    </xf>
    <xf numFmtId="10" fontId="12" fillId="0" borderId="7" xfId="2" applyNumberFormat="1" applyFont="1" applyBorder="1" applyAlignment="1">
      <alignment horizontal="center" vertical="center"/>
    </xf>
    <xf numFmtId="167" fontId="12" fillId="0" borderId="0" xfId="0" applyNumberFormat="1" applyFont="1" applyAlignment="1">
      <alignment vertical="center"/>
    </xf>
    <xf numFmtId="0" fontId="12" fillId="0" borderId="0" xfId="0" applyFont="1"/>
    <xf numFmtId="0" fontId="21" fillId="16" borderId="14" xfId="0" applyFont="1" applyFill="1" applyBorder="1"/>
    <xf numFmtId="0" fontId="21" fillId="16" borderId="15" xfId="0" applyFont="1" applyFill="1" applyBorder="1"/>
    <xf numFmtId="0" fontId="21" fillId="16" borderId="16" xfId="0" applyFont="1" applyFill="1" applyBorder="1"/>
    <xf numFmtId="0" fontId="0"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xf>
    <xf numFmtId="0" fontId="3" fillId="2" borderId="5" xfId="0" applyFont="1" applyFill="1" applyBorder="1" applyAlignment="1">
      <alignment horizontal="left"/>
    </xf>
    <xf numFmtId="0" fontId="23" fillId="0" borderId="6" xfId="0" applyFont="1" applyBorder="1" applyAlignment="1">
      <alignment horizontal="left" vertical="center"/>
    </xf>
    <xf numFmtId="0" fontId="13" fillId="0" borderId="10" xfId="0" applyFont="1" applyBorder="1" applyAlignment="1">
      <alignment horizontal="left" vertical="center" wrapText="1"/>
    </xf>
    <xf numFmtId="167" fontId="12" fillId="0" borderId="10" xfId="0" applyNumberFormat="1" applyFont="1" applyBorder="1" applyAlignment="1">
      <alignment horizontal="left" vertical="center" wrapText="1"/>
    </xf>
    <xf numFmtId="0" fontId="25" fillId="0" borderId="0" xfId="0" applyFont="1"/>
    <xf numFmtId="0" fontId="21" fillId="16" borderId="15" xfId="0" applyFont="1" applyFill="1" applyBorder="1" applyAlignment="1">
      <alignment horizontal="center" vertical="center"/>
    </xf>
    <xf numFmtId="10" fontId="12" fillId="0" borderId="8" xfId="2" applyNumberFormat="1" applyFont="1" applyFill="1" applyBorder="1" applyAlignment="1" applyProtection="1"/>
    <xf numFmtId="10" fontId="4" fillId="2" borderId="0" xfId="2" applyNumberFormat="1" applyFont="1" applyFill="1" applyBorder="1" applyAlignment="1" applyProtection="1"/>
    <xf numFmtId="0" fontId="26" fillId="0" borderId="0" xfId="0" applyFont="1" applyFill="1"/>
    <xf numFmtId="0" fontId="0" fillId="0" borderId="8" xfId="0" applyFont="1" applyBorder="1" applyAlignment="1">
      <alignment horizontal="left" vertical="top" wrapText="1"/>
    </xf>
    <xf numFmtId="0" fontId="0" fillId="0" borderId="8" xfId="0" applyBorder="1" applyAlignment="1">
      <alignment horizontal="left" vertical="top" wrapText="1"/>
    </xf>
    <xf numFmtId="0" fontId="19" fillId="10" borderId="8" xfId="0" applyFont="1" applyFill="1" applyBorder="1" applyAlignment="1">
      <alignment horizontal="center" vertical="center" wrapText="1"/>
    </xf>
    <xf numFmtId="164" fontId="17" fillId="17" borderId="8" xfId="1" applyNumberFormat="1" applyFont="1" applyFill="1" applyBorder="1" applyAlignment="1" applyProtection="1">
      <alignment horizontal="center" wrapText="1"/>
    </xf>
    <xf numFmtId="2" fontId="11" fillId="0" borderId="8" xfId="4" applyNumberFormat="1" applyFont="1" applyFill="1" applyBorder="1" applyAlignment="1" applyProtection="1">
      <alignment horizontal="center" wrapText="1"/>
    </xf>
    <xf numFmtId="10" fontId="4" fillId="0" borderId="8" xfId="2" applyNumberFormat="1" applyFont="1" applyFill="1" applyBorder="1" applyAlignment="1">
      <alignment horizontal="center"/>
    </xf>
    <xf numFmtId="0" fontId="11" fillId="0" borderId="0" xfId="0" applyFont="1" applyAlignment="1">
      <alignment horizontal="left" wrapText="1"/>
    </xf>
    <xf numFmtId="164" fontId="17" fillId="17" borderId="0" xfId="1" applyNumberFormat="1" applyFont="1" applyFill="1" applyBorder="1" applyAlignment="1" applyProtection="1">
      <alignment horizontal="center" wrapText="1"/>
    </xf>
    <xf numFmtId="2" fontId="11" fillId="0" borderId="0" xfId="4" applyNumberFormat="1" applyFont="1" applyFill="1" applyBorder="1" applyAlignment="1" applyProtection="1">
      <alignment horizontal="center" wrapText="1"/>
    </xf>
    <xf numFmtId="2" fontId="16" fillId="0" borderId="0" xfId="0" applyNumberFormat="1" applyFont="1" applyAlignment="1">
      <alignment horizontal="center" wrapText="1"/>
    </xf>
    <xf numFmtId="0" fontId="27" fillId="18" borderId="8" xfId="0" applyFont="1" applyFill="1" applyBorder="1"/>
    <xf numFmtId="164" fontId="4" fillId="0" borderId="0" xfId="0" applyNumberFormat="1" applyFont="1"/>
    <xf numFmtId="0" fontId="28" fillId="18" borderId="8" xfId="0" applyFont="1" applyFill="1" applyBorder="1"/>
    <xf numFmtId="2" fontId="28" fillId="19" borderId="8" xfId="0" applyNumberFormat="1" applyFont="1" applyFill="1" applyBorder="1"/>
    <xf numFmtId="10" fontId="28" fillId="19" borderId="8" xfId="0" applyNumberFormat="1" applyFont="1" applyFill="1" applyBorder="1"/>
    <xf numFmtId="164" fontId="4" fillId="2" borderId="0" xfId="1" applyNumberFormat="1" applyFont="1" applyFill="1"/>
    <xf numFmtId="0" fontId="19" fillId="13" borderId="8" xfId="0" applyFont="1" applyFill="1" applyBorder="1" applyAlignment="1">
      <alignment horizontal="center" vertical="center" wrapText="1"/>
    </xf>
    <xf numFmtId="0" fontId="11" fillId="0" borderId="17" xfId="0" applyFont="1" applyBorder="1" applyAlignment="1">
      <alignment horizontal="left" wrapText="1"/>
    </xf>
    <xf numFmtId="0" fontId="2" fillId="13" borderId="8" xfId="0" applyFont="1" applyFill="1" applyBorder="1" applyAlignment="1">
      <alignment horizontal="center" vertical="center" wrapText="1"/>
    </xf>
    <xf numFmtId="0" fontId="26" fillId="0" borderId="17" xfId="0" applyFont="1" applyFill="1" applyBorder="1" applyAlignment="1">
      <alignment wrapText="1"/>
    </xf>
    <xf numFmtId="0" fontId="26" fillId="0" borderId="17" xfId="0" applyFont="1" applyFill="1" applyBorder="1" applyAlignment="1">
      <alignment horizontal="center" vertical="center"/>
    </xf>
    <xf numFmtId="0" fontId="0" fillId="0" borderId="8" xfId="0" applyFill="1" applyBorder="1"/>
    <xf numFmtId="164" fontId="0" fillId="0" borderId="8" xfId="1" applyNumberFormat="1" applyFont="1" applyBorder="1"/>
    <xf numFmtId="164" fontId="0" fillId="0" borderId="8" xfId="0" applyNumberFormat="1" applyBorder="1"/>
    <xf numFmtId="164" fontId="0" fillId="0" borderId="0" xfId="0" applyNumberFormat="1"/>
    <xf numFmtId="0" fontId="26" fillId="0" borderId="8" xfId="0" applyFont="1" applyFill="1" applyBorder="1" applyAlignment="1">
      <alignment vertical="center"/>
    </xf>
    <xf numFmtId="0" fontId="2" fillId="13" borderId="18" xfId="0" applyFont="1" applyFill="1" applyBorder="1" applyAlignment="1">
      <alignment horizontal="center" vertical="center" wrapText="1"/>
    </xf>
    <xf numFmtId="0" fontId="12" fillId="19" borderId="8" xfId="0" applyFont="1" applyFill="1" applyBorder="1" applyAlignment="1">
      <alignment vertical="center"/>
    </xf>
    <xf numFmtId="10" fontId="32" fillId="0" borderId="0" xfId="2" applyNumberFormat="1" applyFont="1"/>
    <xf numFmtId="10" fontId="17" fillId="0" borderId="0" xfId="2" applyNumberFormat="1" applyFont="1" applyAlignment="1">
      <alignment horizontal="center"/>
    </xf>
    <xf numFmtId="0" fontId="0" fillId="0" borderId="0" xfId="0" applyAlignment="1">
      <alignment horizontal="left"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6" fillId="0" borderId="1"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31" fillId="7" borderId="6" xfId="0" applyFont="1" applyFill="1" applyBorder="1" applyAlignment="1">
      <alignment horizontal="center"/>
    </xf>
    <xf numFmtId="0" fontId="31" fillId="20" borderId="6" xfId="0" applyFont="1" applyFill="1" applyBorder="1" applyAlignment="1">
      <alignment horizontal="center"/>
    </xf>
    <xf numFmtId="0" fontId="5" fillId="3" borderId="1"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7" xfId="0" applyFont="1" applyFill="1" applyBorder="1" applyAlignment="1">
      <alignment horizontal="center"/>
    </xf>
    <xf numFmtId="0" fontId="6" fillId="5" borderId="8" xfId="0" applyFont="1" applyFill="1" applyBorder="1" applyAlignment="1">
      <alignment horizontal="center"/>
    </xf>
    <xf numFmtId="0" fontId="17" fillId="0" borderId="0" xfId="0" applyFont="1" applyAlignment="1">
      <alignment horizontal="left"/>
    </xf>
  </cellXfs>
  <cellStyles count="7">
    <cellStyle name="Comma" xfId="4" builtinId="3"/>
    <cellStyle name="Currency" xfId="1" builtinId="4"/>
    <cellStyle name="Normal" xfId="0" builtinId="0"/>
    <cellStyle name="Normal 2" xfId="5" xr:uid="{FDF12926-AD09-44D6-A7B4-ABF785A2CBCE}"/>
    <cellStyle name="Percent" xfId="2" builtinId="5"/>
    <cellStyle name="Percent 2" xfId="6" xr:uid="{091A5CE6-B75F-4A77-8207-99CAD9F5E6EA}"/>
    <cellStyle name="Percent 2 3" xfId="3" xr:uid="{13E51269-0354-407A-912B-DD536F56E0F4}"/>
  </cellStyles>
  <dxfs count="8">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5" tint="0.79998168889431442"/>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Model 2</c:v>
          </c:tx>
          <c:spPr>
            <a:solidFill>
              <a:schemeClr val="accent1"/>
            </a:solidFill>
            <a:ln>
              <a:noFill/>
            </a:ln>
            <a:effectLst/>
          </c:spPr>
          <c:invertIfNegative val="0"/>
          <c:val>
            <c:numRef>
              <c:f>'RRIP Prelim Rev Adj M1'!$O$4:$O$47</c:f>
              <c:numCache>
                <c:formatCode>0.00%</c:formatCode>
                <c:ptCount val="44"/>
                <c:pt idx="0">
                  <c:v>3.0000013083560516E-3</c:v>
                </c:pt>
                <c:pt idx="1">
                  <c:v>9.300000002005631E-3</c:v>
                </c:pt>
                <c:pt idx="2">
                  <c:v>1.1600000341110724E-2</c:v>
                </c:pt>
                <c:pt idx="3">
                  <c:v>3.5000012074087998E-3</c:v>
                </c:pt>
                <c:pt idx="4">
                  <c:v>1.3000002950639691E-3</c:v>
                </c:pt>
                <c:pt idx="5">
                  <c:v>-2.1000062480672948E-3</c:v>
                </c:pt>
                <c:pt idx="6">
                  <c:v>5.000009529792101E-4</c:v>
                </c:pt>
                <c:pt idx="7">
                  <c:v>6.6000000461579949E-3</c:v>
                </c:pt>
                <c:pt idx="8">
                  <c:v>7.9999993532852958E-3</c:v>
                </c:pt>
                <c:pt idx="9">
                  <c:v>3.3000006440752866E-3</c:v>
                </c:pt>
                <c:pt idx="10">
                  <c:v>8.9999992905402375E-3</c:v>
                </c:pt>
                <c:pt idx="11">
                  <c:v>-4.8000022871395728E-3</c:v>
                </c:pt>
                <c:pt idx="12">
                  <c:v>2.0000007251601344E-2</c:v>
                </c:pt>
                <c:pt idx="13">
                  <c:v>1.0800000864781807E-2</c:v>
                </c:pt>
                <c:pt idx="14">
                  <c:v>4.9999983132488603E-3</c:v>
                </c:pt>
                <c:pt idx="15">
                  <c:v>3.4999994643384004E-3</c:v>
                </c:pt>
                <c:pt idx="16">
                  <c:v>-3.9000009988177354E-3</c:v>
                </c:pt>
                <c:pt idx="17">
                  <c:v>-3.300000428602054E-3</c:v>
                </c:pt>
                <c:pt idx="18">
                  <c:v>1.2600002272143598E-2</c:v>
                </c:pt>
                <c:pt idx="19">
                  <c:v>-5.5000008357322548E-3</c:v>
                </c:pt>
                <c:pt idx="20">
                  <c:v>5.5999996314206437E-3</c:v>
                </c:pt>
                <c:pt idx="21">
                  <c:v>2.0000020276629463E-2</c:v>
                </c:pt>
                <c:pt idx="22">
                  <c:v>2.6999986252383723E-3</c:v>
                </c:pt>
                <c:pt idx="23">
                  <c:v>1.5400002262604066E-2</c:v>
                </c:pt>
                <c:pt idx="24">
                  <c:v>5.3999992863236852E-3</c:v>
                </c:pt>
                <c:pt idx="25">
                  <c:v>4.5999969986451799E-3</c:v>
                </c:pt>
                <c:pt idx="26">
                  <c:v>1.439999896149865E-2</c:v>
                </c:pt>
                <c:pt idx="27">
                  <c:v>1.5599996726820026E-2</c:v>
                </c:pt>
                <c:pt idx="28">
                  <c:v>-1.8000048818787432E-3</c:v>
                </c:pt>
                <c:pt idx="29">
                  <c:v>4.4999999126645058E-3</c:v>
                </c:pt>
                <c:pt idx="30">
                  <c:v>4.30000014905334E-3</c:v>
                </c:pt>
                <c:pt idx="31">
                  <c:v>7.3000001705202473E-3</c:v>
                </c:pt>
                <c:pt idx="32">
                  <c:v>3.400001448036392E-3</c:v>
                </c:pt>
                <c:pt idx="33">
                  <c:v>-2.0000085011271751E-4</c:v>
                </c:pt>
                <c:pt idx="34">
                  <c:v>8.4000002271724383E-3</c:v>
                </c:pt>
                <c:pt idx="35">
                  <c:v>1.1000002657327706E-2</c:v>
                </c:pt>
                <c:pt idx="36">
                  <c:v>3.0000024598526002E-4</c:v>
                </c:pt>
                <c:pt idx="37">
                  <c:v>1.5899993535618741E-2</c:v>
                </c:pt>
                <c:pt idx="38">
                  <c:v>-7.9000127262423229E-3</c:v>
                </c:pt>
                <c:pt idx="39">
                  <c:v>4.0000045969877584E-3</c:v>
                </c:pt>
                <c:pt idx="40">
                  <c:v>3.000000974053754E-3</c:v>
                </c:pt>
                <c:pt idx="41">
                  <c:v>5.3999993739156623E-3</c:v>
                </c:pt>
                <c:pt idx="42">
                  <c:v>1.6000060588077687E-3</c:v>
                </c:pt>
                <c:pt idx="43">
                  <c:v>1.0299996610947038E-2</c:v>
                </c:pt>
              </c:numCache>
            </c:numRef>
          </c:val>
          <c:extLst>
            <c:ext xmlns:c16="http://schemas.microsoft.com/office/drawing/2014/chart" uri="{C3380CC4-5D6E-409C-BE32-E72D297353CC}">
              <c16:uniqueId val="{00000000-28F8-47A2-8A8C-5387D0FEA754}"/>
            </c:ext>
          </c:extLst>
        </c:ser>
        <c:ser>
          <c:idx val="1"/>
          <c:order val="1"/>
          <c:tx>
            <c:v>Model 1</c:v>
          </c:tx>
          <c:spPr>
            <a:solidFill>
              <a:schemeClr val="accent2"/>
            </a:solidFill>
            <a:ln>
              <a:noFill/>
            </a:ln>
            <a:effectLst/>
          </c:spPr>
          <c:invertIfNegative val="0"/>
          <c:val>
            <c:numRef>
              <c:f>'RRIP Prelim Rev Adj'!#REF!</c:f>
              <c:numCache>
                <c:formatCode>General</c:formatCode>
                <c:ptCount val="1"/>
                <c:pt idx="0">
                  <c:v>1</c:v>
                </c:pt>
              </c:numCache>
            </c:numRef>
          </c:val>
          <c:extLst>
            <c:ext xmlns:c16="http://schemas.microsoft.com/office/drawing/2014/chart" uri="{C3380CC4-5D6E-409C-BE32-E72D297353CC}">
              <c16:uniqueId val="{00000001-28F8-47A2-8A8C-5387D0FEA754}"/>
            </c:ext>
          </c:extLst>
        </c:ser>
        <c:dLbls>
          <c:showLegendKey val="0"/>
          <c:showVal val="0"/>
          <c:showCatName val="0"/>
          <c:showSerName val="0"/>
          <c:showPercent val="0"/>
          <c:showBubbleSize val="0"/>
        </c:dLbls>
        <c:gapWidth val="219"/>
        <c:overlap val="-27"/>
        <c:axId val="1536114847"/>
        <c:axId val="1536116511"/>
      </c:barChart>
      <c:catAx>
        <c:axId val="1536114847"/>
        <c:scaling>
          <c:orientation val="minMax"/>
        </c:scaling>
        <c:delete val="1"/>
        <c:axPos val="b"/>
        <c:majorTickMark val="none"/>
        <c:minorTickMark val="none"/>
        <c:tickLblPos val="nextTo"/>
        <c:crossAx val="1536116511"/>
        <c:crosses val="autoZero"/>
        <c:auto val="1"/>
        <c:lblAlgn val="ctr"/>
        <c:lblOffset val="100"/>
        <c:noMultiLvlLbl val="0"/>
      </c:catAx>
      <c:valAx>
        <c:axId val="1536116511"/>
        <c:scaling>
          <c:orientation val="minMax"/>
          <c:max val="2.0000000000000004E-2"/>
          <c:min val="-2.0000000000000004E-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11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Model 2</c:v>
          </c:tx>
          <c:spPr>
            <a:solidFill>
              <a:schemeClr val="accent1"/>
            </a:solidFill>
            <a:ln>
              <a:noFill/>
            </a:ln>
            <a:effectLst/>
          </c:spPr>
          <c:invertIfNegative val="0"/>
          <c:val>
            <c:numRef>
              <c:f>'RRIP Prelim Rev Adj M2'!$O$4:$O$47</c:f>
              <c:numCache>
                <c:formatCode>0.00%</c:formatCode>
                <c:ptCount val="44"/>
                <c:pt idx="0">
                  <c:v>-2.7000011775204463E-3</c:v>
                </c:pt>
                <c:pt idx="1">
                  <c:v>8.7000003879436159E-3</c:v>
                </c:pt>
                <c:pt idx="2">
                  <c:v>1.1300000774801748E-2</c:v>
                </c:pt>
                <c:pt idx="3">
                  <c:v>-2.0000035819444181E-4</c:v>
                </c:pt>
                <c:pt idx="4">
                  <c:v>-1.1000005625234994E-3</c:v>
                </c:pt>
                <c:pt idx="5">
                  <c:v>-7.3000069505608561E-3</c:v>
                </c:pt>
                <c:pt idx="6">
                  <c:v>-1.4999985315361176E-3</c:v>
                </c:pt>
                <c:pt idx="7">
                  <c:v>5.3999997148875085E-3</c:v>
                </c:pt>
                <c:pt idx="8">
                  <c:v>3.699999083736266E-3</c:v>
                </c:pt>
                <c:pt idx="9">
                  <c:v>-1.0000056587108494E-4</c:v>
                </c:pt>
                <c:pt idx="10">
                  <c:v>6.1000011579272588E-3</c:v>
                </c:pt>
                <c:pt idx="11">
                  <c:v>-7.4999996305197617E-3</c:v>
                </c:pt>
                <c:pt idx="12">
                  <c:v>2.0000007251601344E-2</c:v>
                </c:pt>
                <c:pt idx="13">
                  <c:v>7.4999967652063845E-3</c:v>
                </c:pt>
                <c:pt idx="14">
                  <c:v>1.5999998993788034E-3</c:v>
                </c:pt>
                <c:pt idx="15">
                  <c:v>1.3999989320904876E-3</c:v>
                </c:pt>
                <c:pt idx="16">
                  <c:v>-9.1000005683964293E-3</c:v>
                </c:pt>
                <c:pt idx="17">
                  <c:v>-6.2000012472447699E-3</c:v>
                </c:pt>
                <c:pt idx="18">
                  <c:v>1.0700002286664562E-2</c:v>
                </c:pt>
                <c:pt idx="19">
                  <c:v>-8.9999973991104522E-3</c:v>
                </c:pt>
                <c:pt idx="20">
                  <c:v>4.1000007703777029E-3</c:v>
                </c:pt>
                <c:pt idx="21">
                  <c:v>2.0000020276629463E-2</c:v>
                </c:pt>
                <c:pt idx="22">
                  <c:v>-1.6999961662150747E-3</c:v>
                </c:pt>
                <c:pt idx="23">
                  <c:v>1.219999700801511E-2</c:v>
                </c:pt>
                <c:pt idx="24">
                  <c:v>2.6000002241662332E-3</c:v>
                </c:pt>
                <c:pt idx="25">
                  <c:v>1.5999994128537167E-3</c:v>
                </c:pt>
                <c:pt idx="26">
                  <c:v>2.0000002821824459E-2</c:v>
                </c:pt>
                <c:pt idx="27">
                  <c:v>1.4100003163371889E-2</c:v>
                </c:pt>
                <c:pt idx="28">
                  <c:v>-6.3999983992384735E-3</c:v>
                </c:pt>
                <c:pt idx="29">
                  <c:v>2.000004371094089E-4</c:v>
                </c:pt>
                <c:pt idx="30">
                  <c:v>1.8000008859289701E-3</c:v>
                </c:pt>
                <c:pt idx="31">
                  <c:v>8.8999981041691517E-3</c:v>
                </c:pt>
                <c:pt idx="32">
                  <c:v>1.0000045995697965E-4</c:v>
                </c:pt>
                <c:pt idx="33">
                  <c:v>-3.5999994891849781E-3</c:v>
                </c:pt>
                <c:pt idx="34">
                  <c:v>3.8999981318951233E-3</c:v>
                </c:pt>
                <c:pt idx="35">
                  <c:v>7.3000019591067822E-3</c:v>
                </c:pt>
                <c:pt idx="36">
                  <c:v>-9.9999871985884093E-4</c:v>
                </c:pt>
                <c:pt idx="37">
                  <c:v>-2.2000050214748923E-3</c:v>
                </c:pt>
                <c:pt idx="38">
                  <c:v>-1.9300009753957213E-2</c:v>
                </c:pt>
                <c:pt idx="39">
                  <c:v>0</c:v>
                </c:pt>
                <c:pt idx="40">
                  <c:v>2.999985108671615E-4</c:v>
                </c:pt>
                <c:pt idx="41">
                  <c:v>1.4999989967915072E-3</c:v>
                </c:pt>
                <c:pt idx="42">
                  <c:v>7.9999517306601005E-4</c:v>
                </c:pt>
                <c:pt idx="43">
                  <c:v>4.9999948497883948E-3</c:v>
                </c:pt>
              </c:numCache>
            </c:numRef>
          </c:val>
          <c:extLst>
            <c:ext xmlns:c16="http://schemas.microsoft.com/office/drawing/2014/chart" uri="{C3380CC4-5D6E-409C-BE32-E72D297353CC}">
              <c16:uniqueId val="{00000000-DAB7-41AB-8CB0-70F05CD46DA7}"/>
            </c:ext>
          </c:extLst>
        </c:ser>
        <c:ser>
          <c:idx val="1"/>
          <c:order val="1"/>
          <c:tx>
            <c:v>Model 1</c:v>
          </c:tx>
          <c:spPr>
            <a:solidFill>
              <a:schemeClr val="accent2"/>
            </a:solidFill>
            <a:ln>
              <a:noFill/>
            </a:ln>
            <a:effectLst/>
          </c:spPr>
          <c:invertIfNegative val="0"/>
          <c:val>
            <c:numRef>
              <c:f>'RRIP Prelim Rev Adj'!#REF!</c:f>
              <c:numCache>
                <c:formatCode>General</c:formatCode>
                <c:ptCount val="1"/>
                <c:pt idx="0">
                  <c:v>1</c:v>
                </c:pt>
              </c:numCache>
            </c:numRef>
          </c:val>
          <c:extLst>
            <c:ext xmlns:c16="http://schemas.microsoft.com/office/drawing/2014/chart" uri="{C3380CC4-5D6E-409C-BE32-E72D297353CC}">
              <c16:uniqueId val="{00000001-DAB7-41AB-8CB0-70F05CD46DA7}"/>
            </c:ext>
          </c:extLst>
        </c:ser>
        <c:dLbls>
          <c:showLegendKey val="0"/>
          <c:showVal val="0"/>
          <c:showCatName val="0"/>
          <c:showSerName val="0"/>
          <c:showPercent val="0"/>
          <c:showBubbleSize val="0"/>
        </c:dLbls>
        <c:gapWidth val="219"/>
        <c:overlap val="-27"/>
        <c:axId val="1536114847"/>
        <c:axId val="1536116511"/>
      </c:barChart>
      <c:catAx>
        <c:axId val="1536114847"/>
        <c:scaling>
          <c:orientation val="minMax"/>
        </c:scaling>
        <c:delete val="1"/>
        <c:axPos val="b"/>
        <c:majorTickMark val="none"/>
        <c:minorTickMark val="none"/>
        <c:tickLblPos val="nextTo"/>
        <c:crossAx val="1536116511"/>
        <c:crosses val="autoZero"/>
        <c:auto val="1"/>
        <c:lblAlgn val="ctr"/>
        <c:lblOffset val="100"/>
        <c:noMultiLvlLbl val="0"/>
      </c:catAx>
      <c:valAx>
        <c:axId val="1536116511"/>
        <c:scaling>
          <c:orientation val="minMax"/>
          <c:max val="2.0000000000000004E-2"/>
          <c:min val="-2.0000000000000004E-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611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21</xdr:col>
      <xdr:colOff>973665</xdr:colOff>
      <xdr:row>55</xdr:row>
      <xdr:rowOff>57150</xdr:rowOff>
    </xdr:from>
    <xdr:to>
      <xdr:col>30</xdr:col>
      <xdr:colOff>126999</xdr:colOff>
      <xdr:row>71</xdr:row>
      <xdr:rowOff>84667</xdr:rowOff>
    </xdr:to>
    <xdr:graphicFrame macro="">
      <xdr:nvGraphicFramePr>
        <xdr:cNvPr id="2" name="Chart 1">
          <a:extLst>
            <a:ext uri="{FF2B5EF4-FFF2-40B4-BE49-F238E27FC236}">
              <a16:creationId xmlns:a16="http://schemas.microsoft.com/office/drawing/2014/main" id="{98FDF3A5-8129-4445-A424-7F974F88F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21</xdr:col>
      <xdr:colOff>973665</xdr:colOff>
      <xdr:row>55</xdr:row>
      <xdr:rowOff>57150</xdr:rowOff>
    </xdr:from>
    <xdr:to>
      <xdr:col>30</xdr:col>
      <xdr:colOff>126999</xdr:colOff>
      <xdr:row>71</xdr:row>
      <xdr:rowOff>84667</xdr:rowOff>
    </xdr:to>
    <xdr:graphicFrame macro="">
      <xdr:nvGraphicFramePr>
        <xdr:cNvPr id="2" name="Chart 1">
          <a:extLst>
            <a:ext uri="{FF2B5EF4-FFF2-40B4-BE49-F238E27FC236}">
              <a16:creationId xmlns:a16="http://schemas.microsoft.com/office/drawing/2014/main" id="{F258D61F-FB4C-4C25-AFF5-D892E9B88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ollins/Downloads/IP%20Permanent%20Rev%20for%20Quali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collins/Downloads/RRIP%20and%20MHAC%20COVID%20with%20correlation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collins/Downloads/RRIP%20and%20MHAC%20COVID%20Summary%2003-07-202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5">
          <cell r="A5">
            <v>210001</v>
          </cell>
          <cell r="C5" t="str">
            <v>Meritus Medical Center</v>
          </cell>
          <cell r="D5">
            <v>408040983</v>
          </cell>
          <cell r="E5">
            <v>23168439</v>
          </cell>
          <cell r="F5">
            <v>431209422</v>
          </cell>
          <cell r="H5">
            <v>0.57153547807428473</v>
          </cell>
          <cell r="I5">
            <v>233209898.29280609</v>
          </cell>
        </row>
        <row r="6">
          <cell r="A6">
            <v>210002</v>
          </cell>
          <cell r="C6" t="str">
            <v>University of Maryland Medical Center</v>
          </cell>
          <cell r="D6">
            <v>1715160308</v>
          </cell>
          <cell r="E6">
            <v>88102057</v>
          </cell>
          <cell r="F6">
            <v>1803262365</v>
          </cell>
          <cell r="H6">
            <v>0.68202220728079332</v>
          </cell>
          <cell r="I6">
            <v>1169777419.1025653</v>
          </cell>
        </row>
        <row r="7">
          <cell r="A7">
            <v>210003</v>
          </cell>
          <cell r="C7" t="str">
            <v>Prince Georges Hospital Center</v>
          </cell>
          <cell r="D7">
            <v>354986710</v>
          </cell>
          <cell r="E7">
            <v>24550080</v>
          </cell>
          <cell r="F7">
            <v>379536789</v>
          </cell>
          <cell r="H7">
            <v>0.76830217375006749</v>
          </cell>
          <cell r="I7">
            <v>272737060.9453848</v>
          </cell>
        </row>
        <row r="8">
          <cell r="A8">
            <v>210004</v>
          </cell>
          <cell r="C8" t="str">
            <v>Holy Cross Hospital</v>
          </cell>
          <cell r="D8">
            <v>554391813</v>
          </cell>
          <cell r="E8">
            <v>18376207</v>
          </cell>
          <cell r="F8">
            <v>572768020</v>
          </cell>
          <cell r="H8">
            <v>0.71281588756951941</v>
          </cell>
          <cell r="I8">
            <v>395179292.24487001</v>
          </cell>
        </row>
        <row r="9">
          <cell r="A9">
            <v>210005</v>
          </cell>
          <cell r="C9" t="str">
            <v>Frederick Health Hospital</v>
          </cell>
          <cell r="D9">
            <v>384974366</v>
          </cell>
          <cell r="E9">
            <v>17649473</v>
          </cell>
          <cell r="F9">
            <v>402623839</v>
          </cell>
          <cell r="H9">
            <v>0.63867974214288248</v>
          </cell>
          <cell r="I9">
            <v>245875328.80849966</v>
          </cell>
        </row>
        <row r="10">
          <cell r="A10">
            <v>210006</v>
          </cell>
          <cell r="C10" t="str">
            <v>Harford Memorial Hospital</v>
          </cell>
          <cell r="D10">
            <v>113590797</v>
          </cell>
          <cell r="E10">
            <v>8969538</v>
          </cell>
          <cell r="F10">
            <v>122560335</v>
          </cell>
          <cell r="H10">
            <v>0.59608524927471174</v>
          </cell>
          <cell r="I10">
            <v>67709798.545058176</v>
          </cell>
        </row>
        <row r="11">
          <cell r="A11">
            <v>210008</v>
          </cell>
          <cell r="C11" t="str">
            <v>Mercy Medical Center</v>
          </cell>
          <cell r="D11">
            <v>603977209</v>
          </cell>
          <cell r="E11">
            <v>25988567</v>
          </cell>
          <cell r="F11">
            <v>629965777</v>
          </cell>
          <cell r="H11">
            <v>0.38260642308529885</v>
          </cell>
          <cell r="I11">
            <v>231085559.56053197</v>
          </cell>
        </row>
        <row r="12">
          <cell r="A12">
            <v>210009</v>
          </cell>
          <cell r="C12" t="str">
            <v>Johns Hopkins Hospital</v>
          </cell>
          <cell r="D12">
            <v>2717444533</v>
          </cell>
          <cell r="E12">
            <v>114071985</v>
          </cell>
          <cell r="F12">
            <v>2831516518</v>
          </cell>
          <cell r="H12">
            <v>0.62166906436964076</v>
          </cell>
          <cell r="I12">
            <v>1689351200.3065054</v>
          </cell>
        </row>
        <row r="13">
          <cell r="A13">
            <v>210010</v>
          </cell>
          <cell r="C13" t="str">
            <v>University of Maryland Shore Medical Center at Dorchester</v>
          </cell>
          <cell r="D13">
            <v>20552438</v>
          </cell>
          <cell r="E13">
            <v>15592128</v>
          </cell>
          <cell r="F13">
            <v>36144566</v>
          </cell>
          <cell r="H13">
            <v>0.34238902752286016</v>
          </cell>
          <cell r="I13">
            <v>7036929.2600438772</v>
          </cell>
        </row>
        <row r="14">
          <cell r="A14">
            <v>210011</v>
          </cell>
          <cell r="C14" t="str">
            <v>St. Agnes Hospital</v>
          </cell>
          <cell r="D14">
            <v>459494795</v>
          </cell>
          <cell r="E14">
            <v>29328017</v>
          </cell>
          <cell r="F14">
            <v>488822812</v>
          </cell>
          <cell r="H14">
            <v>0.52894945120752079</v>
          </cell>
          <cell r="I14">
            <v>243049519.64796227</v>
          </cell>
        </row>
        <row r="15">
          <cell r="A15">
            <v>210012</v>
          </cell>
          <cell r="C15" t="str">
            <v>Sinai Hospital</v>
          </cell>
          <cell r="D15">
            <v>894563877</v>
          </cell>
          <cell r="E15">
            <v>47402818</v>
          </cell>
          <cell r="F15">
            <v>941966695</v>
          </cell>
          <cell r="H15">
            <v>0.55801177326177942</v>
          </cell>
          <cell r="I15">
            <v>499177175.30070233</v>
          </cell>
        </row>
        <row r="16">
          <cell r="A16">
            <v>210013</v>
          </cell>
          <cell r="C16" t="str">
            <v>Grace Medical Center</v>
          </cell>
          <cell r="D16">
            <v>34120258</v>
          </cell>
          <cell r="E16">
            <v>1410663</v>
          </cell>
          <cell r="F16">
            <v>35530921</v>
          </cell>
          <cell r="H16">
            <v>0.13970408909558224</v>
          </cell>
          <cell r="I16">
            <v>4766739.5635962524</v>
          </cell>
        </row>
        <row r="17">
          <cell r="A17">
            <v>210015</v>
          </cell>
          <cell r="C17" t="str">
            <v>MedStar Franklin Square Hospital Center</v>
          </cell>
          <cell r="D17">
            <v>597912390</v>
          </cell>
          <cell r="E17">
            <v>9183966</v>
          </cell>
          <cell r="F17">
            <v>607096356</v>
          </cell>
          <cell r="H17">
            <v>0.54430163643389551</v>
          </cell>
          <cell r="I17">
            <v>325444692.32110155</v>
          </cell>
        </row>
        <row r="18">
          <cell r="A18">
            <v>210016</v>
          </cell>
          <cell r="C18" t="str">
            <v>Adventist White Oak</v>
          </cell>
          <cell r="D18">
            <v>318853011</v>
          </cell>
          <cell r="E18">
            <v>3048535</v>
          </cell>
          <cell r="F18">
            <v>321901546</v>
          </cell>
          <cell r="H18">
            <v>0.64623594480571211</v>
          </cell>
          <cell r="I18">
            <v>206054276.81773111</v>
          </cell>
        </row>
        <row r="19">
          <cell r="A19">
            <v>210017</v>
          </cell>
          <cell r="C19" t="str">
            <v>Garrett County Memorial Hospital</v>
          </cell>
          <cell r="D19">
            <v>68988067</v>
          </cell>
          <cell r="E19">
            <v>3900109</v>
          </cell>
          <cell r="F19">
            <v>72888176</v>
          </cell>
          <cell r="H19">
            <v>0.32540036033381925</v>
          </cell>
          <cell r="I19">
            <v>22448741.860533666</v>
          </cell>
        </row>
        <row r="20">
          <cell r="A20">
            <v>210018</v>
          </cell>
          <cell r="C20" t="str">
            <v>MedStar Montgomery Medical Center</v>
          </cell>
          <cell r="D20">
            <v>189348199</v>
          </cell>
          <cell r="E20">
            <v>3092819</v>
          </cell>
          <cell r="F20">
            <v>192441019</v>
          </cell>
          <cell r="H20">
            <v>0.45900148303988525</v>
          </cell>
          <cell r="I20">
            <v>86911104.151931316</v>
          </cell>
        </row>
        <row r="21">
          <cell r="A21">
            <v>210019</v>
          </cell>
          <cell r="C21" t="str">
            <v>Peninsula Regional Medical Center &amp; McCready Health Pavillion</v>
          </cell>
          <cell r="D21">
            <v>504971001</v>
          </cell>
          <cell r="E21">
            <v>19532582</v>
          </cell>
          <cell r="F21">
            <v>518244150</v>
          </cell>
          <cell r="H21">
            <v>0.54114373230109825</v>
          </cell>
          <cell r="I21">
            <v>273261892.18496162</v>
          </cell>
        </row>
        <row r="22">
          <cell r="A22">
            <v>210022</v>
          </cell>
          <cell r="C22" t="str">
            <v>Suburban Hospital</v>
          </cell>
          <cell r="D22">
            <v>376407382</v>
          </cell>
          <cell r="E22">
            <v>16153566</v>
          </cell>
          <cell r="F22">
            <v>392560948</v>
          </cell>
          <cell r="H22">
            <v>0.6224358916226943</v>
          </cell>
          <cell r="I22">
            <v>234289464.42853409</v>
          </cell>
        </row>
        <row r="23">
          <cell r="A23">
            <v>210023</v>
          </cell>
          <cell r="C23" t="str">
            <v>Anne Arundel Medical Center</v>
          </cell>
          <cell r="D23">
            <v>701198605</v>
          </cell>
          <cell r="E23">
            <v>23467601</v>
          </cell>
          <cell r="F23">
            <v>724666206</v>
          </cell>
          <cell r="H23">
            <v>0.5395327999823839</v>
          </cell>
          <cell r="I23">
            <v>378319646.6993916</v>
          </cell>
        </row>
        <row r="24">
          <cell r="A24">
            <v>210024</v>
          </cell>
          <cell r="C24" t="str">
            <v>MedStar Union Memorial Hospital</v>
          </cell>
          <cell r="D24">
            <v>446944375</v>
          </cell>
          <cell r="E24">
            <v>-5866801</v>
          </cell>
          <cell r="F24">
            <v>441077574</v>
          </cell>
          <cell r="H24">
            <v>0.61358925797452724</v>
          </cell>
          <cell r="I24">
            <v>274240267.41213882</v>
          </cell>
        </row>
        <row r="25">
          <cell r="A25">
            <v>210027</v>
          </cell>
          <cell r="C25" t="str">
            <v>Western Maryland Regional Medical Center</v>
          </cell>
          <cell r="D25">
            <v>354950669</v>
          </cell>
          <cell r="E25">
            <v>8317961</v>
          </cell>
          <cell r="F25">
            <v>363268629</v>
          </cell>
          <cell r="H25">
            <v>0.50084795627797263</v>
          </cell>
          <cell r="I25">
            <v>177776317.14814913</v>
          </cell>
        </row>
        <row r="26">
          <cell r="A26">
            <v>210028</v>
          </cell>
          <cell r="C26" t="str">
            <v>MedStar St. Mary's Hospital</v>
          </cell>
          <cell r="D26">
            <v>202610130</v>
          </cell>
          <cell r="E26">
            <v>1510995</v>
          </cell>
          <cell r="F26">
            <v>204121125</v>
          </cell>
          <cell r="H26">
            <v>0.45225677639239786</v>
          </cell>
          <cell r="I26">
            <v>91631804.258244663</v>
          </cell>
        </row>
        <row r="27">
          <cell r="A27">
            <v>210029</v>
          </cell>
          <cell r="C27" t="str">
            <v>Johns Hopkins Bayview Medical Center</v>
          </cell>
          <cell r="D27">
            <v>744172969</v>
          </cell>
          <cell r="E27">
            <v>32393843</v>
          </cell>
          <cell r="F27">
            <v>776566812</v>
          </cell>
          <cell r="H27">
            <v>0.59976603669617323</v>
          </cell>
          <cell r="I27">
            <v>446329672.23355418</v>
          </cell>
        </row>
        <row r="28">
          <cell r="A28">
            <v>210030</v>
          </cell>
          <cell r="C28" t="str">
            <v>University of Maryland Shore Medical Center at Chestertown</v>
          </cell>
          <cell r="D28">
            <v>55337815</v>
          </cell>
          <cell r="E28">
            <v>10862174</v>
          </cell>
          <cell r="F28">
            <v>66199989</v>
          </cell>
          <cell r="H28">
            <v>0.23130181455888271</v>
          </cell>
          <cell r="I28">
            <v>12799737.023223758</v>
          </cell>
        </row>
        <row r="29">
          <cell r="A29">
            <v>210032</v>
          </cell>
          <cell r="C29" t="str">
            <v>Union Hospital of Cecil County</v>
          </cell>
          <cell r="D29">
            <v>176160106</v>
          </cell>
          <cell r="E29">
            <v>4619215</v>
          </cell>
          <cell r="F29">
            <v>180779321</v>
          </cell>
          <cell r="H29">
            <v>0.42499869918502697</v>
          </cell>
          <cell r="I29">
            <v>74867815.898296461</v>
          </cell>
        </row>
        <row r="30">
          <cell r="A30">
            <v>210033</v>
          </cell>
          <cell r="C30" t="str">
            <v>Carroll Hospital Center</v>
          </cell>
          <cell r="D30">
            <v>248685944</v>
          </cell>
          <cell r="E30">
            <v>10419090</v>
          </cell>
          <cell r="F30">
            <v>259105034</v>
          </cell>
          <cell r="H30">
            <v>0.589414632571297</v>
          </cell>
          <cell r="I30">
            <v>146579134.30840614</v>
          </cell>
        </row>
        <row r="31">
          <cell r="A31">
            <v>210034</v>
          </cell>
          <cell r="C31" t="str">
            <v>MedStar Harbor Hospital Center</v>
          </cell>
          <cell r="D31">
            <v>200463123</v>
          </cell>
          <cell r="E31">
            <v>1440514</v>
          </cell>
          <cell r="F31">
            <v>201903636</v>
          </cell>
          <cell r="H31">
            <v>0.65079679509299093</v>
          </cell>
          <cell r="I31">
            <v>130460757.98273204</v>
          </cell>
        </row>
        <row r="32">
          <cell r="A32">
            <v>210035</v>
          </cell>
          <cell r="C32" t="str">
            <v>University of Maryland Charles Regional Medical Center</v>
          </cell>
          <cell r="D32">
            <v>168323964</v>
          </cell>
          <cell r="E32">
            <v>7509778</v>
          </cell>
          <cell r="F32">
            <v>175833741</v>
          </cell>
          <cell r="H32">
            <v>0.56545371001153466</v>
          </cell>
          <cell r="I32">
            <v>95179409.927647993</v>
          </cell>
        </row>
        <row r="33">
          <cell r="A33">
            <v>210037</v>
          </cell>
          <cell r="C33" t="str">
            <v>University of Maryland Shore Medical Center at Easton</v>
          </cell>
          <cell r="D33">
            <v>260094921</v>
          </cell>
          <cell r="E33">
            <v>3704641</v>
          </cell>
          <cell r="F33">
            <v>263799562</v>
          </cell>
          <cell r="H33">
            <v>0.45081862039228088</v>
          </cell>
          <cell r="I33">
            <v>117255633.45625928</v>
          </cell>
        </row>
        <row r="34">
          <cell r="A34">
            <v>210038</v>
          </cell>
          <cell r="C34" t="str">
            <v>University of Maryland Medical Center Midtown Campus</v>
          </cell>
          <cell r="D34">
            <v>234179316</v>
          </cell>
          <cell r="E34">
            <v>11020701</v>
          </cell>
          <cell r="F34">
            <v>245200017</v>
          </cell>
          <cell r="H34">
            <v>0.54998546212939636</v>
          </cell>
          <cell r="I34">
            <v>128795219.33140594</v>
          </cell>
        </row>
        <row r="35">
          <cell r="A35">
            <v>210039</v>
          </cell>
          <cell r="C35" t="str">
            <v>Calvert Memorial Hospital</v>
          </cell>
          <cell r="D35">
            <v>165738142</v>
          </cell>
          <cell r="E35">
            <v>4731239</v>
          </cell>
          <cell r="F35">
            <v>170469381</v>
          </cell>
          <cell r="H35">
            <v>0.4950600509467899</v>
          </cell>
          <cell r="I35">
            <v>82050333.022346303</v>
          </cell>
        </row>
        <row r="36">
          <cell r="A36">
            <v>210040</v>
          </cell>
          <cell r="C36" t="str">
            <v>Northwest Hospital Center</v>
          </cell>
          <cell r="D36">
            <v>284949237</v>
          </cell>
          <cell r="E36">
            <v>17667944</v>
          </cell>
          <cell r="F36">
            <v>302617181</v>
          </cell>
          <cell r="H36">
            <v>0.5305319333093973</v>
          </cell>
          <cell r="I36">
            <v>151174669.60064766</v>
          </cell>
        </row>
        <row r="37">
          <cell r="A37">
            <v>210043</v>
          </cell>
          <cell r="C37" t="str">
            <v>University of Maryland Baltimore Washington Medical Center</v>
          </cell>
          <cell r="D37">
            <v>480853220</v>
          </cell>
          <cell r="E37">
            <v>33521943</v>
          </cell>
          <cell r="F37">
            <v>514375163</v>
          </cell>
          <cell r="H37">
            <v>0.64599607247729784</v>
          </cell>
          <cell r="I37">
            <v>310629291.55806202</v>
          </cell>
        </row>
        <row r="38">
          <cell r="A38">
            <v>210044</v>
          </cell>
          <cell r="C38" t="str">
            <v>Greater Baltimore Medical Center</v>
          </cell>
          <cell r="D38">
            <v>478640529</v>
          </cell>
          <cell r="E38">
            <v>21487775</v>
          </cell>
          <cell r="F38">
            <v>500128304</v>
          </cell>
          <cell r="H38">
            <v>0.48975752896058489</v>
          </cell>
          <cell r="I38">
            <v>234417802.74342716</v>
          </cell>
        </row>
        <row r="39">
          <cell r="A39">
            <v>210045</v>
          </cell>
          <cell r="C39" t="str">
            <v>McCready Health Pavillion</v>
          </cell>
          <cell r="D39" t="str">
            <v xml:space="preserve"> $                                   -  </v>
          </cell>
          <cell r="E39" t="str">
            <v xml:space="preserve"> $                                 -  </v>
          </cell>
          <cell r="F39">
            <v>6259434</v>
          </cell>
          <cell r="H39">
            <v>0</v>
          </cell>
          <cell r="I39">
            <v>0</v>
          </cell>
        </row>
        <row r="40">
          <cell r="A40">
            <v>210048</v>
          </cell>
          <cell r="C40" t="str">
            <v>Howard County General Hospital</v>
          </cell>
          <cell r="D40">
            <v>331698210</v>
          </cell>
          <cell r="E40">
            <v>14544214</v>
          </cell>
          <cell r="F40">
            <v>346242423</v>
          </cell>
          <cell r="H40">
            <v>0.63735353775174697</v>
          </cell>
          <cell r="I40">
            <v>211409027.60942188</v>
          </cell>
        </row>
        <row r="41">
          <cell r="A41">
            <v>210049</v>
          </cell>
          <cell r="C41" t="str">
            <v>Upper Chesapeake Medical Center</v>
          </cell>
          <cell r="D41">
            <v>346230480</v>
          </cell>
          <cell r="E41">
            <v>17931978</v>
          </cell>
          <cell r="F41">
            <v>364162458</v>
          </cell>
          <cell r="H41">
            <v>0.54795636012896354</v>
          </cell>
          <cell r="I41">
            <v>189719193.58650389</v>
          </cell>
        </row>
        <row r="42">
          <cell r="A42">
            <v>210051</v>
          </cell>
          <cell r="C42" t="str">
            <v>Doctors Community Hospital</v>
          </cell>
          <cell r="D42">
            <v>279749926</v>
          </cell>
          <cell r="E42">
            <v>20011418</v>
          </cell>
          <cell r="F42">
            <v>299761344</v>
          </cell>
          <cell r="H42">
            <v>0.6468710842952704</v>
          </cell>
          <cell r="I42">
            <v>180962137.96314165</v>
          </cell>
        </row>
        <row r="43">
          <cell r="A43">
            <v>210055</v>
          </cell>
          <cell r="C43" t="str">
            <v>University of Maryland Laurel Medical Center</v>
          </cell>
          <cell r="D43">
            <v>37881748</v>
          </cell>
          <cell r="E43">
            <v>6028468</v>
          </cell>
          <cell r="F43">
            <v>43910216</v>
          </cell>
          <cell r="H43">
            <v>0</v>
          </cell>
          <cell r="I43">
            <v>0</v>
          </cell>
        </row>
        <row r="44">
          <cell r="A44">
            <v>210056</v>
          </cell>
          <cell r="C44" t="str">
            <v>MedStar Good Samaritan Hospital</v>
          </cell>
          <cell r="D44">
            <v>287537219</v>
          </cell>
          <cell r="E44">
            <v>1995699</v>
          </cell>
          <cell r="F44">
            <v>289532918</v>
          </cell>
          <cell r="H44">
            <v>0.64652863744681877</v>
          </cell>
          <cell r="I44">
            <v>185901046.41531754</v>
          </cell>
        </row>
        <row r="45">
          <cell r="A45">
            <v>210057</v>
          </cell>
          <cell r="C45" t="str">
            <v>Shady Grove Adventist Hospital</v>
          </cell>
          <cell r="D45">
            <v>489637948</v>
          </cell>
          <cell r="E45">
            <v>12504074</v>
          </cell>
          <cell r="F45">
            <v>502142023</v>
          </cell>
          <cell r="H45">
            <v>0.64832884720816331</v>
          </cell>
          <cell r="I45">
            <v>317446406.37621063</v>
          </cell>
        </row>
        <row r="46">
          <cell r="A46">
            <v>210058</v>
          </cell>
          <cell r="C46" t="str">
            <v>University of Maryland Rehabilitation &amp; Orthopaedic Institute</v>
          </cell>
          <cell r="D46">
            <v>134317151</v>
          </cell>
          <cell r="E46">
            <v>8085262</v>
          </cell>
          <cell r="F46">
            <v>142402413</v>
          </cell>
          <cell r="H46">
            <v>0.56987786126354634</v>
          </cell>
          <cell r="I46">
            <v>76544370.742892802</v>
          </cell>
        </row>
        <row r="47">
          <cell r="A47">
            <v>210060</v>
          </cell>
          <cell r="C47" t="str">
            <v>Fort Washington Medical Center</v>
          </cell>
          <cell r="D47">
            <v>60792691</v>
          </cell>
          <cell r="E47">
            <v>-2349031</v>
          </cell>
          <cell r="F47">
            <v>58443661</v>
          </cell>
          <cell r="H47">
            <v>0.48793678486901987</v>
          </cell>
          <cell r="I47">
            <v>29662990.1900758</v>
          </cell>
        </row>
        <row r="48">
          <cell r="A48">
            <v>210061</v>
          </cell>
          <cell r="C48" t="str">
            <v>Atlantic General Hospital</v>
          </cell>
          <cell r="D48">
            <v>119287172</v>
          </cell>
          <cell r="E48">
            <v>6069163</v>
          </cell>
          <cell r="F48">
            <v>125356335</v>
          </cell>
          <cell r="H48">
            <v>0.3726255570599567</v>
          </cell>
          <cell r="I48">
            <v>44449448.916606866</v>
          </cell>
        </row>
        <row r="49">
          <cell r="A49">
            <v>210062</v>
          </cell>
          <cell r="C49" t="str">
            <v>MedStar Southern Maryland Hospital Center</v>
          </cell>
          <cell r="D49">
            <v>295135451</v>
          </cell>
          <cell r="E49">
            <v>3892820</v>
          </cell>
          <cell r="F49">
            <v>299028271</v>
          </cell>
          <cell r="H49">
            <v>0.64069205500184767</v>
          </cell>
          <cell r="I49">
            <v>189090938.60508713</v>
          </cell>
        </row>
        <row r="50">
          <cell r="A50">
            <v>210063</v>
          </cell>
          <cell r="C50" t="str">
            <v>University of Maryland St. Joseph Medical Center</v>
          </cell>
          <cell r="D50">
            <v>412138604</v>
          </cell>
          <cell r="E50">
            <v>22050872</v>
          </cell>
          <cell r="F50">
            <v>434189476</v>
          </cell>
          <cell r="H50">
            <v>0.65018137898839679</v>
          </cell>
          <cell r="I50">
            <v>267964845.88307279</v>
          </cell>
        </row>
        <row r="51">
          <cell r="A51">
            <v>87</v>
          </cell>
          <cell r="C51" t="str">
            <v>Germantown Emergency Center</v>
          </cell>
          <cell r="D51">
            <v>16531641</v>
          </cell>
          <cell r="E51">
            <v>1876783</v>
          </cell>
          <cell r="F51">
            <v>18408424</v>
          </cell>
          <cell r="H51">
            <v>0</v>
          </cell>
          <cell r="I51">
            <v>0</v>
          </cell>
        </row>
        <row r="52">
          <cell r="A52">
            <v>88</v>
          </cell>
          <cell r="C52" t="str">
            <v>University of Maryland Queen Anne's Freestanding Emergency Center</v>
          </cell>
          <cell r="D52">
            <v>8339887</v>
          </cell>
          <cell r="E52">
            <v>-239131</v>
          </cell>
          <cell r="F52">
            <v>8100755</v>
          </cell>
          <cell r="H52">
            <v>0</v>
          </cell>
          <cell r="I52">
            <v>0</v>
          </cell>
        </row>
        <row r="53">
          <cell r="A53">
            <v>333</v>
          </cell>
          <cell r="C53" t="str">
            <v>Bowie Emergency Center</v>
          </cell>
          <cell r="D53">
            <v>22553148</v>
          </cell>
          <cell r="E53">
            <v>2727386</v>
          </cell>
          <cell r="F53">
            <v>25280533</v>
          </cell>
          <cell r="H53">
            <v>0</v>
          </cell>
          <cell r="I53">
            <v>0</v>
          </cell>
        </row>
        <row r="54">
          <cell r="A54">
            <v>210064</v>
          </cell>
          <cell r="C54" t="str">
            <v>Levindale</v>
          </cell>
          <cell r="D54">
            <v>66052018</v>
          </cell>
          <cell r="E54">
            <v>9151675</v>
          </cell>
          <cell r="F54">
            <v>75203693</v>
          </cell>
          <cell r="H54">
            <v>0.96352671911428656</v>
          </cell>
          <cell r="I54">
            <v>63642884.194417797</v>
          </cell>
        </row>
        <row r="55">
          <cell r="A55">
            <v>8992</v>
          </cell>
          <cell r="C55" t="str">
            <v>University of Maryland - MIEMSS</v>
          </cell>
          <cell r="D55">
            <v>244240373</v>
          </cell>
          <cell r="E55">
            <v>10531632</v>
          </cell>
          <cell r="F55">
            <v>254772005</v>
          </cell>
          <cell r="H55">
            <v>0.89835520540713221</v>
          </cell>
          <cell r="I55">
            <v>219414610.45512959</v>
          </cell>
        </row>
        <row r="56">
          <cell r="A56">
            <v>210065</v>
          </cell>
          <cell r="C56" t="str">
            <v>Holy Cross Hospital - Germantown</v>
          </cell>
          <cell r="D56">
            <v>124779166</v>
          </cell>
          <cell r="E56">
            <v>13048227</v>
          </cell>
          <cell r="F56">
            <v>137827393</v>
          </cell>
          <cell r="H56">
            <v>0.59936509781681391</v>
          </cell>
          <cell r="I56">
            <v>74788277.035090461</v>
          </cell>
        </row>
        <row r="58">
          <cell r="C58" t="str">
            <v>Statewide</v>
          </cell>
          <cell r="D58">
            <v>18797984034</v>
          </cell>
          <cell r="E58">
            <v>804191669</v>
          </cell>
          <cell r="F58">
            <v>19602175703</v>
          </cell>
          <cell r="I58">
            <v>11110869783.920225</v>
          </cell>
        </row>
        <row r="59">
          <cell r="D59" t="str">
            <v xml:space="preserve">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HAC regression output PC"/>
      <sheetName val="MHAC correl results (PC)"/>
      <sheetName val="MHAC correl results"/>
      <sheetName val="MHAC correl results (2)"/>
      <sheetName val="MHAC correl results (3)"/>
      <sheetName val="MHAC correl graphs"/>
      <sheetName val="RRIP correl results  (PC)"/>
      <sheetName val="RRIP correl results "/>
      <sheetName val="RRIP regression output"/>
      <sheetName val="RRIP correl graphs"/>
      <sheetName val="MHAC Scaling Hosp Rev (2)"/>
      <sheetName val="FY21 norms (2)"/>
      <sheetName val="RRIP (Robert)---&gt;"/>
      <sheetName val="FY21 norms"/>
      <sheetName val="CY 2018"/>
      <sheetName val="MD Monitoring"/>
      <sheetName val="RRIP Model Compare"/>
      <sheetName val="Model 1 OOS"/>
      <sheetName val="model 2 OOS"/>
      <sheetName val="RRIP Scaling Hosp Rev"/>
      <sheetName val="RY 21 RRIP Modeling Results"/>
      <sheetName val="RRIP Scaling average rev"/>
      <sheetName val="m2 rev summary (2)"/>
      <sheetName val="MHAC (MPR)----&gt;"/>
      <sheetName val="Model 1 Hospital Scores"/>
      <sheetName val="Model 2 Hospital Scores"/>
      <sheetName val="Model 3 Hospital Scores"/>
      <sheetName val="MHAC Score summary"/>
      <sheetName val="MHAC Scaling Hosp Rev"/>
      <sheetName val="MHAC Scaling Average Rev"/>
      <sheetName val="MHAC Scaling hosp median"/>
      <sheetName val="MHAC Scaling M2 CMS"/>
      <sheetName val="m2 rev summary"/>
      <sheetName val="RRIP and MHAC Summary Revenue"/>
      <sheetName val="model 2 OOS 201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A4">
            <v>210001</v>
          </cell>
          <cell r="B4">
            <v>51</v>
          </cell>
          <cell r="C4">
            <v>718.48</v>
          </cell>
          <cell r="D4">
            <v>1192.96</v>
          </cell>
          <cell r="E4">
            <v>0.6</v>
          </cell>
        </row>
        <row r="5">
          <cell r="A5">
            <v>210002</v>
          </cell>
          <cell r="B5">
            <v>56</v>
          </cell>
          <cell r="C5">
            <v>799.66</v>
          </cell>
          <cell r="D5">
            <v>1300.75</v>
          </cell>
          <cell r="E5">
            <v>0.61</v>
          </cell>
        </row>
        <row r="6">
          <cell r="A6">
            <v>210003</v>
          </cell>
          <cell r="B6">
            <v>47</v>
          </cell>
          <cell r="C6">
            <v>508.35</v>
          </cell>
          <cell r="D6">
            <v>1069.8599999999999</v>
          </cell>
          <cell r="E6">
            <v>0.48</v>
          </cell>
        </row>
        <row r="7">
          <cell r="A7">
            <v>210004</v>
          </cell>
          <cell r="B7">
            <v>53</v>
          </cell>
          <cell r="C7">
            <v>1005.13</v>
          </cell>
          <cell r="D7">
            <v>1300.75</v>
          </cell>
          <cell r="E7">
            <v>0.77</v>
          </cell>
        </row>
        <row r="8">
          <cell r="A8">
            <v>210005</v>
          </cell>
          <cell r="B8">
            <v>51</v>
          </cell>
          <cell r="C8">
            <v>748.7</v>
          </cell>
          <cell r="D8">
            <v>1192.96</v>
          </cell>
          <cell r="E8">
            <v>0.63</v>
          </cell>
        </row>
        <row r="9">
          <cell r="A9">
            <v>210006</v>
          </cell>
          <cell r="B9">
            <v>31</v>
          </cell>
          <cell r="C9">
            <v>274.49</v>
          </cell>
          <cell r="D9">
            <v>658.69</v>
          </cell>
          <cell r="E9">
            <v>0.42</v>
          </cell>
        </row>
        <row r="10">
          <cell r="A10">
            <v>210008</v>
          </cell>
          <cell r="B10">
            <v>50</v>
          </cell>
          <cell r="C10">
            <v>708.67</v>
          </cell>
          <cell r="D10">
            <v>1300.75</v>
          </cell>
          <cell r="E10">
            <v>0.54</v>
          </cell>
        </row>
        <row r="11">
          <cell r="A11">
            <v>210009</v>
          </cell>
          <cell r="B11">
            <v>55</v>
          </cell>
          <cell r="C11">
            <v>458.16</v>
          </cell>
          <cell r="D11">
            <v>1300.75</v>
          </cell>
          <cell r="E11">
            <v>0.35</v>
          </cell>
        </row>
        <row r="12">
          <cell r="A12">
            <v>210011</v>
          </cell>
          <cell r="B12">
            <v>52</v>
          </cell>
          <cell r="C12">
            <v>800.51</v>
          </cell>
          <cell r="D12">
            <v>1192.96</v>
          </cell>
          <cell r="E12">
            <v>0.67</v>
          </cell>
        </row>
        <row r="13">
          <cell r="A13">
            <v>210012</v>
          </cell>
          <cell r="B13">
            <v>52</v>
          </cell>
          <cell r="C13">
            <v>659.7</v>
          </cell>
          <cell r="D13">
            <v>1192.96</v>
          </cell>
          <cell r="E13">
            <v>0.55000000000000004</v>
          </cell>
        </row>
        <row r="14">
          <cell r="A14">
            <v>210015</v>
          </cell>
          <cell r="B14">
            <v>52</v>
          </cell>
          <cell r="C14">
            <v>916.53</v>
          </cell>
          <cell r="D14">
            <v>1192.96</v>
          </cell>
          <cell r="E14">
            <v>0.77</v>
          </cell>
        </row>
        <row r="15">
          <cell r="A15">
            <v>210016</v>
          </cell>
          <cell r="B15">
            <v>48</v>
          </cell>
          <cell r="C15">
            <v>732.69</v>
          </cell>
          <cell r="D15">
            <v>1192.96</v>
          </cell>
          <cell r="E15">
            <v>0.61</v>
          </cell>
        </row>
        <row r="16">
          <cell r="A16">
            <v>210017</v>
          </cell>
          <cell r="B16">
            <v>15</v>
          </cell>
          <cell r="C16">
            <v>562.34</v>
          </cell>
          <cell r="D16">
            <v>562.34</v>
          </cell>
          <cell r="E16">
            <v>1</v>
          </cell>
        </row>
        <row r="17">
          <cell r="A17">
            <v>210018</v>
          </cell>
          <cell r="B17">
            <v>38</v>
          </cell>
          <cell r="C17">
            <v>512.75</v>
          </cell>
          <cell r="D17">
            <v>832.31</v>
          </cell>
          <cell r="E17">
            <v>0.62</v>
          </cell>
        </row>
        <row r="18">
          <cell r="A18">
            <v>210019</v>
          </cell>
          <cell r="B18">
            <v>52</v>
          </cell>
          <cell r="C18">
            <v>1033.68</v>
          </cell>
          <cell r="D18">
            <v>1192.96</v>
          </cell>
          <cell r="E18">
            <v>0.87</v>
          </cell>
        </row>
        <row r="19">
          <cell r="A19">
            <v>210022</v>
          </cell>
          <cell r="B19">
            <v>49</v>
          </cell>
          <cell r="C19">
            <v>709.05</v>
          </cell>
          <cell r="D19">
            <v>1172.55</v>
          </cell>
          <cell r="E19">
            <v>0.6</v>
          </cell>
        </row>
        <row r="20">
          <cell r="A20">
            <v>210023</v>
          </cell>
          <cell r="B20">
            <v>53</v>
          </cell>
          <cell r="C20">
            <v>835.15</v>
          </cell>
          <cell r="D20">
            <v>1300.75</v>
          </cell>
          <cell r="E20">
            <v>0.64</v>
          </cell>
        </row>
        <row r="21">
          <cell r="A21">
            <v>210024</v>
          </cell>
          <cell r="B21">
            <v>49</v>
          </cell>
          <cell r="C21">
            <v>907.76</v>
          </cell>
          <cell r="D21">
            <v>1172.55</v>
          </cell>
          <cell r="E21">
            <v>0.77</v>
          </cell>
        </row>
        <row r="22">
          <cell r="A22">
            <v>210027</v>
          </cell>
          <cell r="B22">
            <v>48</v>
          </cell>
          <cell r="C22">
            <v>504.97</v>
          </cell>
          <cell r="D22">
            <v>1172.55</v>
          </cell>
          <cell r="E22">
            <v>0.43</v>
          </cell>
        </row>
        <row r="23">
          <cell r="A23">
            <v>210028</v>
          </cell>
          <cell r="B23">
            <v>39</v>
          </cell>
          <cell r="C23">
            <v>715.73</v>
          </cell>
          <cell r="D23">
            <v>982.42</v>
          </cell>
          <cell r="E23">
            <v>0.73</v>
          </cell>
        </row>
        <row r="24">
          <cell r="A24">
            <v>210029</v>
          </cell>
          <cell r="B24">
            <v>52</v>
          </cell>
          <cell r="C24">
            <v>675.16</v>
          </cell>
          <cell r="D24">
            <v>1192.96</v>
          </cell>
          <cell r="E24">
            <v>0.56999999999999995</v>
          </cell>
        </row>
        <row r="25">
          <cell r="A25">
            <v>210030</v>
          </cell>
          <cell r="B25">
            <v>8</v>
          </cell>
          <cell r="C25">
            <v>151.85</v>
          </cell>
          <cell r="D25">
            <v>151.85</v>
          </cell>
          <cell r="E25">
            <v>1</v>
          </cell>
        </row>
        <row r="26">
          <cell r="A26">
            <v>210032</v>
          </cell>
          <cell r="B26">
            <v>35</v>
          </cell>
          <cell r="C26">
            <v>827.8</v>
          </cell>
          <cell r="D26">
            <v>982.42</v>
          </cell>
          <cell r="E26">
            <v>0.84</v>
          </cell>
        </row>
        <row r="27">
          <cell r="A27">
            <v>210033</v>
          </cell>
          <cell r="B27">
            <v>46</v>
          </cell>
          <cell r="C27">
            <v>869.73</v>
          </cell>
          <cell r="D27">
            <v>1069.8599999999999</v>
          </cell>
          <cell r="E27">
            <v>0.81</v>
          </cell>
        </row>
        <row r="28">
          <cell r="A28">
            <v>210034</v>
          </cell>
          <cell r="B28">
            <v>41</v>
          </cell>
          <cell r="C28">
            <v>499.43</v>
          </cell>
          <cell r="D28">
            <v>914.99</v>
          </cell>
          <cell r="E28">
            <v>0.55000000000000004</v>
          </cell>
        </row>
        <row r="29">
          <cell r="A29">
            <v>210035</v>
          </cell>
          <cell r="B29">
            <v>39</v>
          </cell>
          <cell r="C29">
            <v>718.63</v>
          </cell>
          <cell r="D29">
            <v>1031.4000000000001</v>
          </cell>
          <cell r="E29">
            <v>0.7</v>
          </cell>
        </row>
        <row r="30">
          <cell r="A30">
            <v>210037</v>
          </cell>
          <cell r="B30">
            <v>40</v>
          </cell>
          <cell r="C30">
            <v>819.68</v>
          </cell>
          <cell r="D30">
            <v>1031.4000000000001</v>
          </cell>
          <cell r="E30">
            <v>0.79</v>
          </cell>
        </row>
        <row r="31">
          <cell r="A31">
            <v>210038</v>
          </cell>
          <cell r="B31">
            <v>35</v>
          </cell>
          <cell r="C31">
            <v>456.56</v>
          </cell>
          <cell r="D31">
            <v>783.33</v>
          </cell>
          <cell r="E31">
            <v>0.57999999999999996</v>
          </cell>
        </row>
        <row r="32">
          <cell r="A32">
            <v>210039</v>
          </cell>
          <cell r="B32">
            <v>36</v>
          </cell>
          <cell r="C32">
            <v>374.6</v>
          </cell>
          <cell r="D32">
            <v>832.31</v>
          </cell>
          <cell r="E32">
            <v>0.45</v>
          </cell>
        </row>
        <row r="33">
          <cell r="A33">
            <v>210040</v>
          </cell>
          <cell r="B33">
            <v>42</v>
          </cell>
          <cell r="C33">
            <v>865.53</v>
          </cell>
          <cell r="D33">
            <v>1069.8599999999999</v>
          </cell>
          <cell r="E33">
            <v>0.81</v>
          </cell>
        </row>
        <row r="34">
          <cell r="A34">
            <v>210043</v>
          </cell>
          <cell r="B34">
            <v>51</v>
          </cell>
          <cell r="C34">
            <v>942.15</v>
          </cell>
          <cell r="D34">
            <v>1172.55</v>
          </cell>
          <cell r="E34">
            <v>0.8</v>
          </cell>
        </row>
        <row r="35">
          <cell r="A35">
            <v>210044</v>
          </cell>
          <cell r="B35">
            <v>52</v>
          </cell>
          <cell r="C35">
            <v>727.25</v>
          </cell>
          <cell r="D35">
            <v>1300.75</v>
          </cell>
          <cell r="E35">
            <v>0.56000000000000005</v>
          </cell>
        </row>
        <row r="36">
          <cell r="A36">
            <v>210048</v>
          </cell>
          <cell r="B36">
            <v>50</v>
          </cell>
          <cell r="C36">
            <v>674.08</v>
          </cell>
          <cell r="D36">
            <v>1300.75</v>
          </cell>
          <cell r="E36">
            <v>0.52</v>
          </cell>
        </row>
        <row r="37">
          <cell r="A37">
            <v>210049</v>
          </cell>
          <cell r="B37">
            <v>49</v>
          </cell>
          <cell r="C37">
            <v>634.1</v>
          </cell>
          <cell r="D37">
            <v>1172.55</v>
          </cell>
          <cell r="E37">
            <v>0.54</v>
          </cell>
        </row>
        <row r="38">
          <cell r="A38">
            <v>210051</v>
          </cell>
          <cell r="B38">
            <v>47</v>
          </cell>
          <cell r="C38">
            <v>940.68</v>
          </cell>
          <cell r="D38">
            <v>1172.55</v>
          </cell>
          <cell r="E38">
            <v>0.8</v>
          </cell>
        </row>
        <row r="39">
          <cell r="A39">
            <v>210056</v>
          </cell>
          <cell r="B39">
            <v>45</v>
          </cell>
          <cell r="C39">
            <v>856.7</v>
          </cell>
          <cell r="D39">
            <v>1069.8599999999999</v>
          </cell>
          <cell r="E39">
            <v>0.8</v>
          </cell>
        </row>
        <row r="40">
          <cell r="A40">
            <v>210057</v>
          </cell>
          <cell r="B40">
            <v>52</v>
          </cell>
          <cell r="C40">
            <v>836.21</v>
          </cell>
          <cell r="D40">
            <v>1300.75</v>
          </cell>
          <cell r="E40">
            <v>0.64</v>
          </cell>
        </row>
        <row r="41">
          <cell r="A41">
            <v>210058</v>
          </cell>
          <cell r="B41">
            <v>25</v>
          </cell>
          <cell r="C41">
            <v>532.11</v>
          </cell>
          <cell r="D41">
            <v>544.57000000000005</v>
          </cell>
          <cell r="E41">
            <v>0.98</v>
          </cell>
        </row>
        <row r="42">
          <cell r="A42">
            <v>210060</v>
          </cell>
          <cell r="B42">
            <v>16</v>
          </cell>
          <cell r="C42">
            <v>496.81</v>
          </cell>
          <cell r="D42">
            <v>562.34</v>
          </cell>
          <cell r="E42">
            <v>0.88</v>
          </cell>
        </row>
        <row r="43">
          <cell r="A43">
            <v>210061</v>
          </cell>
          <cell r="B43">
            <v>30</v>
          </cell>
          <cell r="C43">
            <v>218.43</v>
          </cell>
          <cell r="D43">
            <v>720.96</v>
          </cell>
          <cell r="E43">
            <v>0.3</v>
          </cell>
        </row>
        <row r="44">
          <cell r="A44">
            <v>210062</v>
          </cell>
          <cell r="B44">
            <v>44</v>
          </cell>
          <cell r="C44">
            <v>1007.04</v>
          </cell>
          <cell r="D44">
            <v>1069.8599999999999</v>
          </cell>
          <cell r="E44">
            <v>0.94</v>
          </cell>
        </row>
        <row r="45">
          <cell r="A45">
            <v>210063</v>
          </cell>
          <cell r="B45">
            <v>51</v>
          </cell>
          <cell r="C45">
            <v>881.38</v>
          </cell>
          <cell r="D45">
            <v>1192.96</v>
          </cell>
          <cell r="E45">
            <v>0.74</v>
          </cell>
        </row>
        <row r="46">
          <cell r="A46">
            <v>210064</v>
          </cell>
          <cell r="B46">
            <v>21</v>
          </cell>
          <cell r="C46">
            <v>243.97</v>
          </cell>
          <cell r="D46">
            <v>554.38</v>
          </cell>
          <cell r="E46">
            <v>0.44</v>
          </cell>
        </row>
        <row r="47">
          <cell r="A47">
            <v>210065</v>
          </cell>
          <cell r="B47">
            <v>36</v>
          </cell>
          <cell r="C47">
            <v>522.04</v>
          </cell>
          <cell r="D47">
            <v>845.61</v>
          </cell>
          <cell r="E47">
            <v>0.62</v>
          </cell>
        </row>
      </sheetData>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HAC Scaling Hosp Rev (2)"/>
      <sheetName val="FY21 norms (2)"/>
      <sheetName val="RRIP (Robert)---&gt;"/>
      <sheetName val="FY21 norms"/>
      <sheetName val="CY 2018"/>
      <sheetName val="MD Monitoring"/>
      <sheetName val="RRIP Model Compare"/>
      <sheetName val="Model 1 OOS"/>
      <sheetName val="model 2 OOS"/>
      <sheetName val="RRIP Scaling Hosp Rev"/>
      <sheetName val="RY 21 RRIP Modeling Results"/>
      <sheetName val="RRIP Scaling average rev"/>
      <sheetName val="m2 rev summary (2)"/>
      <sheetName val="MHAC (MPR)----&gt;"/>
      <sheetName val="Model 1 Hospital Scores"/>
      <sheetName val="Model 2 Hospital Scores"/>
      <sheetName val="Model 3 Hospital Scores"/>
      <sheetName val="MHAC Score summary"/>
      <sheetName val="MHAC Scaling Hosp Rev"/>
      <sheetName val="MHAC Scaling Average Rev"/>
      <sheetName val="MHAC Scaling hosp median"/>
      <sheetName val="MHAC Scaling M2 CMS"/>
      <sheetName val="m2 rev summary"/>
      <sheetName val="RRIP and MHAC Summary Revenue"/>
      <sheetName val="model 2 OOS 2018"/>
    </sheetNames>
    <sheetDataSet>
      <sheetData sheetId="0"/>
      <sheetData sheetId="1"/>
      <sheetData sheetId="2"/>
      <sheetData sheetId="3"/>
      <sheetData sheetId="4"/>
      <sheetData sheetId="5"/>
      <sheetData sheetId="6"/>
      <sheetData sheetId="7"/>
      <sheetData sheetId="8">
        <row r="2">
          <cell r="A2">
            <v>210001</v>
          </cell>
        </row>
        <row r="7">
          <cell r="J7">
            <v>0.11548630434782609</v>
          </cell>
        </row>
      </sheetData>
      <sheetData sheetId="9">
        <row r="58">
          <cell r="C58">
            <v>0.02</v>
          </cell>
        </row>
      </sheetData>
      <sheetData sheetId="10"/>
      <sheetData sheetId="11"/>
      <sheetData sheetId="12"/>
      <sheetData sheetId="13"/>
      <sheetData sheetId="14"/>
      <sheetData sheetId="15"/>
      <sheetData sheetId="16"/>
      <sheetData sheetId="17"/>
      <sheetData sheetId="18">
        <row r="54">
          <cell r="B54">
            <v>0</v>
          </cell>
        </row>
      </sheetData>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87AF-EBC2-41DB-BE8C-98DE5FCFDDA9}">
  <dimension ref="A1:BD12"/>
  <sheetViews>
    <sheetView tabSelected="1" workbookViewId="0"/>
  </sheetViews>
  <sheetFormatPr defaultRowHeight="14.5"/>
  <cols>
    <col min="1" max="1" width="18.54296875" customWidth="1"/>
    <col min="2" max="2" width="18.1796875" customWidth="1"/>
    <col min="3" max="3" width="12.54296875" customWidth="1"/>
    <col min="4" max="4" width="19.453125" customWidth="1"/>
    <col min="5" max="5" width="22" customWidth="1"/>
    <col min="6" max="6" width="10.26953125" customWidth="1"/>
  </cols>
  <sheetData>
    <row r="1" spans="1:56" ht="21">
      <c r="A1" s="121" t="s">
        <v>111</v>
      </c>
    </row>
    <row r="2" spans="1:56" ht="65.25" customHeight="1">
      <c r="A2" s="156" t="s">
        <v>150</v>
      </c>
      <c r="B2" s="156"/>
      <c r="C2" s="156"/>
      <c r="D2" s="156"/>
      <c r="E2" s="156"/>
    </row>
    <row r="6" spans="1:56">
      <c r="A6" s="111" t="s">
        <v>117</v>
      </c>
      <c r="B6" s="122" t="s">
        <v>141</v>
      </c>
      <c r="C6" s="112" t="s">
        <v>101</v>
      </c>
      <c r="D6" s="112" t="s">
        <v>102</v>
      </c>
      <c r="E6" s="113" t="s">
        <v>103</v>
      </c>
    </row>
    <row r="7" spans="1:56" s="147" customFormat="1" ht="45" customHeight="1">
      <c r="A7" s="151" t="s">
        <v>148</v>
      </c>
      <c r="B7" s="160" t="s">
        <v>149</v>
      </c>
      <c r="C7" s="161"/>
      <c r="D7" s="161"/>
      <c r="E7" s="162"/>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row>
    <row r="8" spans="1:56" s="125" customFormat="1" ht="29">
      <c r="A8" s="145" t="s">
        <v>140</v>
      </c>
      <c r="B8" s="146" t="s">
        <v>116</v>
      </c>
      <c r="C8" s="146" t="s">
        <v>104</v>
      </c>
      <c r="D8" s="146" t="s">
        <v>105</v>
      </c>
      <c r="E8" s="146" t="s">
        <v>104</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row>
    <row r="9" spans="1:56" ht="29">
      <c r="A9" s="126" t="s">
        <v>137</v>
      </c>
      <c r="B9" s="114" t="s">
        <v>109</v>
      </c>
      <c r="C9" s="114" t="s">
        <v>104</v>
      </c>
      <c r="D9" s="114" t="s">
        <v>105</v>
      </c>
      <c r="E9" s="114" t="s">
        <v>106</v>
      </c>
    </row>
    <row r="10" spans="1:56" ht="29">
      <c r="A10" s="126" t="s">
        <v>138</v>
      </c>
      <c r="B10" s="114" t="s">
        <v>116</v>
      </c>
      <c r="C10" s="114" t="s">
        <v>104</v>
      </c>
      <c r="D10" s="114" t="s">
        <v>105</v>
      </c>
      <c r="E10" s="114" t="s">
        <v>104</v>
      </c>
    </row>
    <row r="11" spans="1:56" ht="40" customHeight="1">
      <c r="A11" s="127" t="s">
        <v>139</v>
      </c>
      <c r="B11" s="115" t="s">
        <v>107</v>
      </c>
      <c r="C11" s="116" t="s">
        <v>110</v>
      </c>
      <c r="D11" s="116" t="s">
        <v>105</v>
      </c>
      <c r="E11" s="116" t="s">
        <v>105</v>
      </c>
    </row>
    <row r="12" spans="1:56" ht="57.75" customHeight="1">
      <c r="A12" s="127" t="s">
        <v>112</v>
      </c>
      <c r="B12" s="157" t="s">
        <v>113</v>
      </c>
      <c r="C12" s="158"/>
      <c r="D12" s="158"/>
      <c r="E12" s="159"/>
    </row>
  </sheetData>
  <mergeCells count="3">
    <mergeCell ref="A2:E2"/>
    <mergeCell ref="B12:E12"/>
    <mergeCell ref="B7:E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05280-7BAF-45C7-A089-A1E8BCFF03BE}">
  <sheetPr>
    <tabColor theme="9" tint="0.39997558519241921"/>
  </sheetPr>
  <dimension ref="A2:L53"/>
  <sheetViews>
    <sheetView workbookViewId="0">
      <pane xSplit="3" ySplit="3" topLeftCell="D4" activePane="bottomRight" state="frozen"/>
      <selection pane="topRight" activeCell="D1" sqref="D1"/>
      <selection pane="bottomLeft" activeCell="A4" sqref="A4"/>
      <selection pane="bottomRight" activeCell="L4" sqref="L3:L4"/>
    </sheetView>
  </sheetViews>
  <sheetFormatPr defaultRowHeight="14.5"/>
  <cols>
    <col min="1" max="1" width="10.54296875" customWidth="1"/>
    <col min="2" max="2" width="36.54296875" customWidth="1"/>
    <col min="3" max="3" width="18.7265625" bestFit="1" customWidth="1"/>
    <col min="4" max="4" width="15.81640625" customWidth="1"/>
    <col min="5" max="5" width="14.26953125" customWidth="1"/>
    <col min="6" max="6" width="14.54296875" bestFit="1" customWidth="1"/>
    <col min="7" max="7" width="16" bestFit="1" customWidth="1"/>
    <col min="8" max="11" width="16.54296875" customWidth="1"/>
    <col min="12" max="12" width="14.26953125" customWidth="1"/>
  </cols>
  <sheetData>
    <row r="2" spans="1:12" ht="18.5">
      <c r="D2" s="163" t="s">
        <v>142</v>
      </c>
      <c r="E2" s="163"/>
      <c r="F2" s="163"/>
      <c r="G2" s="163"/>
      <c r="H2" s="164" t="s">
        <v>143</v>
      </c>
      <c r="I2" s="164"/>
      <c r="J2" s="164"/>
      <c r="K2" s="164"/>
    </row>
    <row r="3" spans="1:12" ht="58">
      <c r="A3" s="142" t="s">
        <v>67</v>
      </c>
      <c r="B3" s="142" t="s">
        <v>68</v>
      </c>
      <c r="C3" s="142" t="s">
        <v>136</v>
      </c>
      <c r="D3" s="144" t="s">
        <v>144</v>
      </c>
      <c r="E3" s="144" t="s">
        <v>145</v>
      </c>
      <c r="F3" s="144" t="s">
        <v>146</v>
      </c>
      <c r="G3" s="144" t="s">
        <v>147</v>
      </c>
      <c r="H3" s="144" t="s">
        <v>144</v>
      </c>
      <c r="I3" s="144" t="s">
        <v>145</v>
      </c>
      <c r="J3" s="144" t="s">
        <v>146</v>
      </c>
      <c r="K3" s="144" t="s">
        <v>147</v>
      </c>
      <c r="L3" s="152" t="s">
        <v>151</v>
      </c>
    </row>
    <row r="4" spans="1:12" ht="15.5">
      <c r="A4" s="143">
        <v>210001</v>
      </c>
      <c r="B4" s="13" t="s">
        <v>13</v>
      </c>
      <c r="C4" s="129">
        <f>VLOOKUP(A4,[1]Sheet1!$A$5:$I$61,9,FALSE)</f>
        <v>233209898.29280609</v>
      </c>
      <c r="D4" s="148">
        <f>VLOOKUP(A4,' MHAC Prelim Rev Adj M1'!A$3:F$46,6,FALSE)</f>
        <v>0</v>
      </c>
      <c r="E4" s="149">
        <f>VLOOKUP(A4,'RRIP Prelim Rev Adj M1'!A$4:P$47,14,FALSE)</f>
        <v>699630</v>
      </c>
      <c r="F4" s="149">
        <f>VLOOKUP(A4,'QBR Prelim CURRENT Scale'!A$3:F$43,6,FALSE)</f>
        <v>-2122210</v>
      </c>
      <c r="G4" s="149">
        <f t="shared" ref="G4:G47" si="0">IFERROR(D4+E4+F4,D4+E4)</f>
        <v>-1422580</v>
      </c>
      <c r="H4" s="148">
        <f>VLOOKUP(A4,'MHAC Prelim Rev Adj M2'!$A$3:$F$46,6,FALSE)</f>
        <v>-333157</v>
      </c>
      <c r="I4" s="149">
        <f>VLOOKUP(A4,'RRIP Prelim Rev Adj M2'!$A$4:$N$47,14,FALSE)</f>
        <v>-629667</v>
      </c>
      <c r="J4" s="149">
        <f>VLOOKUP(A4,'QBR Prelim ADJUSTED Scale'!$A$3:$F$43,6,FALSE)</f>
        <v>-1399259</v>
      </c>
      <c r="K4" s="149">
        <f t="shared" ref="K4:K47" si="1">IFERROR(H4+I4+J4,H4+I4)</f>
        <v>-2362083</v>
      </c>
      <c r="L4" s="150">
        <f t="shared" ref="L4:L47" si="2">K4-G4</f>
        <v>-939503</v>
      </c>
    </row>
    <row r="5" spans="1:12" ht="15.5">
      <c r="A5" s="13">
        <v>210002</v>
      </c>
      <c r="B5" s="13" t="s">
        <v>14</v>
      </c>
      <c r="C5" s="129">
        <f>VLOOKUP(A5,[1]Sheet1!$A$5:$I$61,9,FALSE)</f>
        <v>1169777419.1025653</v>
      </c>
      <c r="D5" s="148">
        <f>VLOOKUP(A5,' MHAC Prelim Rev Adj M1'!A$3:F$46,6,FALSE)</f>
        <v>0</v>
      </c>
      <c r="E5" s="149">
        <f>VLOOKUP(A5,'RRIP Prelim Rev Adj M1'!A$4:P$47,14,FALSE)</f>
        <v>10878930</v>
      </c>
      <c r="F5" s="149">
        <f>VLOOKUP(A5,'QBR Prelim CURRENT Scale'!A$3:F$43,6,FALSE)</f>
        <v>-11697774</v>
      </c>
      <c r="G5" s="149">
        <f t="shared" si="0"/>
        <v>-818844</v>
      </c>
      <c r="H5" s="148">
        <f>VLOOKUP(A5,'MHAC Prelim Rev Adj M2'!$A$3:$F$46,6,FALSE)</f>
        <v>0</v>
      </c>
      <c r="I5" s="149">
        <f>VLOOKUP(A5,'RRIP Prelim Rev Adj M2'!$A$4:$N$47,14,FALSE)</f>
        <v>10177064</v>
      </c>
      <c r="J5" s="149">
        <f>VLOOKUP(A5,'QBR Prelim ADJUSTED Scale'!$A$3:$F$43,6,FALSE)</f>
        <v>-8539375</v>
      </c>
      <c r="K5" s="149">
        <f t="shared" si="1"/>
        <v>1637689</v>
      </c>
      <c r="L5" s="150">
        <f t="shared" si="2"/>
        <v>2456533</v>
      </c>
    </row>
    <row r="6" spans="1:12" ht="15.5">
      <c r="A6" s="13">
        <v>210003</v>
      </c>
      <c r="B6" s="13" t="s">
        <v>15</v>
      </c>
      <c r="C6" s="129">
        <f>VLOOKUP(A6,[1]Sheet1!$A$5:$I$61,9,FALSE)</f>
        <v>272737060.9453848</v>
      </c>
      <c r="D6" s="148">
        <f>VLOOKUP(A6,' MHAC Prelim Rev Adj M1'!A$3:F$46,6,FALSE)</f>
        <v>-1090948</v>
      </c>
      <c r="E6" s="149">
        <f>VLOOKUP(A6,'RRIP Prelim Rev Adj M1'!A$4:P$47,14,FALSE)</f>
        <v>3163750</v>
      </c>
      <c r="F6" s="149">
        <f>VLOOKUP(A6,'QBR Prelim CURRENT Scale'!A$3:F$43,6,FALSE)</f>
        <v>-2918287</v>
      </c>
      <c r="G6" s="149">
        <f t="shared" si="0"/>
        <v>-845485</v>
      </c>
      <c r="H6" s="148">
        <f>VLOOKUP(A6,'MHAC Prelim Rev Adj M2'!$A$3:$F$46,6,FALSE)</f>
        <v>-1558497</v>
      </c>
      <c r="I6" s="149">
        <f>VLOOKUP(A6,'RRIP Prelim Rev Adj M2'!$A$4:$N$47,14,FALSE)</f>
        <v>3081929</v>
      </c>
      <c r="J6" s="149">
        <f>VLOOKUP(A6,'QBR Prelim ADJUSTED Scale'!$A$3:$F$43,6,FALSE)</f>
        <v>-2209170</v>
      </c>
      <c r="K6" s="149">
        <f t="shared" si="1"/>
        <v>-685738</v>
      </c>
      <c r="L6" s="150">
        <f t="shared" si="2"/>
        <v>159747</v>
      </c>
    </row>
    <row r="7" spans="1:12" ht="15.5">
      <c r="A7" s="13">
        <v>210004</v>
      </c>
      <c r="B7" s="13" t="s">
        <v>16</v>
      </c>
      <c r="C7" s="129">
        <f>VLOOKUP(A7,[1]Sheet1!$A$5:$I$61,9,FALSE)</f>
        <v>395179292.24487001</v>
      </c>
      <c r="D7" s="148">
        <f>VLOOKUP(A7,' MHAC Prelim Rev Adj M1'!A$3:F$46,6,FALSE)</f>
        <v>1844170</v>
      </c>
      <c r="E7" s="149">
        <f>VLOOKUP(A7,'RRIP Prelim Rev Adj M1'!A$4:P$47,14,FALSE)</f>
        <v>1383128</v>
      </c>
      <c r="F7" s="149">
        <f>VLOOKUP(A7,'QBR Prelim CURRENT Scale'!A$3:F$43,6,FALSE)</f>
        <v>-6125279</v>
      </c>
      <c r="G7" s="149">
        <f t="shared" si="0"/>
        <v>-2897981</v>
      </c>
      <c r="H7" s="148">
        <f>VLOOKUP(A7,'MHAC Prelim Rev Adj M2'!$A$3:$F$46,6,FALSE)</f>
        <v>2324584</v>
      </c>
      <c r="I7" s="149">
        <f>VLOOKUP(A7,'RRIP Prelim Rev Adj M2'!$A$4:$N$47,14,FALSE)</f>
        <v>-79036</v>
      </c>
      <c r="J7" s="149">
        <f>VLOOKUP(A7,'QBR Prelim ADJUSTED Scale'!$A$3:$F$43,6,FALSE)</f>
        <v>-5611546</v>
      </c>
      <c r="K7" s="149">
        <f t="shared" si="1"/>
        <v>-3365998</v>
      </c>
      <c r="L7" s="150">
        <f t="shared" si="2"/>
        <v>-468017</v>
      </c>
    </row>
    <row r="8" spans="1:12" ht="15.5">
      <c r="A8" s="13">
        <v>210005</v>
      </c>
      <c r="B8" s="13" t="s">
        <v>17</v>
      </c>
      <c r="C8" s="129">
        <f>VLOOKUP(A8,[1]Sheet1!$A$5:$I$61,9,FALSE)</f>
        <v>245875328.80849966</v>
      </c>
      <c r="D8" s="148">
        <f>VLOOKUP(A8,' MHAC Prelim Rev Adj M1'!A$3:F$46,6,FALSE)</f>
        <v>0</v>
      </c>
      <c r="E8" s="149">
        <f>VLOOKUP(A8,'RRIP Prelim Rev Adj M1'!A$4:P$47,14,FALSE)</f>
        <v>319638</v>
      </c>
      <c r="F8" s="149">
        <f>VLOOKUP(A8,'QBR Prelim CURRENT Scale'!A$3:F$43,6,FALSE)</f>
        <v>-2999679</v>
      </c>
      <c r="G8" s="149">
        <f t="shared" si="0"/>
        <v>-2680041</v>
      </c>
      <c r="H8" s="148">
        <f>VLOOKUP(A8,'MHAC Prelim Rev Adj M2'!$A$3:$F$46,6,FALSE)</f>
        <v>0</v>
      </c>
      <c r="I8" s="149">
        <f>VLOOKUP(A8,'RRIP Prelim Rev Adj M2'!$A$4:$N$47,14,FALSE)</f>
        <v>-270463</v>
      </c>
      <c r="J8" s="149">
        <f>VLOOKUP(A8,'QBR Prelim ADJUSTED Scale'!$A$3:$F$43,6,FALSE)</f>
        <v>-2458753</v>
      </c>
      <c r="K8" s="149">
        <f t="shared" si="1"/>
        <v>-2729216</v>
      </c>
      <c r="L8" s="150">
        <f t="shared" si="2"/>
        <v>-49175</v>
      </c>
    </row>
    <row r="9" spans="1:12" ht="15.5">
      <c r="A9" s="13">
        <v>210006</v>
      </c>
      <c r="B9" s="13" t="s">
        <v>18</v>
      </c>
      <c r="C9" s="129">
        <f>VLOOKUP(A9,[1]Sheet1!$A$5:$I$61,9,FALSE)</f>
        <v>67709798.545058176</v>
      </c>
      <c r="D9" s="148">
        <f>VLOOKUP(A9,' MHAC Prelim Rev Adj M1'!A$3:F$46,6,FALSE)</f>
        <v>-406259</v>
      </c>
      <c r="E9" s="149">
        <f>VLOOKUP(A9,'RRIP Prelim Rev Adj M1'!A$4:P$47,14,FALSE)</f>
        <v>-142191</v>
      </c>
      <c r="F9" s="149">
        <f>VLOOKUP(A9,'QBR Prelim CURRENT Scale'!A$3:F$43,6,FALSE)</f>
        <v>-771892</v>
      </c>
      <c r="G9" s="149">
        <f t="shared" si="0"/>
        <v>-1320342</v>
      </c>
      <c r="H9" s="148">
        <f>VLOOKUP(A9,'MHAC Prelim Rev Adj M2'!$A$3:$F$46,6,FALSE)</f>
        <v>-604552</v>
      </c>
      <c r="I9" s="149">
        <f>VLOOKUP(A9,'RRIP Prelim Rev Adj M2'!$A$4:$N$47,14,FALSE)</f>
        <v>-494282</v>
      </c>
      <c r="J9" s="149">
        <f>VLOOKUP(A9,'QBR Prelim ADJUSTED Scale'!$A$3:$F$43,6,FALSE)</f>
        <v>-609388</v>
      </c>
      <c r="K9" s="149">
        <f t="shared" si="1"/>
        <v>-1708222</v>
      </c>
      <c r="L9" s="150">
        <f t="shared" si="2"/>
        <v>-387880</v>
      </c>
    </row>
    <row r="10" spans="1:12" ht="15.5">
      <c r="A10" s="13">
        <v>210008</v>
      </c>
      <c r="B10" s="13" t="s">
        <v>19</v>
      </c>
      <c r="C10" s="129">
        <f>VLOOKUP(A10,[1]Sheet1!$A$5:$I$61,9,FALSE)</f>
        <v>231085559.56053197</v>
      </c>
      <c r="D10" s="148">
        <f>VLOOKUP(A10,' MHAC Prelim Rev Adj M1'!A$3:F$46,6,FALSE)</f>
        <v>-462171</v>
      </c>
      <c r="E10" s="149">
        <f>VLOOKUP(A10,'RRIP Prelim Rev Adj M1'!A$4:P$47,14,FALSE)</f>
        <v>115543</v>
      </c>
      <c r="F10" s="149">
        <f>VLOOKUP(A10,'QBR Prelim CURRENT Scale'!A$3:F$43,6,FALSE)</f>
        <v>-1871793</v>
      </c>
      <c r="G10" s="149">
        <f t="shared" si="0"/>
        <v>-2218421</v>
      </c>
      <c r="H10" s="148">
        <f>VLOOKUP(A10,'MHAC Prelim Rev Adj M2'!$A$3:$F$46,6,FALSE)</f>
        <v>-742775</v>
      </c>
      <c r="I10" s="149">
        <f>VLOOKUP(A10,'RRIP Prelim Rev Adj M2'!$A$4:$N$47,14,FALSE)</f>
        <v>-346628</v>
      </c>
      <c r="J10" s="149">
        <f>VLOOKUP(A10,'QBR Prelim ADJUSTED Scale'!$A$3:$F$43,6,FALSE)</f>
        <v>-1086102</v>
      </c>
      <c r="K10" s="149">
        <f t="shared" si="1"/>
        <v>-2175505</v>
      </c>
      <c r="L10" s="150">
        <f t="shared" si="2"/>
        <v>42916</v>
      </c>
    </row>
    <row r="11" spans="1:12" ht="15.5">
      <c r="A11" s="13">
        <v>210009</v>
      </c>
      <c r="B11" s="13" t="s">
        <v>20</v>
      </c>
      <c r="C11" s="129">
        <f>VLOOKUP(A11,[1]Sheet1!$A$5:$I$61,9,FALSE)</f>
        <v>1689351200.3065054</v>
      </c>
      <c r="D11" s="148">
        <f>VLOOKUP(A11,' MHAC Prelim Rev Adj M1'!A$3:F$46,6,FALSE)</f>
        <v>-14077927</v>
      </c>
      <c r="E11" s="149">
        <f>VLOOKUP(A11,'RRIP Prelim Rev Adj M1'!A$4:P$47,14,FALSE)</f>
        <v>11149718</v>
      </c>
      <c r="F11" s="149">
        <f>VLOOKUP(A11,'QBR Prelim CURRENT Scale'!A$3:F$43,6,FALSE)</f>
        <v>-11487588</v>
      </c>
      <c r="G11" s="149">
        <f t="shared" si="0"/>
        <v>-14415797</v>
      </c>
      <c r="H11" s="148">
        <f>VLOOKUP(A11,'MHAC Prelim Rev Adj M2'!$A$3:$F$46,6,FALSE)</f>
        <v>-15686833</v>
      </c>
      <c r="I11" s="149">
        <f>VLOOKUP(A11,'RRIP Prelim Rev Adj M2'!$A$4:$N$47,14,FALSE)</f>
        <v>9122496</v>
      </c>
      <c r="J11" s="149">
        <f>VLOOKUP(A11,'QBR Prelim ADJUSTED Scale'!$A$3:$F$43,6,FALSE)</f>
        <v>-5236989</v>
      </c>
      <c r="K11" s="149">
        <f t="shared" si="1"/>
        <v>-11801326</v>
      </c>
      <c r="L11" s="150">
        <f t="shared" si="2"/>
        <v>2614471</v>
      </c>
    </row>
    <row r="12" spans="1:12" ht="15.5">
      <c r="A12" s="13">
        <v>210011</v>
      </c>
      <c r="B12" s="13" t="s">
        <v>21</v>
      </c>
      <c r="C12" s="129">
        <f>VLOOKUP(A12,[1]Sheet1!$A$5:$I$61,9,FALSE)</f>
        <v>243049519.64796227</v>
      </c>
      <c r="D12" s="148">
        <f>VLOOKUP(A12,' MHAC Prelim Rev Adj M1'!A$3:F$46,6,FALSE)</f>
        <v>0</v>
      </c>
      <c r="E12" s="149">
        <f>VLOOKUP(A12,'RRIP Prelim Rev Adj M1'!A$4:P$47,14,FALSE)</f>
        <v>1944396</v>
      </c>
      <c r="F12" s="149">
        <f>VLOOKUP(A12,'QBR Prelim CURRENT Scale'!A$3:F$43,6,FALSE)</f>
        <v>-3281169</v>
      </c>
      <c r="G12" s="149">
        <f t="shared" si="0"/>
        <v>-1336773</v>
      </c>
      <c r="H12" s="148">
        <f>VLOOKUP(A12,'MHAC Prelim Rev Adj M2'!$A$3:$F$46,6,FALSE)</f>
        <v>0</v>
      </c>
      <c r="I12" s="149">
        <f>VLOOKUP(A12,'RRIP Prelim Rev Adj M2'!$A$4:$N$47,14,FALSE)</f>
        <v>899283</v>
      </c>
      <c r="J12" s="149">
        <f>VLOOKUP(A12,'QBR Prelim ADJUSTED Scale'!$A$3:$F$43,6,FALSE)</f>
        <v>-2843679</v>
      </c>
      <c r="K12" s="149">
        <f t="shared" si="1"/>
        <v>-1944396</v>
      </c>
      <c r="L12" s="150">
        <f t="shared" si="2"/>
        <v>-607623</v>
      </c>
    </row>
    <row r="13" spans="1:12" ht="15.5">
      <c r="A13" s="13">
        <v>210012</v>
      </c>
      <c r="B13" s="13" t="s">
        <v>22</v>
      </c>
      <c r="C13" s="129">
        <f>VLOOKUP(A13,[1]Sheet1!$A$5:$I$61,9,FALSE)</f>
        <v>499177175.30070233</v>
      </c>
      <c r="D13" s="148">
        <f>VLOOKUP(A13,' MHAC Prelim Rev Adj M1'!A$3:F$46,6,FALSE)</f>
        <v>-831962</v>
      </c>
      <c r="E13" s="149">
        <f>VLOOKUP(A13,'RRIP Prelim Rev Adj M1'!A$4:P$47,14,FALSE)</f>
        <v>1647285</v>
      </c>
      <c r="F13" s="149">
        <f>VLOOKUP(A13,'QBR Prelim CURRENT Scale'!A$3:F$43,6,FALSE)</f>
        <v>-6639056</v>
      </c>
      <c r="G13" s="149">
        <f t="shared" si="0"/>
        <v>-5823733</v>
      </c>
      <c r="H13" s="148">
        <f>VLOOKUP(A13,'MHAC Prelim Rev Adj M2'!$A$3:$F$46,6,FALSE)</f>
        <v>-713110</v>
      </c>
      <c r="I13" s="149">
        <f>VLOOKUP(A13,'RRIP Prelim Rev Adj M2'!$A$4:$N$47,14,FALSE)</f>
        <v>-49918</v>
      </c>
      <c r="J13" s="149">
        <f>VLOOKUP(A13,'QBR Prelim ADJUSTED Scale'!$A$3:$F$43,6,FALSE)</f>
        <v>-5690620</v>
      </c>
      <c r="K13" s="149">
        <f t="shared" si="1"/>
        <v>-6453648</v>
      </c>
      <c r="L13" s="150">
        <f t="shared" si="2"/>
        <v>-629915</v>
      </c>
    </row>
    <row r="14" spans="1:12" ht="15.5">
      <c r="A14" s="13">
        <v>210015</v>
      </c>
      <c r="B14" s="13" t="s">
        <v>23</v>
      </c>
      <c r="C14" s="129">
        <f>VLOOKUP(A14,[1]Sheet1!$A$5:$I$61,9,FALSE)</f>
        <v>325444692.32110155</v>
      </c>
      <c r="D14" s="148">
        <f>VLOOKUP(A14,' MHAC Prelim Rev Adj M1'!A$3:F$46,6,FALSE)</f>
        <v>1518742</v>
      </c>
      <c r="E14" s="149">
        <f>VLOOKUP(A14,'RRIP Prelim Rev Adj M1'!A$4:P$47,14,FALSE)</f>
        <v>2929002</v>
      </c>
      <c r="F14" s="149">
        <f>VLOOKUP(A14,'QBR Prelim CURRENT Scale'!A$3:F$43,6,FALSE)</f>
        <v>-4491137</v>
      </c>
      <c r="G14" s="149">
        <f t="shared" si="0"/>
        <v>-43393</v>
      </c>
      <c r="H14" s="148">
        <f>VLOOKUP(A14,'MHAC Prelim Rev Adj M2'!$A$3:$F$46,6,FALSE)</f>
        <v>2105819</v>
      </c>
      <c r="I14" s="149">
        <f>VLOOKUP(A14,'RRIP Prelim Rev Adj M2'!$A$4:$N$47,14,FALSE)</f>
        <v>1985213</v>
      </c>
      <c r="J14" s="149">
        <f>VLOOKUP(A14,'QBR Prelim ADJUSTED Scale'!$A$3:$F$43,6,FALSE)</f>
        <v>-3905336</v>
      </c>
      <c r="K14" s="149">
        <f t="shared" si="1"/>
        <v>185696</v>
      </c>
      <c r="L14" s="150">
        <f t="shared" si="2"/>
        <v>229089</v>
      </c>
    </row>
    <row r="15" spans="1:12" ht="15.5">
      <c r="A15" s="13">
        <v>210016</v>
      </c>
      <c r="B15" s="13" t="s">
        <v>24</v>
      </c>
      <c r="C15" s="129">
        <f>VLOOKUP(A15,[1]Sheet1!$A$5:$I$61,9,FALSE)</f>
        <v>206054276.81773111</v>
      </c>
      <c r="D15" s="148">
        <f>VLOOKUP(A15,' MHAC Prelim Rev Adj M1'!A$3:F$46,6,FALSE)</f>
        <v>0</v>
      </c>
      <c r="E15" s="149">
        <f>VLOOKUP(A15,'RRIP Prelim Rev Adj M1'!A$4:P$47,14,FALSE)</f>
        <v>-989061</v>
      </c>
      <c r="F15" s="149">
        <f>VLOOKUP(A15,'QBR Prelim CURRENT Scale'!A$3:F$43,6,FALSE)</f>
        <v>-1669040</v>
      </c>
      <c r="G15" s="149">
        <f t="shared" si="0"/>
        <v>-2658101</v>
      </c>
      <c r="H15" s="148">
        <f>VLOOKUP(A15,'MHAC Prelim Rev Adj M2'!$A$3:$F$46,6,FALSE)</f>
        <v>0</v>
      </c>
      <c r="I15" s="149">
        <f>VLOOKUP(A15,'RRIP Prelim Rev Adj M2'!$A$4:$N$47,14,FALSE)</f>
        <v>-1545407</v>
      </c>
      <c r="J15" s="149">
        <f>VLOOKUP(A15,'QBR Prelim ADJUSTED Scale'!$A$3:$F$43,6,FALSE)</f>
        <v>-968455</v>
      </c>
      <c r="K15" s="149">
        <f t="shared" si="1"/>
        <v>-2513862</v>
      </c>
      <c r="L15" s="150">
        <f t="shared" si="2"/>
        <v>144239</v>
      </c>
    </row>
    <row r="16" spans="1:12" ht="15.5">
      <c r="A16" s="13">
        <v>210017</v>
      </c>
      <c r="B16" s="13" t="s">
        <v>25</v>
      </c>
      <c r="C16" s="129">
        <f>VLOOKUP(A16,[1]Sheet1!$A$5:$I$61,9,FALSE)</f>
        <v>22448741.860533666</v>
      </c>
      <c r="D16" s="148">
        <f>VLOOKUP(A16,' MHAC Prelim Rev Adj M1'!A$3:F$46,6,FALSE)</f>
        <v>448975</v>
      </c>
      <c r="E16" s="149">
        <f>VLOOKUP(A16,'RRIP Prelim Rev Adj M1'!A$4:P$47,14,FALSE)</f>
        <v>448975</v>
      </c>
      <c r="F16" s="149">
        <f>VLOOKUP(A16,'QBR Prelim CURRENT Scale'!A$3:F$43,6,FALSE)</f>
        <v>58367</v>
      </c>
      <c r="G16" s="149">
        <f t="shared" si="0"/>
        <v>956317</v>
      </c>
      <c r="H16" s="148">
        <f>VLOOKUP(A16,'MHAC Prelim Rev Adj M2'!$A$3:$F$46,6,FALSE)</f>
        <v>448975</v>
      </c>
      <c r="I16" s="149">
        <f>VLOOKUP(A16,'RRIP Prelim Rev Adj M2'!$A$4:$N$47,14,FALSE)</f>
        <v>448975</v>
      </c>
      <c r="J16" s="149">
        <f>VLOOKUP(A16,'QBR Prelim ADJUSTED Scale'!$A$3:$F$43,6,FALSE)</f>
        <v>130203</v>
      </c>
      <c r="K16" s="149">
        <f t="shared" si="1"/>
        <v>1028153</v>
      </c>
      <c r="L16" s="150">
        <f t="shared" si="2"/>
        <v>71836</v>
      </c>
    </row>
    <row r="17" spans="1:12" ht="15.5">
      <c r="A17" s="13">
        <v>210018</v>
      </c>
      <c r="B17" s="13" t="s">
        <v>26</v>
      </c>
      <c r="C17" s="129">
        <f>VLOOKUP(A17,[1]Sheet1!$A$5:$I$61,9,FALSE)</f>
        <v>86911104.151931316</v>
      </c>
      <c r="D17" s="148">
        <f>VLOOKUP(A17,' MHAC Prelim Rev Adj M1'!A$3:F$46,6,FALSE)</f>
        <v>0</v>
      </c>
      <c r="E17" s="149">
        <f>VLOOKUP(A17,'RRIP Prelim Rev Adj M1'!A$4:P$47,14,FALSE)</f>
        <v>938640</v>
      </c>
      <c r="F17" s="149">
        <f>VLOOKUP(A17,'QBR Prelim CURRENT Scale'!A$3:F$43,6,FALSE)</f>
        <v>-617069</v>
      </c>
      <c r="G17" s="149">
        <f t="shared" si="0"/>
        <v>321571</v>
      </c>
      <c r="H17" s="148">
        <f>VLOOKUP(A17,'MHAC Prelim Rev Adj M2'!$A$3:$F$46,6,FALSE)</f>
        <v>0</v>
      </c>
      <c r="I17" s="149">
        <f>VLOOKUP(A17,'RRIP Prelim Rev Adj M2'!$A$4:$N$47,14,FALSE)</f>
        <v>651833</v>
      </c>
      <c r="J17" s="149">
        <f>VLOOKUP(A17,'QBR Prelim ADJUSTED Scale'!$A$3:$F$43,6,FALSE)</f>
        <v>-304189</v>
      </c>
      <c r="K17" s="149">
        <f t="shared" si="1"/>
        <v>347644</v>
      </c>
      <c r="L17" s="150">
        <f t="shared" si="2"/>
        <v>26073</v>
      </c>
    </row>
    <row r="18" spans="1:12" ht="15.5">
      <c r="A18" s="13">
        <v>210019</v>
      </c>
      <c r="B18" s="13" t="s">
        <v>71</v>
      </c>
      <c r="C18" s="129">
        <f>VLOOKUP(A18,[1]Sheet1!$A$5:$I$61,9,FALSE)</f>
        <v>273261892.18496162</v>
      </c>
      <c r="D18" s="148">
        <f>VLOOKUP(A18,' MHAC Prelim Rev Adj M1'!A$3:F$46,6,FALSE)</f>
        <v>3096968</v>
      </c>
      <c r="E18" s="149">
        <f>VLOOKUP(A18,'RRIP Prelim Rev Adj M1'!A$4:P$47,14,FALSE)</f>
        <v>1366309</v>
      </c>
      <c r="F18" s="149">
        <f>VLOOKUP(A18,'QBR Prelim CURRENT Scale'!A$3:F$43,6,FALSE)</f>
        <v>-1448288</v>
      </c>
      <c r="G18" s="149">
        <f t="shared" si="0"/>
        <v>3014989</v>
      </c>
      <c r="H18" s="148">
        <f>VLOOKUP(A18,'MHAC Prelim Rev Adj M2'!$A$3:$F$46,6,FALSE)</f>
        <v>2893361</v>
      </c>
      <c r="I18" s="149">
        <f>VLOOKUP(A18,'RRIP Prelim Rev Adj M2'!$A$4:$N$47,14,FALSE)</f>
        <v>437219</v>
      </c>
      <c r="J18" s="149">
        <f>VLOOKUP(A18,'QBR Prelim ADJUSTED Scale'!$A$3:$F$43,6,FALSE)</f>
        <v>-327914</v>
      </c>
      <c r="K18" s="149">
        <f t="shared" si="1"/>
        <v>3002666</v>
      </c>
      <c r="L18" s="150">
        <f t="shared" si="2"/>
        <v>-12323</v>
      </c>
    </row>
    <row r="19" spans="1:12" ht="15.5">
      <c r="A19" s="13">
        <v>210022</v>
      </c>
      <c r="B19" s="13" t="s">
        <v>28</v>
      </c>
      <c r="C19" s="129">
        <f>VLOOKUP(A19,[1]Sheet1!$A$5:$I$61,9,FALSE)</f>
        <v>234289464.42853409</v>
      </c>
      <c r="D19" s="148">
        <f>VLOOKUP(A19,' MHAC Prelim Rev Adj M1'!A$3:F$46,6,FALSE)</f>
        <v>0</v>
      </c>
      <c r="E19" s="149">
        <f>VLOOKUP(A19,'RRIP Prelim Rev Adj M1'!A$4:P$47,14,FALSE)</f>
        <v>820013</v>
      </c>
      <c r="F19" s="149">
        <f>VLOOKUP(A19,'QBR Prelim CURRENT Scale'!A$3:F$43,6,FALSE)</f>
        <v>-2178892</v>
      </c>
      <c r="G19" s="149">
        <f t="shared" si="0"/>
        <v>-1358879</v>
      </c>
      <c r="H19" s="148">
        <f>VLOOKUP(A19,'MHAC Prelim Rev Adj M2'!$A$3:$F$46,6,FALSE)</f>
        <v>-83675</v>
      </c>
      <c r="I19" s="149">
        <f>VLOOKUP(A19,'RRIP Prelim Rev Adj M2'!$A$4:$N$47,14,FALSE)</f>
        <v>328005</v>
      </c>
      <c r="J19" s="149">
        <f>VLOOKUP(A19,'QBR Prelim ADJUSTED Scale'!$A$3:$F$43,6,FALSE)</f>
        <v>-1476024</v>
      </c>
      <c r="K19" s="149">
        <f t="shared" si="1"/>
        <v>-1231694</v>
      </c>
      <c r="L19" s="150">
        <f t="shared" si="2"/>
        <v>127185</v>
      </c>
    </row>
    <row r="20" spans="1:12" ht="15.5">
      <c r="A20" s="13">
        <v>210023</v>
      </c>
      <c r="B20" s="13" t="s">
        <v>29</v>
      </c>
      <c r="C20" s="129">
        <f>VLOOKUP(A20,[1]Sheet1!$A$5:$I$61,9,FALSE)</f>
        <v>378319646.6993916</v>
      </c>
      <c r="D20" s="148">
        <f>VLOOKUP(A20,' MHAC Prelim Rev Adj M1'!A$3:F$46,6,FALSE)</f>
        <v>0</v>
      </c>
      <c r="E20" s="149">
        <f>VLOOKUP(A20,'RRIP Prelim Rev Adj M1'!A$4:P$47,14,FALSE)</f>
        <v>-1475447</v>
      </c>
      <c r="F20" s="149">
        <f>VLOOKUP(A20,'QBR Prelim CURRENT Scale'!A$3:F$43,6,FALSE)</f>
        <v>-1929430</v>
      </c>
      <c r="G20" s="149">
        <f t="shared" si="0"/>
        <v>-3404877</v>
      </c>
      <c r="H20" s="148">
        <f>VLOOKUP(A20,'MHAC Prelim Rev Adj M2'!$A$3:$F$46,6,FALSE)</f>
        <v>-270228</v>
      </c>
      <c r="I20" s="149">
        <f>VLOOKUP(A20,'RRIP Prelim Rev Adj M2'!$A$4:$N$47,14,FALSE)</f>
        <v>-3442709</v>
      </c>
      <c r="J20" s="149">
        <f>VLOOKUP(A20,'QBR Prelim ADJUSTED Scale'!$A$3:$F$43,6,FALSE)</f>
        <v>-340488</v>
      </c>
      <c r="K20" s="149">
        <f t="shared" si="1"/>
        <v>-4053425</v>
      </c>
      <c r="L20" s="150">
        <f t="shared" si="2"/>
        <v>-648548</v>
      </c>
    </row>
    <row r="21" spans="1:12" ht="15.5">
      <c r="A21" s="13">
        <v>210024</v>
      </c>
      <c r="B21" s="13" t="s">
        <v>30</v>
      </c>
      <c r="C21" s="129">
        <f>VLOOKUP(A21,[1]Sheet1!$A$5:$I$61,9,FALSE)</f>
        <v>274240267.41213882</v>
      </c>
      <c r="D21" s="148">
        <f>VLOOKUP(A21,' MHAC Prelim Rev Adj M1'!A$3:F$46,6,FALSE)</f>
        <v>1279788</v>
      </c>
      <c r="E21" s="149">
        <f>VLOOKUP(A21,'RRIP Prelim Rev Adj M1'!A$4:P$47,14,FALSE)</f>
        <v>-904993</v>
      </c>
      <c r="F21" s="149">
        <f>VLOOKUP(A21,'QBR Prelim CURRENT Scale'!A$3:F$43,6,FALSE)</f>
        <v>-713025</v>
      </c>
      <c r="G21" s="149">
        <f t="shared" si="0"/>
        <v>-338230</v>
      </c>
      <c r="H21" s="148">
        <f>VLOOKUP(A21,'MHAC Prelim Rev Adj M2'!$A$3:$F$46,6,FALSE)</f>
        <v>1129225</v>
      </c>
      <c r="I21" s="149">
        <f>VLOOKUP(A21,'RRIP Prelim Rev Adj M2'!$A$4:$N$47,14,FALSE)</f>
        <v>-1700290</v>
      </c>
      <c r="J21" s="149">
        <f>VLOOKUP(A21,'QBR Prelim ADJUSTED Scale'!$A$3:$F$43,6,FALSE)</f>
        <v>411360</v>
      </c>
      <c r="K21" s="149">
        <f t="shared" si="1"/>
        <v>-159705</v>
      </c>
      <c r="L21" s="150">
        <f t="shared" si="2"/>
        <v>178525</v>
      </c>
    </row>
    <row r="22" spans="1:12" ht="31">
      <c r="A22" s="13">
        <v>210027</v>
      </c>
      <c r="B22" s="13" t="s">
        <v>31</v>
      </c>
      <c r="C22" s="129">
        <f>VLOOKUP(A22,[1]Sheet1!$A$5:$I$61,9,FALSE)</f>
        <v>177776317.14814913</v>
      </c>
      <c r="D22" s="148">
        <f>VLOOKUP(A22,' MHAC Prelim Rev Adj M1'!A$3:F$46,6,FALSE)</f>
        <v>-1007399</v>
      </c>
      <c r="E22" s="149">
        <f>VLOOKUP(A22,'RRIP Prelim Rev Adj M1'!A$4:P$47,14,FALSE)</f>
        <v>2239982</v>
      </c>
      <c r="F22" s="149">
        <f>VLOOKUP(A22,'QBR Prelim CURRENT Scale'!A$3:F$43,6,FALSE)</f>
        <v>-2471091</v>
      </c>
      <c r="G22" s="149">
        <f t="shared" si="0"/>
        <v>-1238508</v>
      </c>
      <c r="H22" s="148">
        <f>VLOOKUP(A22,'MHAC Prelim Rev Adj M2'!$A$3:$F$46,6,FALSE)</f>
        <v>-1142848</v>
      </c>
      <c r="I22" s="149">
        <f>VLOOKUP(A22,'RRIP Prelim Rev Adj M2'!$A$4:$N$47,14,FALSE)</f>
        <v>1902207</v>
      </c>
      <c r="J22" s="149">
        <f>VLOOKUP(A22,'QBR Prelim ADJUSTED Scale'!$A$3:$F$43,6,FALSE)</f>
        <v>-2168871</v>
      </c>
      <c r="K22" s="149">
        <f t="shared" si="1"/>
        <v>-1409512</v>
      </c>
      <c r="L22" s="150">
        <f t="shared" si="2"/>
        <v>-171004</v>
      </c>
    </row>
    <row r="23" spans="1:12" ht="15.5">
      <c r="A23" s="13">
        <v>210028</v>
      </c>
      <c r="B23" s="13" t="s">
        <v>32</v>
      </c>
      <c r="C23" s="129">
        <f>VLOOKUP(A23,[1]Sheet1!$A$5:$I$61,9,FALSE)</f>
        <v>91631804.258244663</v>
      </c>
      <c r="D23" s="148">
        <f>VLOOKUP(A23,' MHAC Prelim Rev Adj M1'!A$3:F$46,6,FALSE)</f>
        <v>183264</v>
      </c>
      <c r="E23" s="149">
        <f>VLOOKUP(A23,'RRIP Prelim Rev Adj M1'!A$4:P$47,14,FALSE)</f>
        <v>-503975</v>
      </c>
      <c r="F23" s="149">
        <f>VLOOKUP(A23,'QBR Prelim CURRENT Scale'!A$3:F$43,6,FALSE)</f>
        <v>-18326</v>
      </c>
      <c r="G23" s="149">
        <f t="shared" si="0"/>
        <v>-339037</v>
      </c>
      <c r="H23" s="148">
        <f>VLOOKUP(A23,'MHAC Prelim Rev Adj M2'!$A$3:$F$46,6,FALSE)</f>
        <v>269505</v>
      </c>
      <c r="I23" s="149">
        <f>VLOOKUP(A23,'RRIP Prelim Rev Adj M2'!$A$4:$N$47,14,FALSE)</f>
        <v>-824686</v>
      </c>
      <c r="J23" s="149">
        <f>VLOOKUP(A23,'QBR Prelim ADJUSTED Scale'!$A$3:$F$43,6,FALSE)</f>
        <v>329874</v>
      </c>
      <c r="K23" s="149">
        <f t="shared" si="1"/>
        <v>-225307</v>
      </c>
      <c r="L23" s="150">
        <f t="shared" si="2"/>
        <v>113730</v>
      </c>
    </row>
    <row r="24" spans="1:12" ht="15.5">
      <c r="A24" s="13">
        <v>210029</v>
      </c>
      <c r="B24" s="13" t="s">
        <v>33</v>
      </c>
      <c r="C24" s="129">
        <f>VLOOKUP(A24,[1]Sheet1!$A$5:$I$61,9,FALSE)</f>
        <v>446329672.23355418</v>
      </c>
      <c r="D24" s="148">
        <f>VLOOKUP(A24,' MHAC Prelim Rev Adj M1'!A$3:F$46,6,FALSE)</f>
        <v>-446330</v>
      </c>
      <c r="E24" s="149">
        <f>VLOOKUP(A24,'RRIP Prelim Rev Adj M1'!A$4:P$47,14,FALSE)</f>
        <v>2499446</v>
      </c>
      <c r="F24" s="149">
        <f>VLOOKUP(A24,'QBR Prelim CURRENT Scale'!A$3:F$43,6,FALSE)</f>
        <v>-5132791</v>
      </c>
      <c r="G24" s="149">
        <f t="shared" si="0"/>
        <v>-3079675</v>
      </c>
      <c r="H24" s="148">
        <f>VLOOKUP(A24,'MHAC Prelim Rev Adj M2'!$A$3:$F$46,6,FALSE)</f>
        <v>-478210</v>
      </c>
      <c r="I24" s="149">
        <f>VLOOKUP(A24,'RRIP Prelim Rev Adj M2'!$A$4:$N$47,14,FALSE)</f>
        <v>1829952</v>
      </c>
      <c r="J24" s="149">
        <f>VLOOKUP(A24,'QBR Prelim ADJUSTED Scale'!$A$3:$F$43,6,FALSE)</f>
        <v>-4061600</v>
      </c>
      <c r="K24" s="149">
        <f t="shared" si="1"/>
        <v>-2709858</v>
      </c>
      <c r="L24" s="150">
        <f t="shared" si="2"/>
        <v>369817</v>
      </c>
    </row>
    <row r="25" spans="1:12" ht="15.5">
      <c r="A25" s="13">
        <v>210030</v>
      </c>
      <c r="B25" s="13" t="s">
        <v>34</v>
      </c>
      <c r="C25" s="129">
        <f>VLOOKUP(A25,[1]Sheet1!$A$5:$I$61,9,FALSE)</f>
        <v>12799737.023223758</v>
      </c>
      <c r="D25" s="148">
        <f>VLOOKUP(A25,' MHAC Prelim Rev Adj M1'!A$3:F$46,6,FALSE)</f>
        <v>255995</v>
      </c>
      <c r="E25" s="149">
        <f>VLOOKUP(A25,'RRIP Prelim Rev Adj M1'!A$4:P$47,14,FALSE)</f>
        <v>255995</v>
      </c>
      <c r="F25" s="149" t="e">
        <f>VLOOKUP(A25,'QBR Prelim CURRENT Scale'!A$3:F$43,6,FALSE)</f>
        <v>#N/A</v>
      </c>
      <c r="G25" s="149">
        <f t="shared" si="0"/>
        <v>511990</v>
      </c>
      <c r="H25" s="148">
        <f>VLOOKUP(A25,'MHAC Prelim Rev Adj M2'!$A$3:$F$46,6,FALSE)</f>
        <v>255995</v>
      </c>
      <c r="I25" s="149">
        <f>VLOOKUP(A25,'RRIP Prelim Rev Adj M2'!$A$4:$N$47,14,FALSE)</f>
        <v>255995</v>
      </c>
      <c r="J25" s="149" t="e">
        <f>VLOOKUP(A25,'QBR Prelim ADJUSTED Scale'!$A$3:$F$43,6,FALSE)</f>
        <v>#N/A</v>
      </c>
      <c r="K25" s="149">
        <f t="shared" si="1"/>
        <v>511990</v>
      </c>
      <c r="L25" s="150">
        <f t="shared" si="2"/>
        <v>0</v>
      </c>
    </row>
    <row r="26" spans="1:12" ht="31">
      <c r="A26" s="13">
        <v>210032</v>
      </c>
      <c r="B26" s="13" t="s">
        <v>35</v>
      </c>
      <c r="C26" s="129">
        <f>VLOOKUP(A26,[1]Sheet1!$A$5:$I$61,9,FALSE)</f>
        <v>74867815.898296461</v>
      </c>
      <c r="D26" s="148">
        <f>VLOOKUP(A26,' MHAC Prelim Rev Adj M1'!A$3:F$46,6,FALSE)</f>
        <v>698766</v>
      </c>
      <c r="E26" s="149">
        <f>VLOOKUP(A26,'RRIP Prelim Rev Adj M1'!A$4:P$47,14,FALSE)</f>
        <v>202143</v>
      </c>
      <c r="F26" s="149">
        <f>VLOOKUP(A26,'QBR Prelim CURRENT Scale'!A$3:F$43,6,FALSE)</f>
        <v>-389313</v>
      </c>
      <c r="G26" s="149">
        <f t="shared" si="0"/>
        <v>511596</v>
      </c>
      <c r="H26" s="148">
        <f>VLOOKUP(A26,'MHAC Prelim Rev Adj M2'!$A$3:$F$46,6,FALSE)</f>
        <v>484439</v>
      </c>
      <c r="I26" s="149">
        <f>VLOOKUP(A26,'RRIP Prelim Rev Adj M2'!$A$4:$N$47,14,FALSE)</f>
        <v>-127275</v>
      </c>
      <c r="J26" s="149">
        <f>VLOOKUP(A26,'QBR Prelim ADJUSTED Scale'!$A$3:$F$43,6,FALSE)</f>
        <v>-82355</v>
      </c>
      <c r="K26" s="149">
        <f t="shared" si="1"/>
        <v>274809</v>
      </c>
      <c r="L26" s="150">
        <f t="shared" si="2"/>
        <v>-236787</v>
      </c>
    </row>
    <row r="27" spans="1:12" ht="15.5">
      <c r="A27" s="13">
        <v>210033</v>
      </c>
      <c r="B27" s="13" t="s">
        <v>36</v>
      </c>
      <c r="C27" s="129">
        <f>VLOOKUP(A27,[1]Sheet1!$A$5:$I$61,9,FALSE)</f>
        <v>146579134.30840614</v>
      </c>
      <c r="D27" s="148">
        <f>VLOOKUP(A27,' MHAC Prelim Rev Adj M1'!A$3:F$46,6,FALSE)</f>
        <v>1074914</v>
      </c>
      <c r="E27" s="149">
        <f>VLOOKUP(A27,'RRIP Prelim Rev Adj M1'!A$4:P$47,14,FALSE)</f>
        <v>2257319</v>
      </c>
      <c r="F27" s="149">
        <f>VLOOKUP(A27,'QBR Prelim CURRENT Scale'!A$3:F$43,6,FALSE)</f>
        <v>-1319212</v>
      </c>
      <c r="G27" s="149">
        <f t="shared" si="0"/>
        <v>2013021</v>
      </c>
      <c r="H27" s="148">
        <f>VLOOKUP(A27,'MHAC Prelim Rev Adj M2'!$A$3:$F$46,6,FALSE)</f>
        <v>1120899</v>
      </c>
      <c r="I27" s="149">
        <f>VLOOKUP(A27,'RRIP Prelim Rev Adj M2'!$A$4:$N$47,14,FALSE)</f>
        <v>1788265</v>
      </c>
      <c r="J27" s="149">
        <f>VLOOKUP(A27,'QBR Prelim ADJUSTED Scale'!$A$3:$F$43,6,FALSE)</f>
        <v>-864817</v>
      </c>
      <c r="K27" s="149">
        <f t="shared" si="1"/>
        <v>2044347</v>
      </c>
      <c r="L27" s="150">
        <f t="shared" si="2"/>
        <v>31326</v>
      </c>
    </row>
    <row r="28" spans="1:12" ht="15.5">
      <c r="A28" s="13">
        <v>210034</v>
      </c>
      <c r="B28" s="13" t="s">
        <v>37</v>
      </c>
      <c r="C28" s="129">
        <f>VLOOKUP(A28,[1]Sheet1!$A$5:$I$61,9,FALSE)</f>
        <v>130460757.98273204</v>
      </c>
      <c r="D28" s="148">
        <f>VLOOKUP(A28,' MHAC Prelim Rev Adj M1'!A$3:F$46,6,FALSE)</f>
        <v>-217435</v>
      </c>
      <c r="E28" s="149">
        <f>VLOOKUP(A28,'RRIP Prelim Rev Adj M1'!A$4:P$47,14,FALSE)</f>
        <v>704488</v>
      </c>
      <c r="F28" s="149">
        <f>VLOOKUP(A28,'QBR Prelim CURRENT Scale'!A$3:F$43,6,FALSE)</f>
        <v>-1852543</v>
      </c>
      <c r="G28" s="149">
        <f t="shared" si="0"/>
        <v>-1365490</v>
      </c>
      <c r="H28" s="148">
        <f>VLOOKUP(A28,'MHAC Prelim Rev Adj M2'!$A$3:$F$46,6,FALSE)</f>
        <v>0</v>
      </c>
      <c r="I28" s="149">
        <f>VLOOKUP(A28,'RRIP Prelim Rev Adj M2'!$A$4:$N$47,14,FALSE)</f>
        <v>339198</v>
      </c>
      <c r="J28" s="149">
        <f>VLOOKUP(A28,'QBR Prelim ADJUSTED Scale'!$A$3:$F$43,6,FALSE)</f>
        <v>-1643806</v>
      </c>
      <c r="K28" s="149">
        <f t="shared" si="1"/>
        <v>-1304608</v>
      </c>
      <c r="L28" s="150">
        <f t="shared" si="2"/>
        <v>60882</v>
      </c>
    </row>
    <row r="29" spans="1:12" ht="15.5">
      <c r="A29" s="13">
        <v>210035</v>
      </c>
      <c r="B29" s="13" t="s">
        <v>38</v>
      </c>
      <c r="C29" s="129">
        <f>VLOOKUP(A29,[1]Sheet1!$A$5:$I$61,9,FALSE)</f>
        <v>95179409.927647993</v>
      </c>
      <c r="D29" s="148">
        <f>VLOOKUP(A29,' MHAC Prelim Rev Adj M1'!A$3:F$46,6,FALSE)</f>
        <v>0</v>
      </c>
      <c r="E29" s="149">
        <f>VLOOKUP(A29,'RRIP Prelim Rev Adj M1'!A$4:P$47,14,FALSE)</f>
        <v>437825</v>
      </c>
      <c r="F29" s="149">
        <f>VLOOKUP(A29,'QBR Prelim CURRENT Scale'!A$3:F$43,6,FALSE)</f>
        <v>-894686</v>
      </c>
      <c r="G29" s="149">
        <f t="shared" si="0"/>
        <v>-456861</v>
      </c>
      <c r="H29" s="148">
        <f>VLOOKUP(A29,'MHAC Prelim Rev Adj M2'!$A$3:$F$46,6,FALSE)</f>
        <v>55988</v>
      </c>
      <c r="I29" s="149">
        <f>VLOOKUP(A29,'RRIP Prelim Rev Adj M2'!$A$4:$N$47,14,FALSE)</f>
        <v>152287</v>
      </c>
      <c r="J29" s="149">
        <f>VLOOKUP(A29,'QBR Prelim ADJUSTED Scale'!$A$3:$F$43,6,FALSE)</f>
        <v>-609148</v>
      </c>
      <c r="K29" s="149">
        <f t="shared" si="1"/>
        <v>-400873</v>
      </c>
      <c r="L29" s="150">
        <f t="shared" si="2"/>
        <v>55988</v>
      </c>
    </row>
    <row r="30" spans="1:12" ht="15.5">
      <c r="A30" s="13">
        <v>210037</v>
      </c>
      <c r="B30" s="13" t="s">
        <v>39</v>
      </c>
      <c r="C30" s="129">
        <f>VLOOKUP(A30,[1]Sheet1!$A$5:$I$61,9,FALSE)</f>
        <v>117255633.45625928</v>
      </c>
      <c r="D30" s="148">
        <f>VLOOKUP(A30,' MHAC Prelim Rev Adj M1'!A$3:F$46,6,FALSE)</f>
        <v>703534</v>
      </c>
      <c r="E30" s="149">
        <f>VLOOKUP(A30,'RRIP Prelim Rev Adj M1'!A$4:P$47,14,FALSE)</f>
        <v>1688481</v>
      </c>
      <c r="F30" s="149">
        <f>VLOOKUP(A30,'QBR Prelim CURRENT Scale'!A$3:F$43,6,FALSE)</f>
        <v>-855966</v>
      </c>
      <c r="G30" s="149">
        <f t="shared" si="0"/>
        <v>1536049</v>
      </c>
      <c r="H30" s="148">
        <f>VLOOKUP(A30,'MHAC Prelim Rev Adj M2'!$A$3:$F$46,6,FALSE)</f>
        <v>275896</v>
      </c>
      <c r="I30" s="149">
        <f>VLOOKUP(A30,'RRIP Prelim Rev Adj M2'!$A$4:$N$47,14,FALSE)</f>
        <v>2345113</v>
      </c>
      <c r="J30" s="149">
        <f>VLOOKUP(A30,'QBR Prelim ADJUSTED Scale'!$A$3:$F$43,6,FALSE)</f>
        <v>-433846</v>
      </c>
      <c r="K30" s="149">
        <f t="shared" si="1"/>
        <v>2187163</v>
      </c>
      <c r="L30" s="150">
        <f t="shared" si="2"/>
        <v>651114</v>
      </c>
    </row>
    <row r="31" spans="1:12" ht="15.5">
      <c r="A31" s="13">
        <v>210038</v>
      </c>
      <c r="B31" s="13" t="s">
        <v>40</v>
      </c>
      <c r="C31" s="129">
        <f>VLOOKUP(A31,[1]Sheet1!$A$5:$I$61,9,FALSE)</f>
        <v>128795219.33140594</v>
      </c>
      <c r="D31" s="148">
        <f>VLOOKUP(A31,' MHAC Prelim Rev Adj M1'!A$3:F$46,6,FALSE)</f>
        <v>-85863</v>
      </c>
      <c r="E31" s="149">
        <f>VLOOKUP(A31,'RRIP Prelim Rev Adj M1'!A$4:P$47,14,FALSE)</f>
        <v>2009205</v>
      </c>
      <c r="F31" s="149">
        <f>VLOOKUP(A31,'QBR Prelim CURRENT Scale'!A$3:F$43,6,FALSE)</f>
        <v>-1700097</v>
      </c>
      <c r="G31" s="149">
        <f t="shared" si="0"/>
        <v>223245</v>
      </c>
      <c r="H31" s="148">
        <f>VLOOKUP(A31,'MHAC Prelim Rev Adj M2'!$A$3:$F$46,6,FALSE)</f>
        <v>0</v>
      </c>
      <c r="I31" s="149">
        <f>VLOOKUP(A31,'RRIP Prelim Rev Adj M2'!$A$4:$N$47,14,FALSE)</f>
        <v>1816013</v>
      </c>
      <c r="J31" s="149">
        <f>VLOOKUP(A31,'QBR Prelim ADJUSTED Scale'!$A$3:$F$43,6,FALSE)</f>
        <v>-1455386</v>
      </c>
      <c r="K31" s="149">
        <f t="shared" si="1"/>
        <v>360627</v>
      </c>
      <c r="L31" s="150">
        <f t="shared" si="2"/>
        <v>137382</v>
      </c>
    </row>
    <row r="32" spans="1:12" ht="15.5">
      <c r="A32" s="13">
        <v>210039</v>
      </c>
      <c r="B32" s="13" t="s">
        <v>41</v>
      </c>
      <c r="C32" s="129">
        <f>VLOOKUP(A32,[1]Sheet1!$A$5:$I$61,9,FALSE)</f>
        <v>82050333.022346303</v>
      </c>
      <c r="D32" s="148">
        <f>VLOOKUP(A32,' MHAC Prelim Rev Adj M1'!A$3:F$46,6,FALSE)</f>
        <v>-410252</v>
      </c>
      <c r="E32" s="149">
        <f>VLOOKUP(A32,'RRIP Prelim Rev Adj M1'!A$4:P$47,14,FALSE)</f>
        <v>-147691</v>
      </c>
      <c r="F32" s="149">
        <f>VLOOKUP(A32,'QBR Prelim CURRENT Scale'!A$3:F$43,6,FALSE)</f>
        <v>-270766</v>
      </c>
      <c r="G32" s="149">
        <f t="shared" si="0"/>
        <v>-828709</v>
      </c>
      <c r="H32" s="148">
        <f>VLOOKUP(A32,'MHAC Prelim Rev Adj M2'!$A$3:$F$46,6,FALSE)</f>
        <v>-468859</v>
      </c>
      <c r="I32" s="149">
        <f>VLOOKUP(A32,'RRIP Prelim Rev Adj M2'!$A$4:$N$47,14,FALSE)</f>
        <v>-525122</v>
      </c>
      <c r="J32" s="149">
        <f>VLOOKUP(A32,'QBR Prelim ADJUSTED Scale'!$A$3:$F$43,6,FALSE)</f>
        <v>73845</v>
      </c>
      <c r="K32" s="149">
        <f t="shared" si="1"/>
        <v>-920136</v>
      </c>
      <c r="L32" s="150">
        <f t="shared" si="2"/>
        <v>-91427</v>
      </c>
    </row>
    <row r="33" spans="1:12" ht="15.5">
      <c r="A33" s="13">
        <v>210040</v>
      </c>
      <c r="B33" s="13" t="s">
        <v>42</v>
      </c>
      <c r="C33" s="129">
        <f>VLOOKUP(A33,[1]Sheet1!$A$5:$I$61,9,FALSE)</f>
        <v>151174669.60064766</v>
      </c>
      <c r="D33" s="148">
        <f>VLOOKUP(A33,' MHAC Prelim Rev Adj M1'!A$3:F$46,6,FALSE)</f>
        <v>1108614</v>
      </c>
      <c r="E33" s="149">
        <f>VLOOKUP(A33,'RRIP Prelim Rev Adj M1'!A$4:P$47,14,FALSE)</f>
        <v>680286</v>
      </c>
      <c r="F33" s="149">
        <f>VLOOKUP(A33,'QBR Prelim CURRENT Scale'!A$3:F$43,6,FALSE)</f>
        <v>-2146680</v>
      </c>
      <c r="G33" s="149">
        <f t="shared" si="0"/>
        <v>-357780</v>
      </c>
      <c r="H33" s="148">
        <f>VLOOKUP(A33,'MHAC Prelim Rev Adj M2'!$A$3:$F$46,6,FALSE)</f>
        <v>711410</v>
      </c>
      <c r="I33" s="149">
        <f>VLOOKUP(A33,'RRIP Prelim Rev Adj M2'!$A$4:$N$47,14,FALSE)</f>
        <v>30235</v>
      </c>
      <c r="J33" s="149">
        <f>VLOOKUP(A33,'QBR Prelim ADJUSTED Scale'!$A$3:$F$43,6,FALSE)</f>
        <v>-1904801</v>
      </c>
      <c r="K33" s="149">
        <f t="shared" si="1"/>
        <v>-1163156</v>
      </c>
      <c r="L33" s="150">
        <f t="shared" si="2"/>
        <v>-805376</v>
      </c>
    </row>
    <row r="34" spans="1:12" ht="31">
      <c r="A34" s="13">
        <v>210043</v>
      </c>
      <c r="B34" s="13" t="s">
        <v>72</v>
      </c>
      <c r="C34" s="129">
        <f>VLOOKUP(A34,[1]Sheet1!$A$5:$I$61,9,FALSE)</f>
        <v>310629291.55806202</v>
      </c>
      <c r="D34" s="148">
        <f>VLOOKUP(A34,' MHAC Prelim Rev Adj M1'!A$3:F$46,6,FALSE)</f>
        <v>2070862</v>
      </c>
      <c r="E34" s="149">
        <f>VLOOKUP(A34,'RRIP Prelim Rev Adj M1'!A$4:P$47,14,FALSE)</f>
        <v>1335706</v>
      </c>
      <c r="F34" s="149">
        <f>VLOOKUP(A34,'QBR Prelim CURRENT Scale'!A$3:F$43,6,FALSE)</f>
        <v>-2733538</v>
      </c>
      <c r="G34" s="149">
        <f t="shared" si="0"/>
        <v>673030</v>
      </c>
      <c r="H34" s="148">
        <f>VLOOKUP(A34,'MHAC Prelim Rev Adj M2'!$A$3:$F$46,6,FALSE)</f>
        <v>1644508</v>
      </c>
      <c r="I34" s="149">
        <f>VLOOKUP(A34,'RRIP Prelim Rev Adj M2'!$A$4:$N$47,14,FALSE)</f>
        <v>559133</v>
      </c>
      <c r="J34" s="149">
        <f>VLOOKUP(A34,'QBR Prelim ADJUSTED Scale'!$A$3:$F$43,6,FALSE)</f>
        <v>-1739524</v>
      </c>
      <c r="K34" s="149">
        <f t="shared" si="1"/>
        <v>464117</v>
      </c>
      <c r="L34" s="150">
        <f t="shared" si="2"/>
        <v>-208913</v>
      </c>
    </row>
    <row r="35" spans="1:12" ht="15.5">
      <c r="A35" s="13">
        <v>210044</v>
      </c>
      <c r="B35" s="13" t="s">
        <v>44</v>
      </c>
      <c r="C35" s="129">
        <f>VLOOKUP(A35,[1]Sheet1!$A$5:$I$61,9,FALSE)</f>
        <v>234417802.74342716</v>
      </c>
      <c r="D35" s="148">
        <f>VLOOKUP(A35,' MHAC Prelim Rev Adj M1'!A$3:F$46,6,FALSE)</f>
        <v>-312557</v>
      </c>
      <c r="E35" s="149">
        <f>VLOOKUP(A35,'RRIP Prelim Rev Adj M1'!A$4:P$47,14,FALSE)</f>
        <v>1711250</v>
      </c>
      <c r="F35" s="149">
        <f>VLOOKUP(A35,'QBR Prelim CURRENT Scale'!A$3:F$43,6,FALSE)</f>
        <v>-843904</v>
      </c>
      <c r="G35" s="149">
        <f t="shared" si="0"/>
        <v>554789</v>
      </c>
      <c r="H35" s="148">
        <f>VLOOKUP(A35,'MHAC Prelim Rev Adj M2'!$A$3:$F$46,6,FALSE)</f>
        <v>-418603</v>
      </c>
      <c r="I35" s="149">
        <f>VLOOKUP(A35,'RRIP Prelim Rev Adj M2'!$A$4:$N$47,14,FALSE)</f>
        <v>2086318</v>
      </c>
      <c r="J35" s="149">
        <f>VLOOKUP(A35,'QBR Prelim ADJUSTED Scale'!$A$3:$F$43,6,FALSE)</f>
        <v>140651</v>
      </c>
      <c r="K35" s="149">
        <f t="shared" si="1"/>
        <v>1808366</v>
      </c>
      <c r="L35" s="150">
        <f t="shared" si="2"/>
        <v>1253577</v>
      </c>
    </row>
    <row r="36" spans="1:12" ht="15.5">
      <c r="A36" s="13">
        <v>210048</v>
      </c>
      <c r="B36" s="13" t="s">
        <v>45</v>
      </c>
      <c r="C36" s="129">
        <f>VLOOKUP(A36,[1]Sheet1!$A$5:$I$61,9,FALSE)</f>
        <v>211409027.60942188</v>
      </c>
      <c r="D36" s="148">
        <f>VLOOKUP(A36,' MHAC Prelim Rev Adj M1'!A$3:F$46,6,FALSE)</f>
        <v>-563757</v>
      </c>
      <c r="E36" s="149">
        <f>VLOOKUP(A36,'RRIP Prelim Rev Adj M1'!A$4:P$47,14,FALSE)</f>
        <v>718791</v>
      </c>
      <c r="F36" s="149">
        <f>VLOOKUP(A36,'QBR Prelim CURRENT Scale'!A$3:F$43,6,FALSE)</f>
        <v>-1818118</v>
      </c>
      <c r="G36" s="149">
        <f t="shared" si="0"/>
        <v>-1663084</v>
      </c>
      <c r="H36" s="148">
        <f>VLOOKUP(A36,'MHAC Prelim Rev Adj M2'!$A$3:$F$46,6,FALSE)</f>
        <v>-1208052</v>
      </c>
      <c r="I36" s="149">
        <f>VLOOKUP(A36,'RRIP Prelim Rev Adj M2'!$A$4:$N$47,14,FALSE)</f>
        <v>21141</v>
      </c>
      <c r="J36" s="149">
        <f>VLOOKUP(A36,'QBR Prelim ADJUSTED Scale'!$A$3:$F$43,6,FALSE)</f>
        <v>-1162750</v>
      </c>
      <c r="K36" s="149">
        <f t="shared" si="1"/>
        <v>-2349661</v>
      </c>
      <c r="L36" s="150">
        <f t="shared" si="2"/>
        <v>-686577</v>
      </c>
    </row>
    <row r="37" spans="1:12" ht="15.5">
      <c r="A37" s="13">
        <v>210049</v>
      </c>
      <c r="B37" s="13" t="s">
        <v>46</v>
      </c>
      <c r="C37" s="129">
        <f>VLOOKUP(A37,[1]Sheet1!$A$5:$I$61,9,FALSE)</f>
        <v>189719193.58650389</v>
      </c>
      <c r="D37" s="148">
        <f>VLOOKUP(A37,' MHAC Prelim Rev Adj M1'!A$3:F$46,6,FALSE)</f>
        <v>-379438</v>
      </c>
      <c r="E37" s="149">
        <f>VLOOKUP(A37,'RRIP Prelim Rev Adj M1'!A$4:P$47,14,FALSE)</f>
        <v>-37944</v>
      </c>
      <c r="F37" s="149">
        <f>VLOOKUP(A37,'QBR Prelim CURRENT Scale'!A$3:F$43,6,FALSE)</f>
        <v>-1365978</v>
      </c>
      <c r="G37" s="149">
        <f t="shared" si="0"/>
        <v>-1783360</v>
      </c>
      <c r="H37" s="148">
        <f>VLOOKUP(A37,'MHAC Prelim Rev Adj M2'!$A$3:$F$46,6,FALSE)</f>
        <v>-542055</v>
      </c>
      <c r="I37" s="149">
        <f>VLOOKUP(A37,'RRIP Prelim Rev Adj M2'!$A$4:$N$47,14,FALSE)</f>
        <v>-682989</v>
      </c>
      <c r="J37" s="149">
        <f>VLOOKUP(A37,'QBR Prelim ADJUSTED Scale'!$A$3:$F$43,6,FALSE)</f>
        <v>-682989</v>
      </c>
      <c r="K37" s="149">
        <f t="shared" si="1"/>
        <v>-1908033</v>
      </c>
      <c r="L37" s="150">
        <f t="shared" si="2"/>
        <v>-124673</v>
      </c>
    </row>
    <row r="38" spans="1:12" ht="15.5">
      <c r="A38" s="13">
        <v>210051</v>
      </c>
      <c r="B38" s="13" t="s">
        <v>47</v>
      </c>
      <c r="C38" s="129">
        <f>VLOOKUP(A38,[1]Sheet1!$A$5:$I$61,9,FALSE)</f>
        <v>180962137.96314165</v>
      </c>
      <c r="D38" s="148">
        <f>VLOOKUP(A38,' MHAC Prelim Rev Adj M1'!A$3:F$46,6,FALSE)</f>
        <v>1206414</v>
      </c>
      <c r="E38" s="149">
        <f>VLOOKUP(A38,'RRIP Prelim Rev Adj M1'!A$4:P$47,14,FALSE)</f>
        <v>1520082</v>
      </c>
      <c r="F38" s="149">
        <f>VLOOKUP(A38,'QBR Prelim CURRENT Scale'!A$3:F$43,6,FALSE)</f>
        <v>-2117257</v>
      </c>
      <c r="G38" s="149">
        <f t="shared" si="0"/>
        <v>609239</v>
      </c>
      <c r="H38" s="148">
        <f>VLOOKUP(A38,'MHAC Prelim Rev Adj M2'!$A$3:$F$46,6,FALSE)</f>
        <v>1170931</v>
      </c>
      <c r="I38" s="149">
        <f>VLOOKUP(A38,'RRIP Prelim Rev Adj M2'!$A$4:$N$47,14,FALSE)</f>
        <v>705752</v>
      </c>
      <c r="J38" s="149">
        <f>VLOOKUP(A38,'QBR Prelim ADJUSTED Scale'!$A$3:$F$43,6,FALSE)</f>
        <v>-1701044</v>
      </c>
      <c r="K38" s="149">
        <f t="shared" si="1"/>
        <v>175639</v>
      </c>
      <c r="L38" s="150">
        <f t="shared" si="2"/>
        <v>-433600</v>
      </c>
    </row>
    <row r="39" spans="1:12" ht="15.5">
      <c r="A39" s="13">
        <v>210056</v>
      </c>
      <c r="B39" s="13" t="s">
        <v>118</v>
      </c>
      <c r="C39" s="129">
        <f>VLOOKUP(A39,[1]Sheet1!$A$5:$I$61,9,FALSE)</f>
        <v>185901046.41531754</v>
      </c>
      <c r="D39" s="148">
        <f>VLOOKUP(A39,' MHAC Prelim Rev Adj M1'!A$3:F$46,6,FALSE)</f>
        <v>1239340</v>
      </c>
      <c r="E39" s="149">
        <f>VLOOKUP(A39,'RRIP Prelim Rev Adj M1'!A$4:P$47,14,FALSE)</f>
        <v>2044912</v>
      </c>
      <c r="F39" s="149">
        <f>VLOOKUP(A39,'QBR Prelim CURRENT Scale'!A$3:F$43,6,FALSE)</f>
        <v>-1598749</v>
      </c>
      <c r="G39" s="149">
        <f t="shared" si="0"/>
        <v>1685503</v>
      </c>
      <c r="H39" s="148">
        <f>VLOOKUP(A39,'MHAC Prelim Rev Adj M2'!$A$3:$F$46,6,FALSE)</f>
        <v>1202889</v>
      </c>
      <c r="I39" s="149">
        <f>VLOOKUP(A39,'RRIP Prelim Rev Adj M2'!$A$4:$N$47,14,FALSE)</f>
        <v>1357078</v>
      </c>
      <c r="J39" s="149">
        <f>VLOOKUP(A39,'QBR Prelim ADJUSTED Scale'!$A$3:$F$43,6,FALSE)</f>
        <v>-1003866</v>
      </c>
      <c r="K39" s="149">
        <f t="shared" si="1"/>
        <v>1556101</v>
      </c>
      <c r="L39" s="150">
        <f t="shared" si="2"/>
        <v>-129402</v>
      </c>
    </row>
    <row r="40" spans="1:12" ht="15.5">
      <c r="A40" s="13">
        <v>210057</v>
      </c>
      <c r="B40" s="13" t="s">
        <v>119</v>
      </c>
      <c r="C40" s="129">
        <f>VLOOKUP(A40,[1]Sheet1!$A$5:$I$61,9,FALSE)</f>
        <v>317446406.37621063</v>
      </c>
      <c r="D40" s="148">
        <f>VLOOKUP(A40,' MHAC Prelim Rev Adj M1'!A$3:F$46,6,FALSE)</f>
        <v>0</v>
      </c>
      <c r="E40" s="149">
        <f>VLOOKUP(A40,'RRIP Prelim Rev Adj M1'!A$4:P$47,14,FALSE)</f>
        <v>95234</v>
      </c>
      <c r="F40" s="149">
        <f>VLOOKUP(A40,'QBR Prelim CURRENT Scale'!A$3:F$43,6,FALSE)</f>
        <v>-4666462</v>
      </c>
      <c r="G40" s="149">
        <f t="shared" si="0"/>
        <v>-4571228</v>
      </c>
      <c r="H40" s="148">
        <f>VLOOKUP(A40,'MHAC Prelim Rev Adj M2'!$A$3:$F$46,6,FALSE)</f>
        <v>0</v>
      </c>
      <c r="I40" s="149">
        <f>VLOOKUP(A40,'RRIP Prelim Rev Adj M2'!$A$4:$N$47,14,FALSE)</f>
        <v>-317446</v>
      </c>
      <c r="J40" s="149">
        <f>VLOOKUP(A40,'QBR Prelim ADJUSTED Scale'!$A$3:$F$43,6,FALSE)</f>
        <v>-4222037</v>
      </c>
      <c r="K40" s="149">
        <f t="shared" si="1"/>
        <v>-4539483</v>
      </c>
      <c r="L40" s="150">
        <f t="shared" si="2"/>
        <v>31745</v>
      </c>
    </row>
    <row r="41" spans="1:12" ht="15.5">
      <c r="A41" s="13">
        <v>210058</v>
      </c>
      <c r="B41" s="13" t="s">
        <v>120</v>
      </c>
      <c r="C41" s="129">
        <f>VLOOKUP(A41,[1]Sheet1!$A$5:$I$61,9,FALSE)</f>
        <v>76544370.742892802</v>
      </c>
      <c r="D41" s="148">
        <f>VLOOKUP(A41,' MHAC Prelim Rev Adj M1'!A$3:F$46,6,FALSE)</f>
        <v>1428828</v>
      </c>
      <c r="E41" s="149">
        <f>VLOOKUP(A41,'RRIP Prelim Rev Adj M1'!A$4:P$47,14,FALSE)</f>
        <v>1217055</v>
      </c>
      <c r="F41" s="149" t="e">
        <f>VLOOKUP(A41,'QBR Prelim CURRENT Scale'!A$3:F$43,6,FALSE)</f>
        <v>#N/A</v>
      </c>
      <c r="G41" s="149">
        <f t="shared" si="0"/>
        <v>2645883</v>
      </c>
      <c r="H41" s="148">
        <f>VLOOKUP(A41,'MHAC Prelim Rev Adj M2'!$A$3:$F$46,6,FALSE)</f>
        <v>1395809</v>
      </c>
      <c r="I41" s="149">
        <f>VLOOKUP(A41,'RRIP Prelim Rev Adj M2'!$A$4:$N$47,14,FALSE)</f>
        <v>-168398</v>
      </c>
      <c r="J41" s="149" t="e">
        <f>VLOOKUP(A41,'QBR Prelim ADJUSTED Scale'!$A$3:$F$43,6,FALSE)</f>
        <v>#N/A</v>
      </c>
      <c r="K41" s="149">
        <f t="shared" si="1"/>
        <v>1227411</v>
      </c>
      <c r="L41" s="150">
        <f t="shared" si="2"/>
        <v>-1418472</v>
      </c>
    </row>
    <row r="42" spans="1:12" ht="15.5">
      <c r="A42" s="13">
        <v>210060</v>
      </c>
      <c r="B42" s="13" t="s">
        <v>48</v>
      </c>
      <c r="C42" s="129">
        <f>VLOOKUP(A42,[1]Sheet1!$A$5:$I$61,9,FALSE)</f>
        <v>29662990.1900758</v>
      </c>
      <c r="D42" s="148">
        <f>VLOOKUP(A42,' MHAC Prelim Rev Adj M1'!A$3:F$46,6,FALSE)</f>
        <v>355956</v>
      </c>
      <c r="E42" s="149">
        <f>VLOOKUP(A42,'RRIP Prelim Rev Adj M1'!A$4:P$47,14,FALSE)</f>
        <v>-234338</v>
      </c>
      <c r="F42" s="149">
        <f>VLOOKUP(A42,'QBR Prelim CURRENT Scale'!A$3:F$43,6,FALSE)</f>
        <v>-441979</v>
      </c>
      <c r="G42" s="149">
        <f t="shared" si="0"/>
        <v>-320361</v>
      </c>
      <c r="H42" s="148">
        <f>VLOOKUP(A42,'MHAC Prelim Rev Adj M2'!$A$3:$F$46,6,FALSE)</f>
        <v>244283</v>
      </c>
      <c r="I42" s="149">
        <f>VLOOKUP(A42,'RRIP Prelim Rev Adj M2'!$A$4:$N$47,14,FALSE)</f>
        <v>-572496</v>
      </c>
      <c r="J42" s="149">
        <f>VLOOKUP(A42,'QBR Prelim ADJUSTED Scale'!$A$3:$F$43,6,FALSE)</f>
        <v>-397484</v>
      </c>
      <c r="K42" s="149">
        <f t="shared" si="1"/>
        <v>-725697</v>
      </c>
      <c r="L42" s="150">
        <f t="shared" si="2"/>
        <v>-405336</v>
      </c>
    </row>
    <row r="43" spans="1:12" ht="15.5">
      <c r="A43" s="13">
        <v>210061</v>
      </c>
      <c r="B43" s="13" t="s">
        <v>49</v>
      </c>
      <c r="C43" s="129">
        <f>VLOOKUP(A43,[1]Sheet1!$A$5:$I$61,9,FALSE)</f>
        <v>44449448.916606866</v>
      </c>
      <c r="D43" s="148">
        <f>VLOOKUP(A43,' MHAC Prelim Rev Adj M1'!A$3:F$46,6,FALSE)</f>
        <v>-444494</v>
      </c>
      <c r="E43" s="149">
        <f>VLOOKUP(A43,'RRIP Prelim Rev Adj M1'!A$4:P$47,14,FALSE)</f>
        <v>177798</v>
      </c>
      <c r="F43" s="149">
        <f>VLOOKUP(A43,'QBR Prelim CURRENT Scale'!A$3:F$43,6,FALSE)</f>
        <v>-484499</v>
      </c>
      <c r="G43" s="149">
        <f t="shared" si="0"/>
        <v>-751195</v>
      </c>
      <c r="H43" s="148">
        <f>VLOOKUP(A43,'MHAC Prelim Rev Adj M2'!$A$3:$F$46,6,FALSE)</f>
        <v>-476244</v>
      </c>
      <c r="I43" s="149">
        <f>VLOOKUP(A43,'RRIP Prelim Rev Adj M2'!$A$4:$N$47,14,FALSE)</f>
        <v>0</v>
      </c>
      <c r="J43" s="149">
        <f>VLOOKUP(A43,'QBR Prelim ADJUSTED Scale'!$A$3:$F$43,6,FALSE)</f>
        <v>-373375</v>
      </c>
      <c r="K43" s="149">
        <f t="shared" si="1"/>
        <v>-849619</v>
      </c>
      <c r="L43" s="150">
        <f t="shared" si="2"/>
        <v>-98424</v>
      </c>
    </row>
    <row r="44" spans="1:12" ht="15.5">
      <c r="A44" s="13">
        <v>210062</v>
      </c>
      <c r="B44" s="13" t="s">
        <v>50</v>
      </c>
      <c r="C44" s="129">
        <f>VLOOKUP(A44,[1]Sheet1!$A$5:$I$61,9,FALSE)</f>
        <v>189090938.60508713</v>
      </c>
      <c r="D44" s="148">
        <f>VLOOKUP(A44,' MHAC Prelim Rev Adj M1'!A$3:F$46,6,FALSE)</f>
        <v>3025455</v>
      </c>
      <c r="E44" s="149">
        <f>VLOOKUP(A44,'RRIP Prelim Rev Adj M1'!A$4:P$47,14,FALSE)</f>
        <v>567273</v>
      </c>
      <c r="F44" s="149">
        <f>VLOOKUP(A44,'QBR Prelim CURRENT Scale'!A$3:F$43,6,FALSE)</f>
        <v>-1437091</v>
      </c>
      <c r="G44" s="149">
        <f t="shared" si="0"/>
        <v>2155637</v>
      </c>
      <c r="H44" s="148">
        <f>VLOOKUP(A44,'MHAC Prelim Rev Adj M2'!$A$3:$F$46,6,FALSE)</f>
        <v>2669519</v>
      </c>
      <c r="I44" s="149">
        <f>VLOOKUP(A44,'RRIP Prelim Rev Adj M2'!$A$4:$N$47,14,FALSE)</f>
        <v>56727</v>
      </c>
      <c r="J44" s="149">
        <f>VLOOKUP(A44,'QBR Prelim ADJUSTED Scale'!$A$3:$F$43,6,FALSE)</f>
        <v>-794182</v>
      </c>
      <c r="K44" s="149">
        <f t="shared" si="1"/>
        <v>1932064</v>
      </c>
      <c r="L44" s="150">
        <f t="shared" si="2"/>
        <v>-223573</v>
      </c>
    </row>
    <row r="45" spans="1:12" ht="15.5">
      <c r="A45" s="13">
        <v>210063</v>
      </c>
      <c r="B45" s="13" t="s">
        <v>51</v>
      </c>
      <c r="C45" s="129">
        <f>VLOOKUP(A45,[1]Sheet1!$A$5:$I$61,9,FALSE)</f>
        <v>267964845.88307279</v>
      </c>
      <c r="D45" s="148">
        <f>VLOOKUP(A45,' MHAC Prelim Rev Adj M1'!A$3:F$46,6,FALSE)</f>
        <v>714573</v>
      </c>
      <c r="E45" s="149">
        <f>VLOOKUP(A45,'RRIP Prelim Rev Adj M1'!A$4:P$47,14,FALSE)</f>
        <v>1447010</v>
      </c>
      <c r="F45" s="149">
        <f>VLOOKUP(A45,'QBR Prelim CURRENT Scale'!A$3:F$43,6,FALSE)</f>
        <v>1447010</v>
      </c>
      <c r="G45" s="149">
        <f t="shared" si="0"/>
        <v>3608593</v>
      </c>
      <c r="H45" s="148">
        <f>VLOOKUP(A45,'MHAC Prelim Rev Adj M2'!$A$3:$F$46,6,FALSE)</f>
        <v>945758</v>
      </c>
      <c r="I45" s="149">
        <f>VLOOKUP(A45,'RRIP Prelim Rev Adj M2'!$A$4:$N$47,14,FALSE)</f>
        <v>401947</v>
      </c>
      <c r="J45" s="149">
        <f>VLOOKUP(A45,'QBR Prelim ADJUSTED Scale'!$A$3:$F$43,6,FALSE)</f>
        <v>2170515</v>
      </c>
      <c r="K45" s="149">
        <f t="shared" si="1"/>
        <v>3518220</v>
      </c>
      <c r="L45" s="150">
        <f t="shared" si="2"/>
        <v>-90373</v>
      </c>
    </row>
    <row r="46" spans="1:12" ht="15.5">
      <c r="A46" s="13">
        <v>210064</v>
      </c>
      <c r="B46" s="13" t="s">
        <v>115</v>
      </c>
      <c r="C46" s="129">
        <f>VLOOKUP(A46,[1]Sheet1!$A$5:$I$61,9,FALSE)</f>
        <v>63642884.194417797</v>
      </c>
      <c r="D46" s="148">
        <f>VLOOKUP(A46,' MHAC Prelim Rev Adj M1'!A$3:F$46,6,FALSE)</f>
        <v>-339429</v>
      </c>
      <c r="E46" s="149">
        <f>VLOOKUP(A46,'RRIP Prelim Rev Adj M1'!A$4:P$47,14,FALSE)</f>
        <v>101829</v>
      </c>
      <c r="F46" s="149" t="e">
        <f>VLOOKUP(A46,'QBR Prelim CURRENT Scale'!A$3:F$43,6,FALSE)</f>
        <v>#N/A</v>
      </c>
      <c r="G46" s="149">
        <f t="shared" si="0"/>
        <v>-237600</v>
      </c>
      <c r="H46" s="148">
        <f>VLOOKUP(A46,'MHAC Prelim Rev Adj M2'!$A$3:$F$46,6,FALSE)</f>
        <v>-318214</v>
      </c>
      <c r="I46" s="149">
        <f>VLOOKUP(A46,'RRIP Prelim Rev Adj M2'!$A$4:$N$47,14,FALSE)</f>
        <v>50914</v>
      </c>
      <c r="J46" s="149" t="e">
        <f>VLOOKUP(A46,'QBR Prelim ADJUSTED Scale'!$A$3:$F$43,6,FALSE)</f>
        <v>#N/A</v>
      </c>
      <c r="K46" s="149">
        <f t="shared" si="1"/>
        <v>-267300</v>
      </c>
      <c r="L46" s="150">
        <f t="shared" si="2"/>
        <v>-29700</v>
      </c>
    </row>
    <row r="47" spans="1:12" ht="15.5">
      <c r="A47" s="13">
        <v>210065</v>
      </c>
      <c r="B47" s="13" t="s">
        <v>121</v>
      </c>
      <c r="C47" s="129">
        <f>VLOOKUP(A47,[1]Sheet1!$A$5:$I$61,9,FALSE)</f>
        <v>74788277.035090461</v>
      </c>
      <c r="D47" s="148">
        <f>VLOOKUP(A47,' MHAC Prelim Rev Adj M1'!A$3:F$46,6,FALSE)</f>
        <v>0</v>
      </c>
      <c r="E47" s="149">
        <f>VLOOKUP(A47,'RRIP Prelim Rev Adj M1'!A$4:P$47,14,FALSE)</f>
        <v>770319</v>
      </c>
      <c r="F47" s="149">
        <f>VLOOKUP(A47,'QBR Prelim CURRENT Scale'!A$3:F$43,6,FALSE)</f>
        <v>-1024599</v>
      </c>
      <c r="G47" s="149">
        <f t="shared" si="0"/>
        <v>-254280</v>
      </c>
      <c r="H47" s="148">
        <f>VLOOKUP(A47,'MHAC Prelim Rev Adj M2'!$A$3:$F$46,6,FALSE)</f>
        <v>483924</v>
      </c>
      <c r="I47" s="149">
        <f>VLOOKUP(A47,'RRIP Prelim Rev Adj M2'!$A$4:$N$47,14,FALSE)</f>
        <v>373941</v>
      </c>
      <c r="J47" s="149">
        <f>VLOOKUP(A47,'QBR Prelim ADJUSTED Scale'!$A$3:$F$43,6,FALSE)</f>
        <v>-889980</v>
      </c>
      <c r="K47" s="149">
        <f t="shared" si="1"/>
        <v>-32115</v>
      </c>
      <c r="L47" s="150">
        <f t="shared" si="2"/>
        <v>222165</v>
      </c>
    </row>
    <row r="49" spans="2:12" ht="15.5">
      <c r="B49" s="61" t="s">
        <v>73</v>
      </c>
      <c r="C49" s="62">
        <f>SUM(C4:C47)</f>
        <v>10879651504.641455</v>
      </c>
      <c r="E49" s="63"/>
      <c r="F49" s="61" t="s">
        <v>73</v>
      </c>
      <c r="G49" s="62">
        <f>SUM(G4:G47)</f>
        <v>-37809193</v>
      </c>
      <c r="I49" s="63"/>
      <c r="J49" s="61" t="s">
        <v>73</v>
      </c>
      <c r="K49" s="62">
        <f>SUM(K4:K47)</f>
        <v>-37727474</v>
      </c>
      <c r="L49" s="150"/>
    </row>
    <row r="50" spans="2:12" ht="15.5">
      <c r="B50" s="25"/>
      <c r="C50" s="25"/>
      <c r="D50" s="25"/>
      <c r="E50" s="63"/>
      <c r="F50" s="39" t="s">
        <v>54</v>
      </c>
      <c r="G50" s="65">
        <f>SUMIF(G4:G47,"&lt;0",G4:G47)</f>
        <v>-58830645</v>
      </c>
      <c r="H50" s="25"/>
      <c r="I50" s="63"/>
      <c r="J50" s="39" t="s">
        <v>54</v>
      </c>
      <c r="K50" s="65">
        <f>SUMIF(K4:K47,"&lt;0",K4:K47)</f>
        <v>-59990176</v>
      </c>
    </row>
    <row r="51" spans="2:12" ht="15.5">
      <c r="B51" s="25"/>
      <c r="C51" s="25"/>
      <c r="D51" s="25"/>
      <c r="E51" s="64"/>
      <c r="F51" s="66" t="s">
        <v>122</v>
      </c>
      <c r="G51" s="67">
        <f>G50/$C$49</f>
        <v>-5.4074016042611099E-3</v>
      </c>
      <c r="H51" s="25"/>
      <c r="I51" s="64"/>
      <c r="J51" s="66" t="s">
        <v>122</v>
      </c>
      <c r="K51" s="67">
        <f>K50/$C$49</f>
        <v>-5.5139795584819157E-3</v>
      </c>
    </row>
    <row r="52" spans="2:12" ht="15.5">
      <c r="B52" s="25"/>
      <c r="C52" s="25"/>
      <c r="D52" s="25"/>
      <c r="E52" s="64"/>
      <c r="F52" s="39" t="s">
        <v>55</v>
      </c>
      <c r="G52" s="65">
        <f>SUMIF(G4:G47,"&gt;0",G4:G47)</f>
        <v>21021452</v>
      </c>
      <c r="H52" s="25"/>
      <c r="I52" s="64"/>
      <c r="J52" s="39" t="s">
        <v>55</v>
      </c>
      <c r="K52" s="65">
        <f>SUMIF(K4:K47,"&gt;0",K4:K47)</f>
        <v>22262702</v>
      </c>
    </row>
    <row r="53" spans="2:12" ht="15.5">
      <c r="B53" s="25"/>
      <c r="C53" s="25"/>
      <c r="D53" s="25"/>
      <c r="E53" s="135"/>
      <c r="F53" s="66" t="s">
        <v>122</v>
      </c>
      <c r="G53" s="67">
        <f>G52/$C$49</f>
        <v>1.9321806393368271E-3</v>
      </c>
      <c r="H53" s="25"/>
      <c r="I53" s="135"/>
      <c r="J53" s="66" t="s">
        <v>122</v>
      </c>
      <c r="K53" s="67">
        <f>K52/$C$49</f>
        <v>2.0462697716468522E-3</v>
      </c>
    </row>
  </sheetData>
  <autoFilter ref="A3:M3" xr:uid="{A8805280-7BAF-45C7-A089-A1E8BCFF03BE}">
    <sortState xmlns:xlrd2="http://schemas.microsoft.com/office/spreadsheetml/2017/richdata2" ref="A4:M47">
      <sortCondition ref="A3"/>
    </sortState>
  </autoFilter>
  <mergeCells count="2">
    <mergeCell ref="D2:G2"/>
    <mergeCell ref="H2:K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5DB70-BB89-4527-AF6A-C6BB76BF7798}">
  <sheetPr>
    <pageSetUpPr fitToPage="1"/>
  </sheetPr>
  <dimension ref="A1:G59"/>
  <sheetViews>
    <sheetView workbookViewId="0">
      <pane xSplit="3" ySplit="1" topLeftCell="D2" activePane="bottomRight" state="frozen"/>
      <selection pane="topRight" activeCell="D1" sqref="D1"/>
      <selection pane="bottomLeft" activeCell="A3" sqref="A3"/>
      <selection pane="bottomRight" activeCell="D12" sqref="D12"/>
    </sheetView>
  </sheetViews>
  <sheetFormatPr defaultColWidth="9.26953125" defaultRowHeight="15.5"/>
  <cols>
    <col min="1" max="1" width="30.7265625" style="25" customWidth="1"/>
    <col min="2" max="2" width="32.81640625" style="25" customWidth="1"/>
    <col min="3" max="3" width="24.1796875" style="25" customWidth="1"/>
    <col min="4" max="4" width="22.1796875" style="25" customWidth="1"/>
    <col min="5" max="5" width="16.1796875" style="25" customWidth="1"/>
    <col min="6" max="6" width="17" style="25" customWidth="1"/>
    <col min="7" max="16384" width="9.26953125" style="25"/>
  </cols>
  <sheetData>
    <row r="1" spans="1:7">
      <c r="A1" s="59" t="s">
        <v>133</v>
      </c>
      <c r="B1" s="60"/>
      <c r="C1" s="60"/>
      <c r="D1" s="60"/>
      <c r="E1" s="60"/>
      <c r="F1" s="60"/>
    </row>
    <row r="2" spans="1:7" ht="28">
      <c r="A2" s="128" t="s">
        <v>67</v>
      </c>
      <c r="B2" s="128" t="s">
        <v>68</v>
      </c>
      <c r="C2" s="128" t="s">
        <v>131</v>
      </c>
      <c r="D2" s="128" t="s">
        <v>132</v>
      </c>
      <c r="E2" s="128" t="s">
        <v>69</v>
      </c>
      <c r="F2" s="128" t="s">
        <v>70</v>
      </c>
      <c r="G2" s="60" t="s">
        <v>99</v>
      </c>
    </row>
    <row r="3" spans="1:7">
      <c r="A3" s="13">
        <v>210001</v>
      </c>
      <c r="B3" s="13" t="s">
        <v>13</v>
      </c>
      <c r="C3" s="129">
        <f>VLOOKUP(A3,[1]Sheet1!$A$5:$I$61,9,FALSE)</f>
        <v>233209898.29280609</v>
      </c>
      <c r="D3" s="130">
        <f>VLOOKUP(A3,'[2]Model 1 Hospital Scores'!A$4:E$47,5,FALSE)</f>
        <v>0.6</v>
      </c>
      <c r="E3" s="155">
        <f t="shared" ref="E3:E46" si="0">IF(D3&lt;=MHAC_Lowest_Score,MHAC_Max_Penalty,IF(D3&gt;=MHAC_Highest_Score,MHAC_Max_Reward,IF(D3&lt;MHAC_Penalty_Threshold,MHAC_Max_Penalty-((D3-MHAC_Lowest_Score)*(MHAC_Max_Penalty/(MHAC_Penalty_Threshold-MHAC_Lowest_Score))),IF(D3&gt;MHAC_Reward_Threshold,MHAC_Max_Reward- ((D3-MHAC_Highest_Score)*(MHAC_Max_Reward/(MHAC_Reward_Threshold-MHAC_Highest_Score))),0))))</f>
        <v>0</v>
      </c>
      <c r="F3" s="129">
        <f t="shared" ref="F3:F45" si="1">ROUND(E3*C3,0)</f>
        <v>0</v>
      </c>
    </row>
    <row r="4" spans="1:7">
      <c r="A4" s="13">
        <v>210002</v>
      </c>
      <c r="B4" s="13" t="s">
        <v>14</v>
      </c>
      <c r="C4" s="129">
        <f>VLOOKUP(A4,[1]Sheet1!$A$5:$I$61,9,FALSE)</f>
        <v>1169777419.1025653</v>
      </c>
      <c r="D4" s="130">
        <f>VLOOKUP(A4,'[2]Model 1 Hospital Scores'!A$4:E$47,5,FALSE)</f>
        <v>0.61</v>
      </c>
      <c r="E4" s="131">
        <f t="shared" si="0"/>
        <v>0</v>
      </c>
      <c r="F4" s="129">
        <f t="shared" si="1"/>
        <v>0</v>
      </c>
    </row>
    <row r="5" spans="1:7">
      <c r="A5" s="13">
        <v>210003</v>
      </c>
      <c r="B5" s="13" t="s">
        <v>15</v>
      </c>
      <c r="C5" s="129">
        <f>VLOOKUP(A5,[1]Sheet1!$A$5:$I$61,9,FALSE)</f>
        <v>272737060.9453848</v>
      </c>
      <c r="D5" s="130">
        <f>VLOOKUP(A5,'[2]Model 1 Hospital Scores'!A$4:E$47,5,FALSE)</f>
        <v>0.48</v>
      </c>
      <c r="E5" s="131">
        <f t="shared" si="0"/>
        <v>-4.0000000000000001E-3</v>
      </c>
      <c r="F5" s="129">
        <f t="shared" si="1"/>
        <v>-1090948</v>
      </c>
    </row>
    <row r="6" spans="1:7">
      <c r="A6" s="13">
        <v>210004</v>
      </c>
      <c r="B6" s="13" t="s">
        <v>16</v>
      </c>
      <c r="C6" s="129">
        <f>VLOOKUP(A6,[1]Sheet1!$A$5:$I$61,9,FALSE)</f>
        <v>395179292.24487001</v>
      </c>
      <c r="D6" s="130">
        <f>VLOOKUP(A6,'[2]Model 1 Hospital Scores'!A$4:E$47,5,FALSE)</f>
        <v>0.77</v>
      </c>
      <c r="E6" s="131">
        <f t="shared" si="0"/>
        <v>4.6666666666666714E-3</v>
      </c>
      <c r="F6" s="129">
        <f t="shared" si="1"/>
        <v>1844170</v>
      </c>
    </row>
    <row r="7" spans="1:7">
      <c r="A7" s="13">
        <v>210005</v>
      </c>
      <c r="B7" s="13" t="s">
        <v>17</v>
      </c>
      <c r="C7" s="129">
        <f>VLOOKUP(A7,[1]Sheet1!$A$5:$I$61,9,FALSE)</f>
        <v>245875328.80849966</v>
      </c>
      <c r="D7" s="130">
        <f>VLOOKUP(A7,'[2]Model 1 Hospital Scores'!A$4:E$47,5,FALSE)</f>
        <v>0.63</v>
      </c>
      <c r="E7" s="131">
        <f t="shared" si="0"/>
        <v>0</v>
      </c>
      <c r="F7" s="129">
        <f t="shared" si="1"/>
        <v>0</v>
      </c>
    </row>
    <row r="8" spans="1:7">
      <c r="A8" s="13">
        <v>210006</v>
      </c>
      <c r="B8" s="13" t="s">
        <v>18</v>
      </c>
      <c r="C8" s="129">
        <f>VLOOKUP(A8,[1]Sheet1!$A$5:$I$61,9,FALSE)</f>
        <v>67709798.545058176</v>
      </c>
      <c r="D8" s="130">
        <f>VLOOKUP(A8,'[2]Model 1 Hospital Scores'!A$4:E$47,5,FALSE)</f>
        <v>0.42</v>
      </c>
      <c r="E8" s="131">
        <f t="shared" si="0"/>
        <v>-6.0000000000000019E-3</v>
      </c>
      <c r="F8" s="129">
        <f t="shared" si="1"/>
        <v>-406259</v>
      </c>
    </row>
    <row r="9" spans="1:7">
      <c r="A9" s="13">
        <v>210008</v>
      </c>
      <c r="B9" s="13" t="s">
        <v>19</v>
      </c>
      <c r="C9" s="129">
        <f>VLOOKUP(A9,[1]Sheet1!$A$5:$I$61,9,FALSE)</f>
        <v>231085559.56053197</v>
      </c>
      <c r="D9" s="130">
        <f>VLOOKUP(A9,'[2]Model 1 Hospital Scores'!A$4:E$47,5,FALSE)</f>
        <v>0.54</v>
      </c>
      <c r="E9" s="131">
        <f t="shared" si="0"/>
        <v>-1.9999999999999983E-3</v>
      </c>
      <c r="F9" s="129">
        <f t="shared" si="1"/>
        <v>-462171</v>
      </c>
    </row>
    <row r="10" spans="1:7">
      <c r="A10" s="13">
        <v>210009</v>
      </c>
      <c r="B10" s="13" t="s">
        <v>20</v>
      </c>
      <c r="C10" s="129">
        <f>VLOOKUP(A10,[1]Sheet1!$A$5:$I$61,9,FALSE)</f>
        <v>1689351200.3065054</v>
      </c>
      <c r="D10" s="130">
        <f>VLOOKUP(A10,'[2]Model 1 Hospital Scores'!A$4:E$47,5,FALSE)</f>
        <v>0.35</v>
      </c>
      <c r="E10" s="131">
        <f t="shared" si="0"/>
        <v>-8.333333333333335E-3</v>
      </c>
      <c r="F10" s="129">
        <f t="shared" si="1"/>
        <v>-14077927</v>
      </c>
    </row>
    <row r="11" spans="1:7">
      <c r="A11" s="13">
        <v>210011</v>
      </c>
      <c r="B11" s="13" t="s">
        <v>21</v>
      </c>
      <c r="C11" s="129">
        <f>VLOOKUP(A11,[1]Sheet1!$A$5:$I$61,9,FALSE)</f>
        <v>243049519.64796227</v>
      </c>
      <c r="D11" s="130">
        <f>VLOOKUP(A11,'[2]Model 1 Hospital Scores'!A$4:E$47,5,FALSE)</f>
        <v>0.67</v>
      </c>
      <c r="E11" s="131">
        <f t="shared" si="0"/>
        <v>0</v>
      </c>
      <c r="F11" s="129">
        <f t="shared" si="1"/>
        <v>0</v>
      </c>
    </row>
    <row r="12" spans="1:7">
      <c r="A12" s="13">
        <v>210012</v>
      </c>
      <c r="B12" s="13" t="s">
        <v>22</v>
      </c>
      <c r="C12" s="129">
        <f>VLOOKUP(A12,[1]Sheet1!$A$5:$I$61,9,FALSE)</f>
        <v>499177175.30070233</v>
      </c>
      <c r="D12" s="130">
        <f>VLOOKUP(A12,'[2]Model 1 Hospital Scores'!A$4:E$47,5,FALSE)</f>
        <v>0.55000000000000004</v>
      </c>
      <c r="E12" s="131">
        <f t="shared" si="0"/>
        <v>-1.666666666666667E-3</v>
      </c>
      <c r="F12" s="129">
        <f t="shared" si="1"/>
        <v>-831962</v>
      </c>
    </row>
    <row r="13" spans="1:7">
      <c r="A13" s="13">
        <v>210015</v>
      </c>
      <c r="B13" s="13" t="s">
        <v>23</v>
      </c>
      <c r="C13" s="129">
        <f>VLOOKUP(A13,[1]Sheet1!$A$5:$I$61,9,FALSE)</f>
        <v>325444692.32110155</v>
      </c>
      <c r="D13" s="130">
        <f>VLOOKUP(A13,'[2]Model 1 Hospital Scores'!A$4:E$47,5,FALSE)</f>
        <v>0.77</v>
      </c>
      <c r="E13" s="131">
        <f t="shared" si="0"/>
        <v>4.6666666666666714E-3</v>
      </c>
      <c r="F13" s="129">
        <f t="shared" si="1"/>
        <v>1518742</v>
      </c>
    </row>
    <row r="14" spans="1:7">
      <c r="A14" s="13">
        <v>210016</v>
      </c>
      <c r="B14" s="13" t="s">
        <v>24</v>
      </c>
      <c r="C14" s="129">
        <f>VLOOKUP(A14,[1]Sheet1!$A$5:$I$61,9,FALSE)</f>
        <v>206054276.81773111</v>
      </c>
      <c r="D14" s="130">
        <f>VLOOKUP(A14,'[2]Model 1 Hospital Scores'!A$4:E$47,5,FALSE)</f>
        <v>0.61</v>
      </c>
      <c r="E14" s="131">
        <f t="shared" si="0"/>
        <v>0</v>
      </c>
      <c r="F14" s="129">
        <f t="shared" si="1"/>
        <v>0</v>
      </c>
    </row>
    <row r="15" spans="1:7">
      <c r="A15" s="13">
        <v>210017</v>
      </c>
      <c r="B15" s="13" t="s">
        <v>25</v>
      </c>
      <c r="C15" s="129">
        <f>VLOOKUP(A15,[1]Sheet1!$A$5:$I$61,9,FALSE)</f>
        <v>22448741.860533666</v>
      </c>
      <c r="D15" s="130">
        <f>VLOOKUP(A15,'[2]Model 1 Hospital Scores'!A$4:E$47,5,FALSE)</f>
        <v>1</v>
      </c>
      <c r="E15" s="131">
        <f t="shared" si="0"/>
        <v>0.02</v>
      </c>
      <c r="F15" s="129">
        <f t="shared" si="1"/>
        <v>448975</v>
      </c>
    </row>
    <row r="16" spans="1:7">
      <c r="A16" s="13">
        <v>210018</v>
      </c>
      <c r="B16" s="13" t="s">
        <v>26</v>
      </c>
      <c r="C16" s="129">
        <f>VLOOKUP(A16,[1]Sheet1!$A$5:$I$61,9,FALSE)</f>
        <v>86911104.151931316</v>
      </c>
      <c r="D16" s="130">
        <f>VLOOKUP(A16,'[2]Model 1 Hospital Scores'!A$4:E$47,5,FALSE)</f>
        <v>0.62</v>
      </c>
      <c r="E16" s="131">
        <f t="shared" si="0"/>
        <v>0</v>
      </c>
      <c r="F16" s="129">
        <f t="shared" si="1"/>
        <v>0</v>
      </c>
    </row>
    <row r="17" spans="1:6">
      <c r="A17" s="13">
        <v>210019</v>
      </c>
      <c r="B17" s="13" t="s">
        <v>71</v>
      </c>
      <c r="C17" s="129">
        <f>VLOOKUP(A17,[1]Sheet1!$A$5:$I$61,9,FALSE)</f>
        <v>273261892.18496162</v>
      </c>
      <c r="D17" s="130">
        <f>VLOOKUP(A17,'[2]Model 1 Hospital Scores'!A$4:E$47,5,FALSE)</f>
        <v>0.87</v>
      </c>
      <c r="E17" s="131">
        <f t="shared" si="0"/>
        <v>1.1333333333333336E-2</v>
      </c>
      <c r="F17" s="129">
        <f t="shared" si="1"/>
        <v>3096968</v>
      </c>
    </row>
    <row r="18" spans="1:6">
      <c r="A18" s="13">
        <v>210022</v>
      </c>
      <c r="B18" s="13" t="s">
        <v>28</v>
      </c>
      <c r="C18" s="129">
        <f>VLOOKUP(A18,[1]Sheet1!$A$5:$I$61,9,FALSE)</f>
        <v>234289464.42853409</v>
      </c>
      <c r="D18" s="130">
        <f>VLOOKUP(A18,'[2]Model 1 Hospital Scores'!A$4:E$47,5,FALSE)</f>
        <v>0.6</v>
      </c>
      <c r="E18" s="131">
        <f t="shared" si="0"/>
        <v>0</v>
      </c>
      <c r="F18" s="129">
        <f t="shared" si="1"/>
        <v>0</v>
      </c>
    </row>
    <row r="19" spans="1:6">
      <c r="A19" s="13">
        <v>210023</v>
      </c>
      <c r="B19" s="13" t="s">
        <v>29</v>
      </c>
      <c r="C19" s="129">
        <f>VLOOKUP(A19,[1]Sheet1!$A$5:$I$61,9,FALSE)</f>
        <v>378319646.6993916</v>
      </c>
      <c r="D19" s="130">
        <f>VLOOKUP(A19,'[2]Model 1 Hospital Scores'!A$4:E$47,5,FALSE)</f>
        <v>0.64</v>
      </c>
      <c r="E19" s="131">
        <f t="shared" si="0"/>
        <v>0</v>
      </c>
      <c r="F19" s="129">
        <f t="shared" si="1"/>
        <v>0</v>
      </c>
    </row>
    <row r="20" spans="1:6">
      <c r="A20" s="13">
        <v>210024</v>
      </c>
      <c r="B20" s="13" t="s">
        <v>30</v>
      </c>
      <c r="C20" s="129">
        <f>VLOOKUP(A20,[1]Sheet1!$A$5:$I$61,9,FALSE)</f>
        <v>274240267.41213882</v>
      </c>
      <c r="D20" s="130">
        <f>VLOOKUP(A20,'[2]Model 1 Hospital Scores'!A$4:E$47,5,FALSE)</f>
        <v>0.77</v>
      </c>
      <c r="E20" s="131">
        <f t="shared" si="0"/>
        <v>4.6666666666666714E-3</v>
      </c>
      <c r="F20" s="129">
        <f t="shared" si="1"/>
        <v>1279788</v>
      </c>
    </row>
    <row r="21" spans="1:6" ht="31">
      <c r="A21" s="13">
        <v>210027</v>
      </c>
      <c r="B21" s="13" t="s">
        <v>31</v>
      </c>
      <c r="C21" s="129">
        <f>VLOOKUP(A21,[1]Sheet1!$A$5:$I$61,9,FALSE)</f>
        <v>177776317.14814913</v>
      </c>
      <c r="D21" s="130">
        <f>VLOOKUP(A21,'[2]Model 1 Hospital Scores'!A$4:E$47,5,FALSE)</f>
        <v>0.43</v>
      </c>
      <c r="E21" s="131">
        <f t="shared" si="0"/>
        <v>-5.6666666666666671E-3</v>
      </c>
      <c r="F21" s="129">
        <f t="shared" si="1"/>
        <v>-1007399</v>
      </c>
    </row>
    <row r="22" spans="1:6">
      <c r="A22" s="13">
        <v>210028</v>
      </c>
      <c r="B22" s="13" t="s">
        <v>32</v>
      </c>
      <c r="C22" s="129">
        <f>VLOOKUP(A22,[1]Sheet1!$A$5:$I$61,9,FALSE)</f>
        <v>91631804.258244663</v>
      </c>
      <c r="D22" s="130">
        <f>VLOOKUP(A22,'[2]Model 1 Hospital Scores'!A$4:E$47,5,FALSE)</f>
        <v>0.73</v>
      </c>
      <c r="E22" s="131">
        <f t="shared" si="0"/>
        <v>2.0000000000000018E-3</v>
      </c>
      <c r="F22" s="129">
        <f t="shared" si="1"/>
        <v>183264</v>
      </c>
    </row>
    <row r="23" spans="1:6">
      <c r="A23" s="13">
        <v>210029</v>
      </c>
      <c r="B23" s="13" t="s">
        <v>33</v>
      </c>
      <c r="C23" s="129">
        <f>VLOOKUP(A23,[1]Sheet1!$A$5:$I$61,9,FALSE)</f>
        <v>446329672.23355418</v>
      </c>
      <c r="D23" s="130">
        <f>VLOOKUP(A23,'[2]Model 1 Hospital Scores'!A$4:E$47,5,FALSE)</f>
        <v>0.56999999999999995</v>
      </c>
      <c r="E23" s="131">
        <f t="shared" si="0"/>
        <v>-1.0000000000000009E-3</v>
      </c>
      <c r="F23" s="129">
        <f t="shared" si="1"/>
        <v>-446330</v>
      </c>
    </row>
    <row r="24" spans="1:6">
      <c r="A24" s="13">
        <v>210030</v>
      </c>
      <c r="B24" s="13" t="s">
        <v>34</v>
      </c>
      <c r="C24" s="129">
        <f>VLOOKUP(A24,[1]Sheet1!$A$5:$I$61,9,FALSE)</f>
        <v>12799737.023223758</v>
      </c>
      <c r="D24" s="130">
        <f>VLOOKUP(A24,'[2]Model 1 Hospital Scores'!A$4:E$47,5,FALSE)</f>
        <v>1</v>
      </c>
      <c r="E24" s="131">
        <f t="shared" si="0"/>
        <v>0.02</v>
      </c>
      <c r="F24" s="129">
        <f t="shared" si="1"/>
        <v>255995</v>
      </c>
    </row>
    <row r="25" spans="1:6" ht="31">
      <c r="A25" s="13">
        <v>210032</v>
      </c>
      <c r="B25" s="13" t="s">
        <v>35</v>
      </c>
      <c r="C25" s="129">
        <f>VLOOKUP(A25,[1]Sheet1!$A$5:$I$61,9,FALSE)</f>
        <v>74867815.898296461</v>
      </c>
      <c r="D25" s="130">
        <f>VLOOKUP(A25,'[2]Model 1 Hospital Scores'!A$4:E$47,5,FALSE)</f>
        <v>0.84</v>
      </c>
      <c r="E25" s="131">
        <f t="shared" si="0"/>
        <v>9.3333333333333341E-3</v>
      </c>
      <c r="F25" s="129">
        <f t="shared" si="1"/>
        <v>698766</v>
      </c>
    </row>
    <row r="26" spans="1:6">
      <c r="A26" s="13">
        <v>210033</v>
      </c>
      <c r="B26" s="13" t="s">
        <v>36</v>
      </c>
      <c r="C26" s="129">
        <f>VLOOKUP(A26,[1]Sheet1!$A$5:$I$61,9,FALSE)</f>
        <v>146579134.30840614</v>
      </c>
      <c r="D26" s="130">
        <f>VLOOKUP(A26,'[2]Model 1 Hospital Scores'!A$4:E$47,5,FALSE)</f>
        <v>0.81</v>
      </c>
      <c r="E26" s="131">
        <f t="shared" si="0"/>
        <v>7.3333333333333393E-3</v>
      </c>
      <c r="F26" s="129">
        <f t="shared" si="1"/>
        <v>1074914</v>
      </c>
    </row>
    <row r="27" spans="1:6">
      <c r="A27" s="13">
        <v>210034</v>
      </c>
      <c r="B27" s="13" t="s">
        <v>37</v>
      </c>
      <c r="C27" s="129">
        <f>VLOOKUP(A27,[1]Sheet1!$A$5:$I$61,9,FALSE)</f>
        <v>130460757.98273204</v>
      </c>
      <c r="D27" s="130">
        <f>VLOOKUP(A27,'[2]Model 1 Hospital Scores'!A$4:E$47,5,FALSE)</f>
        <v>0.55000000000000004</v>
      </c>
      <c r="E27" s="131">
        <f t="shared" si="0"/>
        <v>-1.666666666666667E-3</v>
      </c>
      <c r="F27" s="129">
        <f t="shared" si="1"/>
        <v>-217435</v>
      </c>
    </row>
    <row r="28" spans="1:6">
      <c r="A28" s="13">
        <v>210035</v>
      </c>
      <c r="B28" s="13" t="s">
        <v>38</v>
      </c>
      <c r="C28" s="129">
        <f>VLOOKUP(A28,[1]Sheet1!$A$5:$I$61,9,FALSE)</f>
        <v>95179409.927647993</v>
      </c>
      <c r="D28" s="130">
        <f>VLOOKUP(A28,'[2]Model 1 Hospital Scores'!A$4:E$47,5,FALSE)</f>
        <v>0.7</v>
      </c>
      <c r="E28" s="131">
        <f t="shared" si="0"/>
        <v>0</v>
      </c>
      <c r="F28" s="129">
        <f t="shared" si="1"/>
        <v>0</v>
      </c>
    </row>
    <row r="29" spans="1:6">
      <c r="A29" s="13">
        <v>210037</v>
      </c>
      <c r="B29" s="13" t="s">
        <v>39</v>
      </c>
      <c r="C29" s="129">
        <f>VLOOKUP(A29,[1]Sheet1!$A$5:$I$61,9,FALSE)</f>
        <v>117255633.45625928</v>
      </c>
      <c r="D29" s="130">
        <f>VLOOKUP(A29,'[2]Model 1 Hospital Scores'!A$4:E$47,5,FALSE)</f>
        <v>0.79</v>
      </c>
      <c r="E29" s="131">
        <f t="shared" si="0"/>
        <v>6.0000000000000053E-3</v>
      </c>
      <c r="F29" s="129">
        <f t="shared" si="1"/>
        <v>703534</v>
      </c>
    </row>
    <row r="30" spans="1:6">
      <c r="A30" s="13">
        <v>210038</v>
      </c>
      <c r="B30" s="13" t="s">
        <v>40</v>
      </c>
      <c r="C30" s="129">
        <f>VLOOKUP(A30,[1]Sheet1!$A$5:$I$61,9,FALSE)</f>
        <v>128795219.33140594</v>
      </c>
      <c r="D30" s="130">
        <f>VLOOKUP(A30,'[2]Model 1 Hospital Scores'!A$4:E$47,5,FALSE)</f>
        <v>0.57999999999999996</v>
      </c>
      <c r="E30" s="131">
        <f t="shared" si="0"/>
        <v>-6.6666666666666957E-4</v>
      </c>
      <c r="F30" s="129">
        <f t="shared" si="1"/>
        <v>-85863</v>
      </c>
    </row>
    <row r="31" spans="1:6">
      <c r="A31" s="13">
        <v>210039</v>
      </c>
      <c r="B31" s="13" t="s">
        <v>41</v>
      </c>
      <c r="C31" s="129">
        <f>VLOOKUP(A31,[1]Sheet1!$A$5:$I$61,9,FALSE)</f>
        <v>82050333.022346303</v>
      </c>
      <c r="D31" s="130">
        <f>VLOOKUP(A31,'[2]Model 1 Hospital Scores'!A$4:E$47,5,FALSE)</f>
        <v>0.45</v>
      </c>
      <c r="E31" s="131">
        <f t="shared" si="0"/>
        <v>-5.000000000000001E-3</v>
      </c>
      <c r="F31" s="129">
        <f t="shared" si="1"/>
        <v>-410252</v>
      </c>
    </row>
    <row r="32" spans="1:6">
      <c r="A32" s="13">
        <v>210040</v>
      </c>
      <c r="B32" s="13" t="s">
        <v>42</v>
      </c>
      <c r="C32" s="129">
        <f>VLOOKUP(A32,[1]Sheet1!$A$5:$I$61,9,FALSE)</f>
        <v>151174669.60064766</v>
      </c>
      <c r="D32" s="130">
        <f>VLOOKUP(A32,'[2]Model 1 Hospital Scores'!A$4:E$47,5,FALSE)</f>
        <v>0.81</v>
      </c>
      <c r="E32" s="131">
        <f t="shared" si="0"/>
        <v>7.3333333333333393E-3</v>
      </c>
      <c r="F32" s="129">
        <f t="shared" si="1"/>
        <v>1108614</v>
      </c>
    </row>
    <row r="33" spans="1:6" ht="31">
      <c r="A33" s="13">
        <v>210043</v>
      </c>
      <c r="B33" s="13" t="s">
        <v>72</v>
      </c>
      <c r="C33" s="129">
        <f>VLOOKUP(A33,[1]Sheet1!$A$5:$I$61,9,FALSE)</f>
        <v>310629291.55806202</v>
      </c>
      <c r="D33" s="130">
        <f>VLOOKUP(A33,'[2]Model 1 Hospital Scores'!A$4:E$47,5,FALSE)</f>
        <v>0.8</v>
      </c>
      <c r="E33" s="131">
        <f t="shared" si="0"/>
        <v>6.6666666666666732E-3</v>
      </c>
      <c r="F33" s="129">
        <f t="shared" si="1"/>
        <v>2070862</v>
      </c>
    </row>
    <row r="34" spans="1:6">
      <c r="A34" s="13">
        <v>210044</v>
      </c>
      <c r="B34" s="13" t="s">
        <v>44</v>
      </c>
      <c r="C34" s="129">
        <f>VLOOKUP(A34,[1]Sheet1!$A$5:$I$61,9,FALSE)</f>
        <v>234417802.74342716</v>
      </c>
      <c r="D34" s="130">
        <f>VLOOKUP(A34,'[2]Model 1 Hospital Scores'!A$4:E$47,5,FALSE)</f>
        <v>0.56000000000000005</v>
      </c>
      <c r="E34" s="131">
        <f t="shared" si="0"/>
        <v>-1.3333333333333322E-3</v>
      </c>
      <c r="F34" s="129">
        <f t="shared" si="1"/>
        <v>-312557</v>
      </c>
    </row>
    <row r="35" spans="1:6">
      <c r="A35" s="13">
        <v>210048</v>
      </c>
      <c r="B35" s="13" t="s">
        <v>45</v>
      </c>
      <c r="C35" s="129">
        <f>VLOOKUP(A35,[1]Sheet1!$A$5:$I$61,9,FALSE)</f>
        <v>211409027.60942188</v>
      </c>
      <c r="D35" s="130">
        <f>VLOOKUP(A35,'[2]Model 1 Hospital Scores'!A$4:E$47,5,FALSE)</f>
        <v>0.52</v>
      </c>
      <c r="E35" s="131">
        <f t="shared" si="0"/>
        <v>-2.6666666666666679E-3</v>
      </c>
      <c r="F35" s="129">
        <f t="shared" si="1"/>
        <v>-563757</v>
      </c>
    </row>
    <row r="36" spans="1:6" ht="31">
      <c r="A36" s="13">
        <v>210049</v>
      </c>
      <c r="B36" s="13" t="s">
        <v>46</v>
      </c>
      <c r="C36" s="129">
        <f>VLOOKUP(A36,[1]Sheet1!$A$5:$I$61,9,FALSE)</f>
        <v>189719193.58650389</v>
      </c>
      <c r="D36" s="130">
        <f>VLOOKUP(A36,'[2]Model 1 Hospital Scores'!A$4:E$47,5,FALSE)</f>
        <v>0.54</v>
      </c>
      <c r="E36" s="131">
        <f t="shared" si="0"/>
        <v>-1.9999999999999983E-3</v>
      </c>
      <c r="F36" s="129">
        <f t="shared" si="1"/>
        <v>-379438</v>
      </c>
    </row>
    <row r="37" spans="1:6">
      <c r="A37" s="13">
        <v>210051</v>
      </c>
      <c r="B37" s="13" t="s">
        <v>47</v>
      </c>
      <c r="C37" s="129">
        <f>VLOOKUP(A37,[1]Sheet1!$A$5:$I$61,9,FALSE)</f>
        <v>180962137.96314165</v>
      </c>
      <c r="D37" s="130">
        <f>VLOOKUP(A37,'[2]Model 1 Hospital Scores'!A$4:E$47,5,FALSE)</f>
        <v>0.8</v>
      </c>
      <c r="E37" s="131">
        <f t="shared" si="0"/>
        <v>6.6666666666666732E-3</v>
      </c>
      <c r="F37" s="129">
        <f t="shared" si="1"/>
        <v>1206414</v>
      </c>
    </row>
    <row r="38" spans="1:6">
      <c r="A38" s="13">
        <v>210056</v>
      </c>
      <c r="B38" s="13" t="s">
        <v>118</v>
      </c>
      <c r="C38" s="129">
        <f>VLOOKUP(A38,[1]Sheet1!$A$5:$I$61,9,FALSE)</f>
        <v>185901046.41531754</v>
      </c>
      <c r="D38" s="130">
        <f>VLOOKUP(A38,'[2]Model 1 Hospital Scores'!A$4:E$47,5,FALSE)</f>
        <v>0.8</v>
      </c>
      <c r="E38" s="131">
        <f t="shared" si="0"/>
        <v>6.6666666666666732E-3</v>
      </c>
      <c r="F38" s="129">
        <f t="shared" si="1"/>
        <v>1239340</v>
      </c>
    </row>
    <row r="39" spans="1:6">
      <c r="A39" s="13">
        <v>210057</v>
      </c>
      <c r="B39" s="13" t="s">
        <v>119</v>
      </c>
      <c r="C39" s="129">
        <f>VLOOKUP(A39,[1]Sheet1!$A$5:$I$61,9,FALSE)</f>
        <v>317446406.37621063</v>
      </c>
      <c r="D39" s="130">
        <f>VLOOKUP(A39,'[2]Model 1 Hospital Scores'!A$4:E$47,5,FALSE)</f>
        <v>0.64</v>
      </c>
      <c r="E39" s="131">
        <f t="shared" si="0"/>
        <v>0</v>
      </c>
      <c r="F39" s="129">
        <f t="shared" si="1"/>
        <v>0</v>
      </c>
    </row>
    <row r="40" spans="1:6">
      <c r="A40" s="13">
        <v>210058</v>
      </c>
      <c r="B40" s="13" t="s">
        <v>120</v>
      </c>
      <c r="C40" s="129">
        <f>VLOOKUP(A40,[1]Sheet1!$A$5:$I$61,9,FALSE)</f>
        <v>76544370.742892802</v>
      </c>
      <c r="D40" s="130">
        <f>VLOOKUP(A40,'[2]Model 1 Hospital Scores'!A$4:E$47,5,FALSE)</f>
        <v>0.98</v>
      </c>
      <c r="E40" s="131">
        <f t="shared" si="0"/>
        <v>1.8666666666666665E-2</v>
      </c>
      <c r="F40" s="129">
        <f t="shared" si="1"/>
        <v>1428828</v>
      </c>
    </row>
    <row r="41" spans="1:6">
      <c r="A41" s="13">
        <v>210060</v>
      </c>
      <c r="B41" s="13" t="s">
        <v>48</v>
      </c>
      <c r="C41" s="129">
        <f>VLOOKUP(A41,[1]Sheet1!$A$5:$I$61,9,FALSE)</f>
        <v>29662990.1900758</v>
      </c>
      <c r="D41" s="130">
        <f>VLOOKUP(A41,'[2]Model 1 Hospital Scores'!A$4:E$47,5,FALSE)</f>
        <v>0.88</v>
      </c>
      <c r="E41" s="131">
        <f t="shared" si="0"/>
        <v>1.2000000000000002E-2</v>
      </c>
      <c r="F41" s="129">
        <f t="shared" si="1"/>
        <v>355956</v>
      </c>
    </row>
    <row r="42" spans="1:6">
      <c r="A42" s="13">
        <v>210061</v>
      </c>
      <c r="B42" s="13" t="s">
        <v>49</v>
      </c>
      <c r="C42" s="129">
        <f>VLOOKUP(A42,[1]Sheet1!$A$5:$I$61,9,FALSE)</f>
        <v>44449448.916606866</v>
      </c>
      <c r="D42" s="130">
        <f>VLOOKUP(A42,'[2]Model 1 Hospital Scores'!A$4:E$47,5,FALSE)</f>
        <v>0.3</v>
      </c>
      <c r="E42" s="131">
        <f t="shared" si="0"/>
        <v>-0.01</v>
      </c>
      <c r="F42" s="129">
        <f t="shared" si="1"/>
        <v>-444494</v>
      </c>
    </row>
    <row r="43" spans="1:6">
      <c r="A43" s="13">
        <v>210062</v>
      </c>
      <c r="B43" s="13" t="s">
        <v>50</v>
      </c>
      <c r="C43" s="129">
        <f>VLOOKUP(A43,[1]Sheet1!$A$5:$I$61,9,FALSE)</f>
        <v>189090938.60508713</v>
      </c>
      <c r="D43" s="130">
        <f>VLOOKUP(A43,'[2]Model 1 Hospital Scores'!A$4:E$47,5,FALSE)</f>
        <v>0.94</v>
      </c>
      <c r="E43" s="131">
        <f t="shared" si="0"/>
        <v>1.5999999999999997E-2</v>
      </c>
      <c r="F43" s="129">
        <f t="shared" si="1"/>
        <v>3025455</v>
      </c>
    </row>
    <row r="44" spans="1:6">
      <c r="A44" s="13">
        <v>210063</v>
      </c>
      <c r="B44" s="13" t="s">
        <v>51</v>
      </c>
      <c r="C44" s="129">
        <f>VLOOKUP(A44,[1]Sheet1!$A$5:$I$61,9,FALSE)</f>
        <v>267964845.88307279</v>
      </c>
      <c r="D44" s="130">
        <f>VLOOKUP(A44,'[2]Model 1 Hospital Scores'!A$4:E$47,5,FALSE)</f>
        <v>0.74</v>
      </c>
      <c r="E44" s="131">
        <f t="shared" si="0"/>
        <v>2.6666666666666713E-3</v>
      </c>
      <c r="F44" s="129">
        <f t="shared" si="1"/>
        <v>714573</v>
      </c>
    </row>
    <row r="45" spans="1:6">
      <c r="A45" s="13">
        <v>210064</v>
      </c>
      <c r="B45" s="13" t="s">
        <v>115</v>
      </c>
      <c r="C45" s="129">
        <f>VLOOKUP(A45,[1]Sheet1!$A$5:$I$61,9,FALSE)</f>
        <v>63642884.194417797</v>
      </c>
      <c r="D45" s="130">
        <f>VLOOKUP(A45,'[2]Model 1 Hospital Scores'!A$4:E$47,5,FALSE)</f>
        <v>0.44</v>
      </c>
      <c r="E45" s="131">
        <f t="shared" si="0"/>
        <v>-5.333333333333334E-3</v>
      </c>
      <c r="F45" s="129">
        <f t="shared" si="1"/>
        <v>-339429</v>
      </c>
    </row>
    <row r="46" spans="1:6">
      <c r="A46" s="13">
        <v>210065</v>
      </c>
      <c r="B46" s="13" t="s">
        <v>121</v>
      </c>
      <c r="C46" s="129">
        <f>VLOOKUP(A46,[1]Sheet1!$A$5:$I$61,9,FALSE)</f>
        <v>74788277.035090461</v>
      </c>
      <c r="D46" s="130">
        <f>VLOOKUP(A46,'[2]Model 1 Hospital Scores'!A$4:E$47,5,FALSE)</f>
        <v>0.62</v>
      </c>
      <c r="E46" s="131">
        <f t="shared" si="0"/>
        <v>0</v>
      </c>
      <c r="F46" s="129">
        <f>ROUND(E46*C46,0)</f>
        <v>0</v>
      </c>
    </row>
    <row r="47" spans="1:6">
      <c r="A47" s="132"/>
      <c r="B47" s="132"/>
      <c r="C47" s="133"/>
      <c r="D47" s="134"/>
    </row>
    <row r="48" spans="1:6">
      <c r="B48" s="61" t="s">
        <v>73</v>
      </c>
      <c r="C48" s="62">
        <f>SUM(C3:C46)</f>
        <v>10879651504.641455</v>
      </c>
      <c r="D48" s="63">
        <f>AVERAGE($D$3:$D$46)</f>
        <v>0.66636363636363627</v>
      </c>
      <c r="E48" s="61" t="s">
        <v>73</v>
      </c>
      <c r="F48" s="62">
        <f>SUM(F3:F46)</f>
        <v>1178937</v>
      </c>
    </row>
    <row r="49" spans="1:6">
      <c r="D49" s="63">
        <f>MEDIAN($D$3:$D$46)</f>
        <v>0.63500000000000001</v>
      </c>
      <c r="E49" s="39" t="s">
        <v>54</v>
      </c>
      <c r="F49" s="65">
        <f>SUMIF(F3:F46,"&lt;0",F3:F46)</f>
        <v>-21076221</v>
      </c>
    </row>
    <row r="50" spans="1:6">
      <c r="D50" s="64"/>
      <c r="E50" s="66" t="s">
        <v>122</v>
      </c>
      <c r="F50" s="67">
        <f>F49/$C$48</f>
        <v>-1.937214716023625E-3</v>
      </c>
    </row>
    <row r="51" spans="1:6">
      <c r="D51" s="64"/>
      <c r="E51" s="39" t="s">
        <v>55</v>
      </c>
      <c r="F51" s="65">
        <f>SUMIF(F3:F46,"&gt;0",F3:F46)</f>
        <v>22255158</v>
      </c>
    </row>
    <row r="52" spans="1:6">
      <c r="D52" s="135"/>
      <c r="E52" s="66" t="s">
        <v>122</v>
      </c>
      <c r="F52" s="67">
        <f>F51/$C$48</f>
        <v>2.0455763670835917E-3</v>
      </c>
    </row>
    <row r="53" spans="1:6">
      <c r="A53" s="136" t="s">
        <v>123</v>
      </c>
      <c r="B53" s="136" t="s">
        <v>124</v>
      </c>
      <c r="D53" s="64"/>
      <c r="F53" s="137"/>
    </row>
    <row r="54" spans="1:6">
      <c r="A54" s="138" t="s">
        <v>125</v>
      </c>
      <c r="B54" s="139">
        <v>0</v>
      </c>
      <c r="D54" s="64"/>
      <c r="F54" s="137"/>
    </row>
    <row r="55" spans="1:6">
      <c r="A55" s="138" t="s">
        <v>126</v>
      </c>
      <c r="B55" s="140">
        <v>-0.02</v>
      </c>
      <c r="D55" s="64"/>
      <c r="F55" s="137"/>
    </row>
    <row r="56" spans="1:6">
      <c r="A56" s="138" t="s">
        <v>127</v>
      </c>
      <c r="B56" s="139">
        <v>1</v>
      </c>
      <c r="D56" s="64"/>
      <c r="F56" s="137"/>
    </row>
    <row r="57" spans="1:6">
      <c r="A57" s="138" t="s">
        <v>128</v>
      </c>
      <c r="B57" s="140">
        <v>0.02</v>
      </c>
      <c r="D57" s="64"/>
      <c r="F57" s="137"/>
    </row>
    <row r="58" spans="1:6">
      <c r="A58" s="138" t="s">
        <v>129</v>
      </c>
      <c r="B58" s="139">
        <v>0.6</v>
      </c>
      <c r="D58" s="64"/>
      <c r="F58" s="137"/>
    </row>
    <row r="59" spans="1:6">
      <c r="A59" s="138" t="s">
        <v>130</v>
      </c>
      <c r="B59" s="139">
        <v>0.7</v>
      </c>
      <c r="D59" s="64"/>
      <c r="F59" s="137"/>
    </row>
  </sheetData>
  <conditionalFormatting sqref="F3:F46">
    <cfRule type="colorScale" priority="1">
      <colorScale>
        <cfvo type="min"/>
        <cfvo type="percentile" val="50"/>
        <cfvo type="max"/>
        <color rgb="FFF8696B"/>
        <color rgb="FFFCFCFF"/>
        <color rgb="FF63BE7B"/>
      </colorScale>
    </cfRule>
  </conditionalFormatting>
  <printOptions horizontalCentered="1" verticalCentered="1"/>
  <pageMargins left="0.2" right="0.2" top="0.25" bottom="0.25" header="0.3" footer="0.3"/>
  <pageSetup scale="52" orientation="landscape" r:id="rId1"/>
  <headerFooter>
    <oddFooter>&amp;CHSCRC Work Group Meeting
Feb 2, 2015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8900A-B7E8-466A-8024-7D3CFA356D35}">
  <sheetPr>
    <pageSetUpPr fitToPage="1"/>
  </sheetPr>
  <dimension ref="A1:G59"/>
  <sheetViews>
    <sheetView workbookViewId="0">
      <pane xSplit="3" ySplit="1" topLeftCell="D38" activePane="bottomRight" state="frozen"/>
      <selection pane="topRight" activeCell="D1" sqref="D1"/>
      <selection pane="bottomLeft" activeCell="A3" sqref="A3"/>
      <selection pane="bottomRight" activeCell="B60" sqref="B60"/>
    </sheetView>
  </sheetViews>
  <sheetFormatPr defaultColWidth="9.26953125" defaultRowHeight="15.5"/>
  <cols>
    <col min="1" max="1" width="23.26953125" style="25" customWidth="1"/>
    <col min="2" max="2" width="32.81640625" style="25" customWidth="1"/>
    <col min="3" max="3" width="24.1796875" style="25" customWidth="1"/>
    <col min="4" max="4" width="22.1796875" style="25" customWidth="1"/>
    <col min="5" max="5" width="16.1796875" style="25" customWidth="1"/>
    <col min="6" max="6" width="17" style="25" customWidth="1"/>
    <col min="7" max="16384" width="9.26953125" style="25"/>
  </cols>
  <sheetData>
    <row r="1" spans="1:7">
      <c r="A1" s="59" t="s">
        <v>133</v>
      </c>
      <c r="B1" s="60"/>
      <c r="C1" s="60"/>
      <c r="D1" s="60"/>
      <c r="E1" s="60"/>
      <c r="F1" s="60"/>
    </row>
    <row r="2" spans="1:7" ht="28">
      <c r="A2" s="128" t="s">
        <v>67</v>
      </c>
      <c r="B2" s="128" t="s">
        <v>68</v>
      </c>
      <c r="C2" s="128" t="s">
        <v>131</v>
      </c>
      <c r="D2" s="128" t="s">
        <v>132</v>
      </c>
      <c r="E2" s="128" t="s">
        <v>69</v>
      </c>
      <c r="F2" s="128" t="s">
        <v>70</v>
      </c>
      <c r="G2" s="60" t="s">
        <v>99</v>
      </c>
    </row>
    <row r="3" spans="1:7">
      <c r="A3" s="13">
        <v>210001</v>
      </c>
      <c r="B3" s="13" t="s">
        <v>13</v>
      </c>
      <c r="C3" s="129">
        <v>233209898.29280609</v>
      </c>
      <c r="D3" s="130">
        <v>0.52</v>
      </c>
      <c r="E3" s="131">
        <f t="shared" ref="E3:E46" si="0">IF(D3&lt;=MHAC_Lowest_Score2,MHAC_Max_Penalty2,IF(D3&gt;=MHAC_Highest_Score2,MHAC_Max_Reward2,IF(D3&lt;MHAC_Penalty_Threshold2,MHAC_Max_Penalty2-((D3-MHAC_Lowest_Score2)*(MHAC_Max_Penalty2/(MHAC_Penalty_Threshold2-MHAC_Lowest_Score2))),IF(D3&gt;MHAC_Reward_Threshold2,MHAC_Max_Reward2- ((D3-MHAC_Highest_Score2)*(MHAC_Max_Reward2/(MHAC_Reward_Threshold2-MHAC_Highest_Score2))),0))))</f>
        <v>-1.4285714285714284E-3</v>
      </c>
      <c r="F3" s="129">
        <f t="shared" ref="F3:F45" si="1">ROUND(E3*C3,0)</f>
        <v>-333157</v>
      </c>
    </row>
    <row r="4" spans="1:7">
      <c r="A4" s="13">
        <v>210002</v>
      </c>
      <c r="B4" s="13" t="s">
        <v>14</v>
      </c>
      <c r="C4" s="129">
        <v>1169777419.1025653</v>
      </c>
      <c r="D4" s="130">
        <v>0.56000000000000005</v>
      </c>
      <c r="E4" s="131">
        <f t="shared" si="0"/>
        <v>0</v>
      </c>
      <c r="F4" s="129">
        <f t="shared" si="1"/>
        <v>0</v>
      </c>
    </row>
    <row r="5" spans="1:7">
      <c r="A5" s="13">
        <v>210003</v>
      </c>
      <c r="B5" s="13" t="s">
        <v>15</v>
      </c>
      <c r="C5" s="129">
        <v>272737060.9453848</v>
      </c>
      <c r="D5" s="130">
        <v>0.4</v>
      </c>
      <c r="E5" s="131">
        <f t="shared" si="0"/>
        <v>-5.7142857142857151E-3</v>
      </c>
      <c r="F5" s="129">
        <f t="shared" si="1"/>
        <v>-1558497</v>
      </c>
    </row>
    <row r="6" spans="1:7">
      <c r="A6" s="13">
        <v>210004</v>
      </c>
      <c r="B6" s="13" t="s">
        <v>16</v>
      </c>
      <c r="C6" s="129">
        <v>395179292.24487001</v>
      </c>
      <c r="D6" s="130">
        <v>0.76</v>
      </c>
      <c r="E6" s="131">
        <f t="shared" si="0"/>
        <v>5.8823529411764705E-3</v>
      </c>
      <c r="F6" s="129">
        <f t="shared" si="1"/>
        <v>2324584</v>
      </c>
    </row>
    <row r="7" spans="1:7">
      <c r="A7" s="13">
        <v>210005</v>
      </c>
      <c r="B7" s="13" t="s">
        <v>17</v>
      </c>
      <c r="C7" s="129">
        <v>245875328.80849966</v>
      </c>
      <c r="D7" s="130">
        <v>0.61</v>
      </c>
      <c r="E7" s="131">
        <f t="shared" si="0"/>
        <v>0</v>
      </c>
      <c r="F7" s="129">
        <f t="shared" si="1"/>
        <v>0</v>
      </c>
    </row>
    <row r="8" spans="1:7">
      <c r="A8" s="13">
        <v>210006</v>
      </c>
      <c r="B8" s="13" t="s">
        <v>18</v>
      </c>
      <c r="C8" s="129">
        <v>67709798.545058176</v>
      </c>
      <c r="D8" s="130">
        <v>0.31</v>
      </c>
      <c r="E8" s="131">
        <f t="shared" si="0"/>
        <v>-8.9285714285714298E-3</v>
      </c>
      <c r="F8" s="129">
        <f t="shared" si="1"/>
        <v>-604552</v>
      </c>
    </row>
    <row r="9" spans="1:7">
      <c r="A9" s="13">
        <v>210008</v>
      </c>
      <c r="B9" s="13" t="s">
        <v>19</v>
      </c>
      <c r="C9" s="129">
        <v>231085559.56053197</v>
      </c>
      <c r="D9" s="130">
        <v>0.47</v>
      </c>
      <c r="E9" s="131">
        <f t="shared" si="0"/>
        <v>-3.2142857142857181E-3</v>
      </c>
      <c r="F9" s="129">
        <f t="shared" si="1"/>
        <v>-742775</v>
      </c>
    </row>
    <row r="10" spans="1:7">
      <c r="A10" s="13">
        <v>210009</v>
      </c>
      <c r="B10" s="13" t="s">
        <v>20</v>
      </c>
      <c r="C10" s="129">
        <v>1689351200.3065054</v>
      </c>
      <c r="D10" s="130">
        <v>0.3</v>
      </c>
      <c r="E10" s="131">
        <f t="shared" si="0"/>
        <v>-9.2857142857142878E-3</v>
      </c>
      <c r="F10" s="129">
        <f t="shared" si="1"/>
        <v>-15686833</v>
      </c>
    </row>
    <row r="11" spans="1:7">
      <c r="A11" s="13">
        <v>210011</v>
      </c>
      <c r="B11" s="13" t="s">
        <v>21</v>
      </c>
      <c r="C11" s="129">
        <v>243049519.64796227</v>
      </c>
      <c r="D11" s="130">
        <v>0.62</v>
      </c>
      <c r="E11" s="131">
        <f t="shared" si="0"/>
        <v>0</v>
      </c>
      <c r="F11" s="129">
        <f t="shared" si="1"/>
        <v>0</v>
      </c>
    </row>
    <row r="12" spans="1:7">
      <c r="A12" s="13">
        <v>210012</v>
      </c>
      <c r="B12" s="13" t="s">
        <v>22</v>
      </c>
      <c r="C12" s="129">
        <v>499177175.30070233</v>
      </c>
      <c r="D12" s="130">
        <v>0.52</v>
      </c>
      <c r="E12" s="131">
        <f t="shared" si="0"/>
        <v>-1.4285714285714284E-3</v>
      </c>
      <c r="F12" s="129">
        <f t="shared" si="1"/>
        <v>-713110</v>
      </c>
    </row>
    <row r="13" spans="1:7">
      <c r="A13" s="13">
        <v>210015</v>
      </c>
      <c r="B13" s="13" t="s">
        <v>23</v>
      </c>
      <c r="C13" s="129">
        <v>325444692.32110155</v>
      </c>
      <c r="D13" s="130">
        <v>0.77</v>
      </c>
      <c r="E13" s="131">
        <f t="shared" si="0"/>
        <v>6.4705882352941169E-3</v>
      </c>
      <c r="F13" s="129">
        <f t="shared" si="1"/>
        <v>2105819</v>
      </c>
    </row>
    <row r="14" spans="1:7">
      <c r="A14" s="13">
        <v>210016</v>
      </c>
      <c r="B14" s="13" t="s">
        <v>24</v>
      </c>
      <c r="C14" s="129">
        <v>206054276.81773111</v>
      </c>
      <c r="D14" s="130">
        <v>0.59</v>
      </c>
      <c r="E14" s="131">
        <f t="shared" si="0"/>
        <v>0</v>
      </c>
      <c r="F14" s="129">
        <f t="shared" si="1"/>
        <v>0</v>
      </c>
    </row>
    <row r="15" spans="1:7">
      <c r="A15" s="13">
        <v>210017</v>
      </c>
      <c r="B15" s="13" t="s">
        <v>25</v>
      </c>
      <c r="C15" s="129">
        <v>22448741.860533666</v>
      </c>
      <c r="D15" s="130">
        <v>1</v>
      </c>
      <c r="E15" s="131">
        <f t="shared" si="0"/>
        <v>0.02</v>
      </c>
      <c r="F15" s="129">
        <f t="shared" si="1"/>
        <v>448975</v>
      </c>
    </row>
    <row r="16" spans="1:7">
      <c r="A16" s="13">
        <v>210018</v>
      </c>
      <c r="B16" s="13" t="s">
        <v>26</v>
      </c>
      <c r="C16" s="129">
        <v>86911104.151931316</v>
      </c>
      <c r="D16" s="130">
        <v>0.63</v>
      </c>
      <c r="E16" s="131">
        <f t="shared" si="0"/>
        <v>0</v>
      </c>
      <c r="F16" s="129">
        <f t="shared" si="1"/>
        <v>0</v>
      </c>
    </row>
    <row r="17" spans="1:6">
      <c r="A17" s="13">
        <v>210019</v>
      </c>
      <c r="B17" s="13" t="s">
        <v>71</v>
      </c>
      <c r="C17" s="129">
        <v>273261892.18496162</v>
      </c>
      <c r="D17" s="130">
        <v>0.84</v>
      </c>
      <c r="E17" s="131">
        <f t="shared" si="0"/>
        <v>1.0588235294117645E-2</v>
      </c>
      <c r="F17" s="129">
        <f t="shared" si="1"/>
        <v>2893361</v>
      </c>
    </row>
    <row r="18" spans="1:6">
      <c r="A18" s="13">
        <v>210022</v>
      </c>
      <c r="B18" s="13" t="s">
        <v>28</v>
      </c>
      <c r="C18" s="129">
        <v>234289464.42853409</v>
      </c>
      <c r="D18" s="130">
        <v>0.55000000000000004</v>
      </c>
      <c r="E18" s="131">
        <f t="shared" si="0"/>
        <v>-3.5714285714285796E-4</v>
      </c>
      <c r="F18" s="129">
        <f t="shared" si="1"/>
        <v>-83675</v>
      </c>
    </row>
    <row r="19" spans="1:6">
      <c r="A19" s="13">
        <v>210023</v>
      </c>
      <c r="B19" s="13" t="s">
        <v>29</v>
      </c>
      <c r="C19" s="129">
        <v>378319646.6993916</v>
      </c>
      <c r="D19" s="130">
        <v>0.54</v>
      </c>
      <c r="E19" s="131">
        <f t="shared" si="0"/>
        <v>-7.1428571428571591E-4</v>
      </c>
      <c r="F19" s="129">
        <f t="shared" si="1"/>
        <v>-270228</v>
      </c>
    </row>
    <row r="20" spans="1:6">
      <c r="A20" s="13">
        <v>210024</v>
      </c>
      <c r="B20" s="13" t="s">
        <v>30</v>
      </c>
      <c r="C20" s="129">
        <v>274240267.41213882</v>
      </c>
      <c r="D20" s="130">
        <v>0.73</v>
      </c>
      <c r="E20" s="131">
        <f t="shared" si="0"/>
        <v>4.117647058823528E-3</v>
      </c>
      <c r="F20" s="129">
        <f t="shared" si="1"/>
        <v>1129225</v>
      </c>
    </row>
    <row r="21" spans="1:6" ht="31">
      <c r="A21" s="13">
        <v>210027</v>
      </c>
      <c r="B21" s="13" t="s">
        <v>31</v>
      </c>
      <c r="C21" s="129">
        <v>177776317.14814913</v>
      </c>
      <c r="D21" s="130">
        <v>0.38</v>
      </c>
      <c r="E21" s="131">
        <f t="shared" si="0"/>
        <v>-6.4285714285714293E-3</v>
      </c>
      <c r="F21" s="129">
        <f t="shared" si="1"/>
        <v>-1142848</v>
      </c>
    </row>
    <row r="22" spans="1:6">
      <c r="A22" s="13">
        <v>210028</v>
      </c>
      <c r="B22" s="13" t="s">
        <v>32</v>
      </c>
      <c r="C22" s="129">
        <v>91631804.258244663</v>
      </c>
      <c r="D22" s="130">
        <v>0.71</v>
      </c>
      <c r="E22" s="131">
        <f t="shared" si="0"/>
        <v>2.9411764705882318E-3</v>
      </c>
      <c r="F22" s="129">
        <f t="shared" si="1"/>
        <v>269505</v>
      </c>
    </row>
    <row r="23" spans="1:6">
      <c r="A23" s="13">
        <v>210029</v>
      </c>
      <c r="B23" s="13" t="s">
        <v>33</v>
      </c>
      <c r="C23" s="129">
        <v>446329672.23355418</v>
      </c>
      <c r="D23" s="130">
        <v>0.53</v>
      </c>
      <c r="E23" s="131">
        <f t="shared" si="0"/>
        <v>-1.0714285714285704E-3</v>
      </c>
      <c r="F23" s="129">
        <f t="shared" si="1"/>
        <v>-478210</v>
      </c>
    </row>
    <row r="24" spans="1:6">
      <c r="A24" s="13">
        <v>210030</v>
      </c>
      <c r="B24" s="13" t="s">
        <v>34</v>
      </c>
      <c r="C24" s="129">
        <v>12799737.023223758</v>
      </c>
      <c r="D24" s="130" t="s">
        <v>134</v>
      </c>
      <c r="E24" s="131">
        <f t="shared" si="0"/>
        <v>0.02</v>
      </c>
      <c r="F24" s="129">
        <f t="shared" si="1"/>
        <v>255995</v>
      </c>
    </row>
    <row r="25" spans="1:6" ht="31">
      <c r="A25" s="13">
        <v>210032</v>
      </c>
      <c r="B25" s="13" t="s">
        <v>35</v>
      </c>
      <c r="C25" s="129">
        <v>74867815.898296461</v>
      </c>
      <c r="D25" s="130">
        <v>0.77</v>
      </c>
      <c r="E25" s="131">
        <f t="shared" si="0"/>
        <v>6.4705882352941169E-3</v>
      </c>
      <c r="F25" s="129">
        <f t="shared" si="1"/>
        <v>484439</v>
      </c>
    </row>
    <row r="26" spans="1:6">
      <c r="A26" s="13">
        <v>210033</v>
      </c>
      <c r="B26" s="13" t="s">
        <v>36</v>
      </c>
      <c r="C26" s="129">
        <v>146579134.30840614</v>
      </c>
      <c r="D26" s="130">
        <v>0.79</v>
      </c>
      <c r="E26" s="131">
        <f t="shared" si="0"/>
        <v>7.647058823529413E-3</v>
      </c>
      <c r="F26" s="129">
        <f t="shared" si="1"/>
        <v>1120899</v>
      </c>
    </row>
    <row r="27" spans="1:6">
      <c r="A27" s="13">
        <v>210034</v>
      </c>
      <c r="B27" s="13" t="s">
        <v>37</v>
      </c>
      <c r="C27" s="129">
        <v>130460757.98273204</v>
      </c>
      <c r="D27" s="130">
        <v>0.61</v>
      </c>
      <c r="E27" s="131">
        <f t="shared" si="0"/>
        <v>0</v>
      </c>
      <c r="F27" s="129">
        <f t="shared" si="1"/>
        <v>0</v>
      </c>
    </row>
    <row r="28" spans="1:6">
      <c r="A28" s="13">
        <v>210035</v>
      </c>
      <c r="B28" s="13" t="s">
        <v>38</v>
      </c>
      <c r="C28" s="129">
        <v>95179409.927647993</v>
      </c>
      <c r="D28" s="130">
        <v>0.67</v>
      </c>
      <c r="E28" s="131">
        <f t="shared" si="0"/>
        <v>5.8823529411764636E-4</v>
      </c>
      <c r="F28" s="129">
        <f t="shared" si="1"/>
        <v>55988</v>
      </c>
    </row>
    <row r="29" spans="1:6">
      <c r="A29" s="13">
        <v>210037</v>
      </c>
      <c r="B29" s="13" t="s">
        <v>39</v>
      </c>
      <c r="C29" s="129">
        <v>117255633.45625928</v>
      </c>
      <c r="D29" s="130">
        <v>0.7</v>
      </c>
      <c r="E29" s="131">
        <f t="shared" si="0"/>
        <v>2.3529411764705854E-3</v>
      </c>
      <c r="F29" s="129">
        <f t="shared" si="1"/>
        <v>275896</v>
      </c>
    </row>
    <row r="30" spans="1:6">
      <c r="A30" s="13">
        <v>210038</v>
      </c>
      <c r="B30" s="13" t="s">
        <v>40</v>
      </c>
      <c r="C30" s="129">
        <v>128795219.33140594</v>
      </c>
      <c r="D30" s="130">
        <v>0.59</v>
      </c>
      <c r="E30" s="131">
        <f t="shared" si="0"/>
        <v>0</v>
      </c>
      <c r="F30" s="129">
        <f t="shared" si="1"/>
        <v>0</v>
      </c>
    </row>
    <row r="31" spans="1:6">
      <c r="A31" s="13">
        <v>210039</v>
      </c>
      <c r="B31" s="13" t="s">
        <v>41</v>
      </c>
      <c r="C31" s="129">
        <v>82050333.022346303</v>
      </c>
      <c r="D31" s="130">
        <v>0.4</v>
      </c>
      <c r="E31" s="131">
        <f t="shared" si="0"/>
        <v>-5.7142857142857151E-3</v>
      </c>
      <c r="F31" s="129">
        <f t="shared" si="1"/>
        <v>-468859</v>
      </c>
    </row>
    <row r="32" spans="1:6">
      <c r="A32" s="13">
        <v>210040</v>
      </c>
      <c r="B32" s="13" t="s">
        <v>42</v>
      </c>
      <c r="C32" s="129">
        <v>151174669.60064766</v>
      </c>
      <c r="D32" s="130">
        <v>0.74</v>
      </c>
      <c r="E32" s="131">
        <f t="shared" si="0"/>
        <v>4.7058823529411743E-3</v>
      </c>
      <c r="F32" s="129">
        <f t="shared" si="1"/>
        <v>711410</v>
      </c>
    </row>
    <row r="33" spans="1:6" ht="31">
      <c r="A33" s="13">
        <v>210043</v>
      </c>
      <c r="B33" s="13" t="s">
        <v>72</v>
      </c>
      <c r="C33" s="129">
        <v>310629291.55806202</v>
      </c>
      <c r="D33" s="130">
        <v>0.75</v>
      </c>
      <c r="E33" s="131">
        <f t="shared" si="0"/>
        <v>5.2941176470588224E-3</v>
      </c>
      <c r="F33" s="129">
        <f t="shared" si="1"/>
        <v>1644508</v>
      </c>
    </row>
    <row r="34" spans="1:6">
      <c r="A34" s="13">
        <v>210044</v>
      </c>
      <c r="B34" s="13" t="s">
        <v>44</v>
      </c>
      <c r="C34" s="129">
        <v>234417802.74342716</v>
      </c>
      <c r="D34" s="130">
        <v>0.51</v>
      </c>
      <c r="E34" s="131">
        <f t="shared" si="0"/>
        <v>-1.7857142857142863E-3</v>
      </c>
      <c r="F34" s="129">
        <f t="shared" si="1"/>
        <v>-418603</v>
      </c>
    </row>
    <row r="35" spans="1:6">
      <c r="A35" s="13">
        <v>210048</v>
      </c>
      <c r="B35" s="13" t="s">
        <v>45</v>
      </c>
      <c r="C35" s="129">
        <v>211409027.60942188</v>
      </c>
      <c r="D35" s="130">
        <v>0.4</v>
      </c>
      <c r="E35" s="131">
        <f t="shared" si="0"/>
        <v>-5.7142857142857151E-3</v>
      </c>
      <c r="F35" s="129">
        <f t="shared" si="1"/>
        <v>-1208052</v>
      </c>
    </row>
    <row r="36" spans="1:6" ht="31">
      <c r="A36" s="13">
        <v>210049</v>
      </c>
      <c r="B36" s="13" t="s">
        <v>46</v>
      </c>
      <c r="C36" s="129">
        <v>189719193.58650389</v>
      </c>
      <c r="D36" s="130">
        <v>0.48</v>
      </c>
      <c r="E36" s="131">
        <f t="shared" si="0"/>
        <v>-2.8571428571428602E-3</v>
      </c>
      <c r="F36" s="129">
        <f t="shared" si="1"/>
        <v>-542055</v>
      </c>
    </row>
    <row r="37" spans="1:6">
      <c r="A37" s="13">
        <v>210051</v>
      </c>
      <c r="B37" s="13" t="s">
        <v>47</v>
      </c>
      <c r="C37" s="129">
        <v>180962137.96314165</v>
      </c>
      <c r="D37" s="130">
        <v>0.77</v>
      </c>
      <c r="E37" s="131">
        <f t="shared" si="0"/>
        <v>6.4705882352941169E-3</v>
      </c>
      <c r="F37" s="129">
        <f t="shared" si="1"/>
        <v>1170931</v>
      </c>
    </row>
    <row r="38" spans="1:6">
      <c r="A38" s="13">
        <v>210056</v>
      </c>
      <c r="B38" s="13" t="s">
        <v>118</v>
      </c>
      <c r="C38" s="129">
        <v>185901046.41531754</v>
      </c>
      <c r="D38" s="130">
        <v>0.77</v>
      </c>
      <c r="E38" s="131">
        <f t="shared" si="0"/>
        <v>6.4705882352941169E-3</v>
      </c>
      <c r="F38" s="129">
        <f t="shared" si="1"/>
        <v>1202889</v>
      </c>
    </row>
    <row r="39" spans="1:6">
      <c r="A39" s="13">
        <v>210057</v>
      </c>
      <c r="B39" s="13" t="s">
        <v>119</v>
      </c>
      <c r="C39" s="129">
        <v>317446406.37621063</v>
      </c>
      <c r="D39" s="130">
        <v>0.59</v>
      </c>
      <c r="E39" s="131">
        <f t="shared" si="0"/>
        <v>0</v>
      </c>
      <c r="F39" s="129">
        <f t="shared" si="1"/>
        <v>0</v>
      </c>
    </row>
    <row r="40" spans="1:6">
      <c r="A40" s="13">
        <v>210058</v>
      </c>
      <c r="B40" s="13" t="s">
        <v>120</v>
      </c>
      <c r="C40" s="129">
        <v>76544370.742892802</v>
      </c>
      <c r="D40" s="130">
        <v>0.97</v>
      </c>
      <c r="E40" s="131">
        <f t="shared" si="0"/>
        <v>1.8235294117647058E-2</v>
      </c>
      <c r="F40" s="129">
        <f t="shared" si="1"/>
        <v>1395809</v>
      </c>
    </row>
    <row r="41" spans="1:6">
      <c r="A41" s="13">
        <v>210060</v>
      </c>
      <c r="B41" s="13" t="s">
        <v>48</v>
      </c>
      <c r="C41" s="129">
        <v>29662990.1900758</v>
      </c>
      <c r="D41" s="130">
        <v>0.8</v>
      </c>
      <c r="E41" s="131">
        <f t="shared" si="0"/>
        <v>8.2352941176470611E-3</v>
      </c>
      <c r="F41" s="129">
        <f t="shared" si="1"/>
        <v>244283</v>
      </c>
    </row>
    <row r="42" spans="1:6">
      <c r="A42" s="13">
        <v>210061</v>
      </c>
      <c r="B42" s="13" t="s">
        <v>49</v>
      </c>
      <c r="C42" s="129">
        <v>44449448.916606866</v>
      </c>
      <c r="D42" s="130">
        <v>0.26</v>
      </c>
      <c r="E42" s="131">
        <f t="shared" si="0"/>
        <v>-1.0714285714285714E-2</v>
      </c>
      <c r="F42" s="129">
        <f t="shared" si="1"/>
        <v>-476244</v>
      </c>
    </row>
    <row r="43" spans="1:6">
      <c r="A43" s="13">
        <v>210062</v>
      </c>
      <c r="B43" s="13" t="s">
        <v>50</v>
      </c>
      <c r="C43" s="129">
        <v>189090938.60508713</v>
      </c>
      <c r="D43" s="130">
        <v>0.9</v>
      </c>
      <c r="E43" s="131">
        <f t="shared" si="0"/>
        <v>1.411764705882353E-2</v>
      </c>
      <c r="F43" s="129">
        <f t="shared" si="1"/>
        <v>2669519</v>
      </c>
    </row>
    <row r="44" spans="1:6">
      <c r="A44" s="13">
        <v>210063</v>
      </c>
      <c r="B44" s="13" t="s">
        <v>51</v>
      </c>
      <c r="C44" s="129">
        <v>267964845.88307279</v>
      </c>
      <c r="D44" s="130">
        <v>0.72</v>
      </c>
      <c r="E44" s="131">
        <f t="shared" si="0"/>
        <v>3.5294117647058781E-3</v>
      </c>
      <c r="F44" s="129">
        <f t="shared" si="1"/>
        <v>945758</v>
      </c>
    </row>
    <row r="45" spans="1:6">
      <c r="A45" s="13">
        <v>210064</v>
      </c>
      <c r="B45" s="13" t="s">
        <v>115</v>
      </c>
      <c r="C45" s="129">
        <v>63642884.194417797</v>
      </c>
      <c r="D45" s="130">
        <v>0.42</v>
      </c>
      <c r="E45" s="131">
        <f t="shared" si="0"/>
        <v>-5.000000000000001E-3</v>
      </c>
      <c r="F45" s="129">
        <f t="shared" si="1"/>
        <v>-318214</v>
      </c>
    </row>
    <row r="46" spans="1:6">
      <c r="A46" s="13">
        <v>210065</v>
      </c>
      <c r="B46" s="13" t="s">
        <v>121</v>
      </c>
      <c r="C46" s="129">
        <v>74788277.035090461</v>
      </c>
      <c r="D46" s="130">
        <v>0.77</v>
      </c>
      <c r="E46" s="131">
        <f t="shared" si="0"/>
        <v>6.4705882352941169E-3</v>
      </c>
      <c r="F46" s="129">
        <f>ROUND(E46*C46,0)</f>
        <v>483924</v>
      </c>
    </row>
    <row r="47" spans="1:6">
      <c r="A47" s="132"/>
      <c r="B47" s="132"/>
      <c r="C47" s="133"/>
      <c r="D47" s="134"/>
    </row>
    <row r="48" spans="1:6">
      <c r="B48" s="61" t="s">
        <v>73</v>
      </c>
      <c r="C48" s="62">
        <f>SUM(C3:C46)</f>
        <v>10879651504.641455</v>
      </c>
      <c r="D48" s="63">
        <f>AVERAGE($D$3:$D$46)</f>
        <v>0.62139534883720926</v>
      </c>
      <c r="E48" s="61" t="s">
        <v>73</v>
      </c>
      <c r="F48" s="62">
        <f>SUM(F3:F46)</f>
        <v>-3212195</v>
      </c>
    </row>
    <row r="49" spans="1:6">
      <c r="D49" s="63">
        <f>MEDIAN($D$3:$D$46)</f>
        <v>0.61</v>
      </c>
      <c r="E49" s="39" t="s">
        <v>54</v>
      </c>
      <c r="F49" s="65">
        <f>SUMIF(F3:F46,"&lt;0",F3:F46)</f>
        <v>-25045912</v>
      </c>
    </row>
    <row r="50" spans="1:6">
      <c r="D50" s="64"/>
      <c r="E50" s="66" t="s">
        <v>122</v>
      </c>
      <c r="F50" s="67">
        <f>F49/$C$48</f>
        <v>-2.3020877083530628E-3</v>
      </c>
    </row>
    <row r="51" spans="1:6">
      <c r="D51" s="64"/>
      <c r="E51" s="39" t="s">
        <v>55</v>
      </c>
      <c r="F51" s="65">
        <f>SUMIF(F3:F46,"&gt;0",F3:F46)</f>
        <v>21833717</v>
      </c>
    </row>
    <row r="52" spans="1:6">
      <c r="D52" s="135"/>
      <c r="E52" s="66" t="s">
        <v>122</v>
      </c>
      <c r="F52" s="67">
        <f>F51/$C$48</f>
        <v>2.0068397402881284E-3</v>
      </c>
    </row>
    <row r="53" spans="1:6">
      <c r="A53" s="136" t="s">
        <v>123</v>
      </c>
      <c r="B53" s="136" t="s">
        <v>124</v>
      </c>
      <c r="D53" s="64"/>
      <c r="F53" s="137"/>
    </row>
    <row r="54" spans="1:6">
      <c r="A54" s="138" t="s">
        <v>125</v>
      </c>
      <c r="B54" s="139">
        <v>0</v>
      </c>
      <c r="D54" s="64"/>
      <c r="F54" s="137"/>
    </row>
    <row r="55" spans="1:6">
      <c r="A55" s="138" t="s">
        <v>126</v>
      </c>
      <c r="B55" s="140">
        <v>-0.02</v>
      </c>
      <c r="D55" s="64"/>
      <c r="F55" s="137"/>
    </row>
    <row r="56" spans="1:6">
      <c r="A56" s="138" t="s">
        <v>127</v>
      </c>
      <c r="B56" s="139">
        <v>1</v>
      </c>
      <c r="D56" s="64"/>
      <c r="F56" s="137"/>
    </row>
    <row r="57" spans="1:6">
      <c r="A57" s="138" t="s">
        <v>128</v>
      </c>
      <c r="B57" s="140">
        <v>0.02</v>
      </c>
      <c r="D57" s="64"/>
      <c r="F57" s="137"/>
    </row>
    <row r="58" spans="1:6">
      <c r="A58" s="138" t="s">
        <v>129</v>
      </c>
      <c r="B58" s="139">
        <v>0.56000000000000005</v>
      </c>
      <c r="D58" s="64"/>
      <c r="F58" s="137"/>
    </row>
    <row r="59" spans="1:6">
      <c r="A59" s="138" t="s">
        <v>130</v>
      </c>
      <c r="B59" s="139">
        <v>0.66</v>
      </c>
      <c r="D59" s="64"/>
      <c r="F59" s="137"/>
    </row>
  </sheetData>
  <conditionalFormatting sqref="F3:F46">
    <cfRule type="colorScale" priority="1">
      <colorScale>
        <cfvo type="min"/>
        <cfvo type="percentile" val="50"/>
        <cfvo type="max"/>
        <color rgb="FFF8696B"/>
        <color rgb="FFFCFCFF"/>
        <color rgb="FF63BE7B"/>
      </colorScale>
    </cfRule>
  </conditionalFormatting>
  <printOptions horizontalCentered="1" verticalCentered="1"/>
  <pageMargins left="0.2" right="0.2" top="0.25" bottom="0.25" header="0.3" footer="0.3"/>
  <pageSetup scale="52" orientation="landscape" r:id="rId1"/>
  <headerFooter>
    <oddFooter>&amp;CHSCRC Work Group Meeting
Feb 2, 2015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20C0C-05F1-4E53-92DB-AE35E4623EDD}">
  <dimension ref="A1:AF66"/>
  <sheetViews>
    <sheetView workbookViewId="0">
      <pane xSplit="1" ySplit="3" topLeftCell="B4" activePane="bottomRight" state="frozen"/>
      <selection pane="topRight" activeCell="B1" sqref="B1"/>
      <selection pane="bottomLeft" activeCell="A4" sqref="A4"/>
      <selection pane="bottomRight" activeCell="H37" sqref="H37"/>
    </sheetView>
  </sheetViews>
  <sheetFormatPr defaultColWidth="9.26953125" defaultRowHeight="15.5"/>
  <cols>
    <col min="1" max="1" width="10" style="2" customWidth="1"/>
    <col min="2" max="2" width="41.453125" style="1" customWidth="1"/>
    <col min="3" max="5" width="18.7265625" style="2" customWidth="1"/>
    <col min="6" max="6" width="19.81640625" style="2" bestFit="1" customWidth="1"/>
    <col min="7" max="7" width="12.26953125" style="2" bestFit="1" customWidth="1"/>
    <col min="8" max="8" width="17.1796875" style="2" customWidth="1"/>
    <col min="9" max="9" width="20.54296875" style="2" customWidth="1"/>
    <col min="10" max="10" width="12.54296875" style="2" customWidth="1"/>
    <col min="11" max="11" width="15" style="2" customWidth="1"/>
    <col min="12" max="12" width="16" style="2" customWidth="1"/>
    <col min="13" max="13" width="20.453125" style="2" customWidth="1"/>
    <col min="14" max="14" width="20.1796875" style="2" customWidth="1"/>
    <col min="15" max="15" width="16.1796875" style="2" customWidth="1"/>
    <col min="16" max="16" width="18" style="3" customWidth="1"/>
    <col min="17" max="17" width="13.1796875" style="2" customWidth="1"/>
    <col min="18" max="18" width="14.54296875" style="2" customWidth="1"/>
    <col min="19" max="19" width="17.7265625" style="2" customWidth="1"/>
    <col min="20" max="20" width="28.1796875" style="2" customWidth="1"/>
    <col min="21" max="21" width="19.1796875" style="2" customWidth="1"/>
    <col min="22" max="22" width="21" style="2" customWidth="1"/>
    <col min="23" max="23" width="13.453125" style="1" customWidth="1"/>
    <col min="24" max="24" width="9.26953125" style="2" customWidth="1"/>
    <col min="25" max="25" width="12" style="2" customWidth="1"/>
    <col min="26" max="26" width="21.453125" style="2" customWidth="1"/>
    <col min="27" max="27" width="12.26953125" style="2" customWidth="1"/>
    <col min="28" max="29" width="9.26953125" style="2" customWidth="1"/>
    <col min="30" max="30" width="19.54296875" style="2" customWidth="1"/>
    <col min="31" max="31" width="19.54296875" style="2" bestFit="1" customWidth="1"/>
    <col min="32" max="33" width="13.7265625" style="2" customWidth="1"/>
    <col min="34" max="16384" width="9.26953125" style="2"/>
  </cols>
  <sheetData>
    <row r="1" spans="1:23">
      <c r="A1" s="68"/>
    </row>
    <row r="2" spans="1:23" ht="18.75" customHeight="1">
      <c r="A2" s="117" t="s">
        <v>135</v>
      </c>
      <c r="B2" s="2"/>
      <c r="C2" s="68"/>
      <c r="D2" s="68"/>
      <c r="E2" s="68"/>
      <c r="F2" s="1"/>
      <c r="G2" s="165" t="s">
        <v>0</v>
      </c>
      <c r="H2" s="166"/>
      <c r="I2" s="167"/>
      <c r="J2" s="168" t="s">
        <v>1</v>
      </c>
      <c r="K2" s="169"/>
      <c r="L2" s="169"/>
      <c r="M2" s="170"/>
      <c r="N2" s="171" t="s">
        <v>2</v>
      </c>
      <c r="O2" s="171"/>
      <c r="P2" s="171"/>
      <c r="W2" s="2"/>
    </row>
    <row r="3" spans="1:23" s="11" customFormat="1" ht="84">
      <c r="A3" s="4" t="s">
        <v>3</v>
      </c>
      <c r="B3" s="5" t="s">
        <v>4</v>
      </c>
      <c r="C3" s="6" t="s">
        <v>100</v>
      </c>
      <c r="D3" s="6" t="s">
        <v>74</v>
      </c>
      <c r="E3" s="6" t="s">
        <v>75</v>
      </c>
      <c r="F3" s="7" t="s">
        <v>10</v>
      </c>
      <c r="G3" s="8" t="s">
        <v>5</v>
      </c>
      <c r="H3" s="8" t="s">
        <v>6</v>
      </c>
      <c r="I3" s="8" t="s">
        <v>7</v>
      </c>
      <c r="J3" s="9" t="s">
        <v>11</v>
      </c>
      <c r="K3" s="9" t="s">
        <v>12</v>
      </c>
      <c r="L3" s="9" t="s">
        <v>6</v>
      </c>
      <c r="M3" s="9" t="s">
        <v>7</v>
      </c>
      <c r="N3" s="10" t="s">
        <v>8</v>
      </c>
      <c r="O3" s="10" t="s">
        <v>76</v>
      </c>
      <c r="P3" s="10" t="s">
        <v>9</v>
      </c>
      <c r="Q3" s="11" t="s">
        <v>99</v>
      </c>
    </row>
    <row r="4" spans="1:23">
      <c r="A4" s="12">
        <v>210001</v>
      </c>
      <c r="B4" s="13" t="s">
        <v>13</v>
      </c>
      <c r="C4" s="14">
        <v>233209898.29280609</v>
      </c>
      <c r="D4" s="71">
        <v>0.11260000000000001</v>
      </c>
      <c r="E4" s="72">
        <v>0.106</v>
      </c>
      <c r="F4" s="15">
        <f>E4/D4-1</f>
        <v>-5.8614564831261151E-2</v>
      </c>
      <c r="G4" s="16">
        <f t="shared" ref="G4:G47" si="0">ImpTarget</f>
        <v>-4.5699999999999998E-2</v>
      </c>
      <c r="H4" s="17" cm="1">
        <f t="array" ref="H4">ROUND(IF(F44&lt;=ImpMaxRewardScore,MaxReward,IF(F44&gt;=ImpMaxPenaltyScore,MaxPenalty,IF(F44&lt;=ImpTarget,MaxReward*((F44-ImpTarget)/(ImpMaxRewardScore-ImpTarget)),MaxPenalty*((F44-ImpTarget)/(ImpMaxPenaltyScore-ImpTarget))))),4)</f>
        <v>3.0000000000000001E-3</v>
      </c>
      <c r="I4" s="18">
        <f t="shared" ref="I4:I47" si="1">ROUND($C4*H4,0)</f>
        <v>699630</v>
      </c>
      <c r="J4" s="19">
        <v>0.11769711934156378</v>
      </c>
      <c r="K4" s="19">
        <f>'[3]model 2 OOS'!$J$7</f>
        <v>0.11548630434782609</v>
      </c>
      <c r="L4" s="20">
        <f t="shared" ref="L4:L47" si="2">ROUND(IF(J4&lt;=AttMaxRewardScore,MaxReward,IF(J4&gt;=AttMaxPenaltyScore,MaxPenalty,IF(J4&lt;=AttTarget,MaxReward*((J4-AttTarget)/(AttMaxRewardScore-AttTarget)),MaxPenalty*((J4-AttTarget)/(AttMaxPenaltyScore-AttTarget))))),4)</f>
        <v>-3.0000000000000001E-3</v>
      </c>
      <c r="M4" s="21">
        <f t="shared" ref="M4:M47" si="3">ROUND($C4*L4,0)</f>
        <v>-699630</v>
      </c>
      <c r="N4" s="22">
        <f t="shared" ref="N4:N47" si="4">MAX(I4,M4)</f>
        <v>699630</v>
      </c>
      <c r="O4" s="19">
        <f t="shared" ref="O4:O47" si="5">N4/C4</f>
        <v>3.0000013083560516E-3</v>
      </c>
      <c r="P4" s="23" t="str">
        <f t="shared" ref="P4:P47" si="6">IF(N4=M4,"Att",IF(N4=I4,"Imp"))</f>
        <v>Imp</v>
      </c>
      <c r="W4" s="2"/>
    </row>
    <row r="5" spans="1:23">
      <c r="A5" s="12">
        <v>210002</v>
      </c>
      <c r="B5" s="13" t="s">
        <v>14</v>
      </c>
      <c r="C5" s="14">
        <v>1169777419.1025653</v>
      </c>
      <c r="D5" s="71">
        <v>0.13</v>
      </c>
      <c r="E5" s="72">
        <v>0.1114</v>
      </c>
      <c r="F5" s="15">
        <f t="shared" ref="F5:F47" si="7">E5/D5-1</f>
        <v>-0.1430769230769231</v>
      </c>
      <c r="G5" s="16">
        <f t="shared" si="0"/>
        <v>-4.5699999999999998E-2</v>
      </c>
      <c r="H5" s="17">
        <f t="shared" ref="H5:H47" si="8">ROUND(IF(F5&lt;=ImpMaxRewardScore,MaxReward,IF(F5&gt;=ImpMaxPenaltyScore,MaxPenalty,IF(F5&lt;=ImpTarget,MaxReward*((F5-ImpTarget)/(ImpMaxRewardScore-ImpTarget)),MaxPenalty*((F5-ImpTarget)/(ImpMaxPenaltyScore-ImpTarget))))),4)</f>
        <v>9.2999999999999992E-3</v>
      </c>
      <c r="I5" s="18">
        <f t="shared" si="1"/>
        <v>10878930</v>
      </c>
      <c r="J5" s="19">
        <v>0.13501257334450964</v>
      </c>
      <c r="K5" s="19">
        <f>'[3]model 2 OOS'!$J$7</f>
        <v>0.11548630434782609</v>
      </c>
      <c r="L5" s="20">
        <f t="shared" si="2"/>
        <v>-1.09E-2</v>
      </c>
      <c r="M5" s="21">
        <f t="shared" si="3"/>
        <v>-12750574</v>
      </c>
      <c r="N5" s="22">
        <f t="shared" si="4"/>
        <v>10878930</v>
      </c>
      <c r="O5" s="19">
        <f t="shared" si="5"/>
        <v>9.300000002005631E-3</v>
      </c>
      <c r="P5" s="23" t="str">
        <f t="shared" si="6"/>
        <v>Imp</v>
      </c>
      <c r="W5" s="2"/>
    </row>
    <row r="6" spans="1:23">
      <c r="A6" s="12">
        <v>210003</v>
      </c>
      <c r="B6" s="13" t="s">
        <v>15</v>
      </c>
      <c r="C6" s="14">
        <v>272737060.9453848</v>
      </c>
      <c r="D6" s="71">
        <v>0.1119</v>
      </c>
      <c r="E6" s="72">
        <v>9.3200000000000005E-2</v>
      </c>
      <c r="F6" s="15">
        <f t="shared" si="7"/>
        <v>-0.16711349419124211</v>
      </c>
      <c r="G6" s="16">
        <f t="shared" si="0"/>
        <v>-4.5699999999999998E-2</v>
      </c>
      <c r="H6" s="17">
        <f t="shared" si="8"/>
        <v>1.1599999999999999E-2</v>
      </c>
      <c r="I6" s="18">
        <f t="shared" si="1"/>
        <v>3163750</v>
      </c>
      <c r="J6" s="19">
        <v>0.13358397129186603</v>
      </c>
      <c r="K6" s="19">
        <f>'[3]model 2 OOS'!$J$7</f>
        <v>0.11548630434782609</v>
      </c>
      <c r="L6" s="20">
        <f t="shared" si="2"/>
        <v>-1.03E-2</v>
      </c>
      <c r="M6" s="21">
        <f t="shared" si="3"/>
        <v>-2809192</v>
      </c>
      <c r="N6" s="22">
        <f t="shared" si="4"/>
        <v>3163750</v>
      </c>
      <c r="O6" s="19">
        <f t="shared" si="5"/>
        <v>1.1600000341110724E-2</v>
      </c>
      <c r="P6" s="23" t="str">
        <f t="shared" si="6"/>
        <v>Imp</v>
      </c>
      <c r="W6" s="2"/>
    </row>
    <row r="7" spans="1:23">
      <c r="A7" s="12">
        <v>210004</v>
      </c>
      <c r="B7" s="13" t="s">
        <v>16</v>
      </c>
      <c r="C7" s="14">
        <v>395179292.24487001</v>
      </c>
      <c r="D7" s="71">
        <v>0.11840000000000001</v>
      </c>
      <c r="E7" s="72">
        <v>0.1086</v>
      </c>
      <c r="F7" s="15">
        <f t="shared" si="7"/>
        <v>-8.2770270270270285E-2</v>
      </c>
      <c r="G7" s="16">
        <f t="shared" si="0"/>
        <v>-4.5699999999999998E-2</v>
      </c>
      <c r="H7" s="17">
        <f t="shared" si="8"/>
        <v>3.5000000000000001E-3</v>
      </c>
      <c r="I7" s="18">
        <f t="shared" si="1"/>
        <v>1383128</v>
      </c>
      <c r="J7" s="19">
        <v>0.12941395348837209</v>
      </c>
      <c r="K7" s="19">
        <f>'[3]model 2 OOS'!$J$7</f>
        <v>0.11548630434782609</v>
      </c>
      <c r="L7" s="20">
        <f t="shared" si="2"/>
        <v>-8.3999999999999995E-3</v>
      </c>
      <c r="M7" s="21">
        <f t="shared" si="3"/>
        <v>-3319506</v>
      </c>
      <c r="N7" s="22">
        <f t="shared" si="4"/>
        <v>1383128</v>
      </c>
      <c r="O7" s="19">
        <f t="shared" si="5"/>
        <v>3.5000012074087998E-3</v>
      </c>
      <c r="P7" s="23" t="str">
        <f t="shared" si="6"/>
        <v>Imp</v>
      </c>
      <c r="W7" s="2"/>
    </row>
    <row r="8" spans="1:23" s="25" customFormat="1">
      <c r="A8" s="12">
        <v>210005</v>
      </c>
      <c r="B8" s="13" t="s">
        <v>17</v>
      </c>
      <c r="C8" s="14">
        <v>245875328.80849966</v>
      </c>
      <c r="D8" s="71">
        <v>0.106</v>
      </c>
      <c r="E8" s="72">
        <v>9.9699999999999997E-2</v>
      </c>
      <c r="F8" s="15">
        <f t="shared" si="7"/>
        <v>-5.9433962264150986E-2</v>
      </c>
      <c r="G8" s="24">
        <f t="shared" si="0"/>
        <v>-4.5699999999999998E-2</v>
      </c>
      <c r="H8" s="17">
        <f t="shared" si="8"/>
        <v>1.2999999999999999E-3</v>
      </c>
      <c r="I8" s="18">
        <f t="shared" si="1"/>
        <v>319638</v>
      </c>
      <c r="J8" s="19">
        <v>0.11117774762550882</v>
      </c>
      <c r="K8" s="19">
        <f>'[3]model 2 OOS'!$J$7</f>
        <v>0.11548630434782609</v>
      </c>
      <c r="L8" s="20">
        <f t="shared" si="2"/>
        <v>0</v>
      </c>
      <c r="M8" s="21">
        <f t="shared" si="3"/>
        <v>0</v>
      </c>
      <c r="N8" s="22">
        <f t="shared" si="4"/>
        <v>319638</v>
      </c>
      <c r="O8" s="19">
        <f t="shared" si="5"/>
        <v>1.3000002950639691E-3</v>
      </c>
      <c r="P8" s="23" t="str">
        <f t="shared" si="6"/>
        <v>Imp</v>
      </c>
    </row>
    <row r="9" spans="1:23">
      <c r="A9" s="12">
        <v>210006</v>
      </c>
      <c r="B9" s="13" t="s">
        <v>18</v>
      </c>
      <c r="C9" s="14">
        <v>67709798.545058176</v>
      </c>
      <c r="D9" s="71">
        <v>0.1124</v>
      </c>
      <c r="E9" s="72">
        <v>0.1154</v>
      </c>
      <c r="F9" s="15">
        <f t="shared" si="7"/>
        <v>2.6690391459074814E-2</v>
      </c>
      <c r="G9" s="16">
        <f t="shared" si="0"/>
        <v>-4.5699999999999998E-2</v>
      </c>
      <c r="H9" s="17">
        <f t="shared" si="8"/>
        <v>-6.8999999999999999E-3</v>
      </c>
      <c r="I9" s="18">
        <f t="shared" si="1"/>
        <v>-467198</v>
      </c>
      <c r="J9" s="19">
        <v>0.11572216748768473</v>
      </c>
      <c r="K9" s="19">
        <f>'[3]model 2 OOS'!$J$7</f>
        <v>0.11548630434782609</v>
      </c>
      <c r="L9" s="20">
        <f t="shared" si="2"/>
        <v>-2.0999999999999999E-3</v>
      </c>
      <c r="M9" s="21">
        <f t="shared" si="3"/>
        <v>-142191</v>
      </c>
      <c r="N9" s="22">
        <f t="shared" si="4"/>
        <v>-142191</v>
      </c>
      <c r="O9" s="19">
        <f t="shared" si="5"/>
        <v>-2.1000062480672948E-3</v>
      </c>
      <c r="P9" s="23" t="str">
        <f t="shared" si="6"/>
        <v>Att</v>
      </c>
      <c r="W9" s="2"/>
    </row>
    <row r="10" spans="1:23">
      <c r="A10" s="12">
        <v>210008</v>
      </c>
      <c r="B10" s="13" t="s">
        <v>19</v>
      </c>
      <c r="C10" s="14">
        <v>231085559.56053197</v>
      </c>
      <c r="D10" s="71">
        <v>0.13</v>
      </c>
      <c r="E10" s="72">
        <v>0.1234</v>
      </c>
      <c r="F10" s="15">
        <f t="shared" si="7"/>
        <v>-5.0769230769230789E-2</v>
      </c>
      <c r="G10" s="16">
        <f t="shared" si="0"/>
        <v>-4.5699999999999998E-2</v>
      </c>
      <c r="H10" s="17">
        <f t="shared" si="8"/>
        <v>5.0000000000000001E-4</v>
      </c>
      <c r="I10" s="18">
        <f t="shared" si="1"/>
        <v>115543</v>
      </c>
      <c r="J10" s="19">
        <v>0.13318627450980391</v>
      </c>
      <c r="K10" s="19">
        <f>'[3]model 2 OOS'!$J$7</f>
        <v>0.11548630434782609</v>
      </c>
      <c r="L10" s="20">
        <f t="shared" si="2"/>
        <v>-1.01E-2</v>
      </c>
      <c r="M10" s="21">
        <f t="shared" si="3"/>
        <v>-2333964</v>
      </c>
      <c r="N10" s="22">
        <f t="shared" si="4"/>
        <v>115543</v>
      </c>
      <c r="O10" s="19">
        <f t="shared" si="5"/>
        <v>5.000009529792101E-4</v>
      </c>
      <c r="P10" s="23" t="str">
        <f t="shared" si="6"/>
        <v>Imp</v>
      </c>
      <c r="W10" s="2"/>
    </row>
    <row r="11" spans="1:23" s="25" customFormat="1">
      <c r="A11" s="12">
        <v>210009</v>
      </c>
      <c r="B11" s="13" t="s">
        <v>20</v>
      </c>
      <c r="C11" s="14">
        <v>1689351200.3065054</v>
      </c>
      <c r="D11" s="71">
        <v>0.12839999999999999</v>
      </c>
      <c r="E11" s="72">
        <v>0.1137</v>
      </c>
      <c r="F11" s="15">
        <f t="shared" si="7"/>
        <v>-0.11448598130841114</v>
      </c>
      <c r="G11" s="16">
        <f t="shared" si="0"/>
        <v>-4.5699999999999998E-2</v>
      </c>
      <c r="H11" s="17">
        <f t="shared" si="8"/>
        <v>6.6E-3</v>
      </c>
      <c r="I11" s="18">
        <f t="shared" si="1"/>
        <v>11149718</v>
      </c>
      <c r="J11" s="19">
        <v>0.13827133973996605</v>
      </c>
      <c r="K11" s="19">
        <f>'[3]model 2 OOS'!$J$7</f>
        <v>0.11548630434782609</v>
      </c>
      <c r="L11" s="20">
        <f t="shared" si="2"/>
        <v>-1.24E-2</v>
      </c>
      <c r="M11" s="21">
        <f t="shared" si="3"/>
        <v>-20947955</v>
      </c>
      <c r="N11" s="22">
        <f t="shared" si="4"/>
        <v>11149718</v>
      </c>
      <c r="O11" s="19">
        <f t="shared" si="5"/>
        <v>6.6000000461579949E-3</v>
      </c>
      <c r="P11" s="23" t="str">
        <f t="shared" si="6"/>
        <v>Imp</v>
      </c>
    </row>
    <row r="12" spans="1:23">
      <c r="A12" s="12">
        <v>210011</v>
      </c>
      <c r="B12" s="13" t="s">
        <v>21</v>
      </c>
      <c r="C12" s="14">
        <v>243049519.64796227</v>
      </c>
      <c r="D12" s="71">
        <v>0.1217</v>
      </c>
      <c r="E12" s="72">
        <v>0.10589999999999999</v>
      </c>
      <c r="F12" s="15">
        <f t="shared" si="7"/>
        <v>-0.12982744453574369</v>
      </c>
      <c r="G12" s="16">
        <f t="shared" si="0"/>
        <v>-4.5699999999999998E-2</v>
      </c>
      <c r="H12" s="17">
        <f t="shared" si="8"/>
        <v>8.0000000000000002E-3</v>
      </c>
      <c r="I12" s="18">
        <f t="shared" si="1"/>
        <v>1944396</v>
      </c>
      <c r="J12" s="19">
        <v>0.12240858806404657</v>
      </c>
      <c r="K12" s="19">
        <f>'[3]model 2 OOS'!$J$7</f>
        <v>0.11548630434782609</v>
      </c>
      <c r="L12" s="20">
        <f t="shared" si="2"/>
        <v>-5.1999999999999998E-3</v>
      </c>
      <c r="M12" s="21">
        <f t="shared" si="3"/>
        <v>-1263858</v>
      </c>
      <c r="N12" s="22">
        <f t="shared" si="4"/>
        <v>1944396</v>
      </c>
      <c r="O12" s="19">
        <f t="shared" si="5"/>
        <v>7.9999993532852958E-3</v>
      </c>
      <c r="P12" s="23" t="str">
        <f t="shared" si="6"/>
        <v>Imp</v>
      </c>
      <c r="W12" s="2"/>
    </row>
    <row r="13" spans="1:23">
      <c r="A13" s="12">
        <v>210012</v>
      </c>
      <c r="B13" s="13" t="s">
        <v>22</v>
      </c>
      <c r="C13" s="14">
        <v>499177175.30070233</v>
      </c>
      <c r="D13" s="71">
        <v>0.1171</v>
      </c>
      <c r="E13" s="72">
        <v>0.1077</v>
      </c>
      <c r="F13" s="15">
        <f t="shared" si="7"/>
        <v>-8.0273270708795863E-2</v>
      </c>
      <c r="G13" s="16">
        <f t="shared" si="0"/>
        <v>-4.5699999999999998E-2</v>
      </c>
      <c r="H13" s="17">
        <f t="shared" si="8"/>
        <v>3.3E-3</v>
      </c>
      <c r="I13" s="18">
        <f t="shared" si="1"/>
        <v>1647285</v>
      </c>
      <c r="J13" s="19">
        <v>0.11839904912836766</v>
      </c>
      <c r="K13" s="19">
        <f>'[3]model 2 OOS'!$J$7</f>
        <v>0.11548630434782609</v>
      </c>
      <c r="L13" s="20">
        <f t="shared" si="2"/>
        <v>-3.3E-3</v>
      </c>
      <c r="M13" s="21">
        <f t="shared" si="3"/>
        <v>-1647285</v>
      </c>
      <c r="N13" s="22">
        <f t="shared" si="4"/>
        <v>1647285</v>
      </c>
      <c r="O13" s="19">
        <f t="shared" si="5"/>
        <v>3.3000006440752866E-3</v>
      </c>
      <c r="P13" s="23" t="str">
        <f t="shared" si="6"/>
        <v>Imp</v>
      </c>
      <c r="W13" s="2"/>
    </row>
    <row r="14" spans="1:23">
      <c r="A14" s="12">
        <v>210015</v>
      </c>
      <c r="B14" s="13" t="s">
        <v>23</v>
      </c>
      <c r="C14" s="14">
        <v>325444692.32110155</v>
      </c>
      <c r="D14" s="71">
        <v>0.1326</v>
      </c>
      <c r="E14" s="72">
        <v>0.114</v>
      </c>
      <c r="F14" s="15">
        <f t="shared" si="7"/>
        <v>-0.14027149321266963</v>
      </c>
      <c r="G14" s="16">
        <f t="shared" si="0"/>
        <v>-4.5699999999999998E-2</v>
      </c>
      <c r="H14" s="17">
        <f t="shared" si="8"/>
        <v>8.9999999999999993E-3</v>
      </c>
      <c r="I14" s="18">
        <f t="shared" si="1"/>
        <v>2929002</v>
      </c>
      <c r="J14" s="19">
        <v>0.13352083333333334</v>
      </c>
      <c r="K14" s="19">
        <f>'[3]model 2 OOS'!$J$7</f>
        <v>0.11548630434782609</v>
      </c>
      <c r="L14" s="20">
        <f t="shared" si="2"/>
        <v>-1.03E-2</v>
      </c>
      <c r="M14" s="21">
        <f t="shared" si="3"/>
        <v>-3352080</v>
      </c>
      <c r="N14" s="22">
        <f t="shared" si="4"/>
        <v>2929002</v>
      </c>
      <c r="O14" s="19">
        <f t="shared" si="5"/>
        <v>8.9999992905402375E-3</v>
      </c>
      <c r="P14" s="23" t="str">
        <f t="shared" si="6"/>
        <v>Imp</v>
      </c>
      <c r="W14" s="2"/>
    </row>
    <row r="15" spans="1:23">
      <c r="A15" s="12">
        <v>210016</v>
      </c>
      <c r="B15" s="26" t="s">
        <v>24</v>
      </c>
      <c r="C15" s="14">
        <v>206054276.81773111</v>
      </c>
      <c r="D15" s="71">
        <v>0.1057</v>
      </c>
      <c r="E15" s="72">
        <v>0.1062</v>
      </c>
      <c r="F15" s="15">
        <f t="shared" si="7"/>
        <v>4.7303689687796524E-3</v>
      </c>
      <c r="G15" s="16">
        <f t="shared" si="0"/>
        <v>-4.5699999999999998E-2</v>
      </c>
      <c r="H15" s="17">
        <f t="shared" si="8"/>
        <v>-4.7999999999999996E-3</v>
      </c>
      <c r="I15" s="18">
        <f t="shared" si="1"/>
        <v>-989061</v>
      </c>
      <c r="J15" s="19">
        <v>0.12246424731182796</v>
      </c>
      <c r="K15" s="19">
        <f>'[3]model 2 OOS'!$J$7</f>
        <v>0.11548630434782609</v>
      </c>
      <c r="L15" s="20">
        <f t="shared" si="2"/>
        <v>-5.1999999999999998E-3</v>
      </c>
      <c r="M15" s="21">
        <f t="shared" si="3"/>
        <v>-1071482</v>
      </c>
      <c r="N15" s="22">
        <f t="shared" si="4"/>
        <v>-989061</v>
      </c>
      <c r="O15" s="19">
        <f t="shared" si="5"/>
        <v>-4.8000022871395728E-3</v>
      </c>
      <c r="P15" s="23" t="str">
        <f t="shared" si="6"/>
        <v>Imp</v>
      </c>
      <c r="W15" s="2"/>
    </row>
    <row r="16" spans="1:23">
      <c r="A16" s="12">
        <v>210017</v>
      </c>
      <c r="B16" s="13" t="s">
        <v>25</v>
      </c>
      <c r="C16" s="14">
        <v>22448741.860533666</v>
      </c>
      <c r="D16" s="71">
        <v>7.0400000000000004E-2</v>
      </c>
      <c r="E16" s="72">
        <v>4.6300000000000001E-2</v>
      </c>
      <c r="F16" s="15">
        <f t="shared" si="7"/>
        <v>-0.34232954545454553</v>
      </c>
      <c r="G16" s="16">
        <f t="shared" si="0"/>
        <v>-4.5699999999999998E-2</v>
      </c>
      <c r="H16" s="17">
        <f t="shared" si="8"/>
        <v>0.02</v>
      </c>
      <c r="I16" s="18">
        <f t="shared" si="1"/>
        <v>448975</v>
      </c>
      <c r="J16" s="19">
        <v>0.11342222222222223</v>
      </c>
      <c r="K16" s="19">
        <f>'[3]model 2 OOS'!$J$7</f>
        <v>0.11548630434782609</v>
      </c>
      <c r="L16" s="20">
        <f t="shared" si="2"/>
        <v>-1E-3</v>
      </c>
      <c r="M16" s="21">
        <f t="shared" si="3"/>
        <v>-22449</v>
      </c>
      <c r="N16" s="22">
        <f t="shared" si="4"/>
        <v>448975</v>
      </c>
      <c r="O16" s="19">
        <f t="shared" si="5"/>
        <v>2.0000007251601344E-2</v>
      </c>
      <c r="P16" s="23" t="str">
        <f t="shared" si="6"/>
        <v>Imp</v>
      </c>
      <c r="W16" s="2"/>
    </row>
    <row r="17" spans="1:23">
      <c r="A17" s="12">
        <v>210018</v>
      </c>
      <c r="B17" s="13" t="s">
        <v>26</v>
      </c>
      <c r="C17" s="14">
        <v>86911104.151931316</v>
      </c>
      <c r="D17" s="71">
        <v>0.1187</v>
      </c>
      <c r="E17" s="72">
        <v>9.98E-2</v>
      </c>
      <c r="F17" s="15">
        <f t="shared" si="7"/>
        <v>-0.15922493681550132</v>
      </c>
      <c r="G17" s="16">
        <f t="shared" si="0"/>
        <v>-4.5699999999999998E-2</v>
      </c>
      <c r="H17" s="17">
        <f t="shared" si="8"/>
        <v>1.0800000000000001E-2</v>
      </c>
      <c r="I17" s="18">
        <f t="shared" si="1"/>
        <v>938640</v>
      </c>
      <c r="J17" s="19">
        <v>0.13077824561403509</v>
      </c>
      <c r="K17" s="19">
        <f>'[3]model 2 OOS'!$J$7</f>
        <v>0.11548630434782609</v>
      </c>
      <c r="L17" s="20">
        <f t="shared" si="2"/>
        <v>-8.9999999999999993E-3</v>
      </c>
      <c r="M17" s="21">
        <f t="shared" si="3"/>
        <v>-782200</v>
      </c>
      <c r="N17" s="22">
        <f t="shared" si="4"/>
        <v>938640</v>
      </c>
      <c r="O17" s="19">
        <f t="shared" si="5"/>
        <v>1.0800000864781807E-2</v>
      </c>
      <c r="P17" s="23" t="str">
        <f t="shared" si="6"/>
        <v>Imp</v>
      </c>
      <c r="W17" s="2"/>
    </row>
    <row r="18" spans="1:23">
      <c r="A18" s="12">
        <v>210019</v>
      </c>
      <c r="B18" s="27" t="s">
        <v>27</v>
      </c>
      <c r="C18" s="14">
        <v>273261892.18496162</v>
      </c>
      <c r="D18" s="71">
        <v>0.10780000000000001</v>
      </c>
      <c r="E18" s="72">
        <v>9.7199999999999995E-2</v>
      </c>
      <c r="F18" s="15">
        <f t="shared" si="7"/>
        <v>-9.8330241187384204E-2</v>
      </c>
      <c r="G18" s="16">
        <f t="shared" si="0"/>
        <v>-4.5699999999999998E-2</v>
      </c>
      <c r="H18" s="17">
        <f t="shared" si="8"/>
        <v>5.0000000000000001E-3</v>
      </c>
      <c r="I18" s="18">
        <f t="shared" si="1"/>
        <v>1366309</v>
      </c>
      <c r="J18" s="19">
        <v>0.11670091743119267</v>
      </c>
      <c r="K18" s="19">
        <f>'[3]model 2 OOS'!$J$7</f>
        <v>0.11548630434782609</v>
      </c>
      <c r="L18" s="20">
        <f t="shared" si="2"/>
        <v>-2.5000000000000001E-3</v>
      </c>
      <c r="M18" s="21">
        <f t="shared" si="3"/>
        <v>-683155</v>
      </c>
      <c r="N18" s="22">
        <f t="shared" si="4"/>
        <v>1366309</v>
      </c>
      <c r="O18" s="19">
        <f t="shared" si="5"/>
        <v>4.9999983132488603E-3</v>
      </c>
      <c r="P18" s="23" t="str">
        <f t="shared" si="6"/>
        <v>Imp</v>
      </c>
      <c r="W18" s="2"/>
    </row>
    <row r="19" spans="1:23">
      <c r="A19" s="12">
        <v>210022</v>
      </c>
      <c r="B19" s="13" t="s">
        <v>28</v>
      </c>
      <c r="C19" s="14">
        <v>234289464.42853409</v>
      </c>
      <c r="D19" s="71">
        <v>0.1134</v>
      </c>
      <c r="E19" s="72">
        <v>0.104</v>
      </c>
      <c r="F19" s="15">
        <f t="shared" si="7"/>
        <v>-8.289241622574961E-2</v>
      </c>
      <c r="G19" s="16">
        <f t="shared" si="0"/>
        <v>-4.5699999999999998E-2</v>
      </c>
      <c r="H19" s="17">
        <f t="shared" si="8"/>
        <v>3.5000000000000001E-3</v>
      </c>
      <c r="I19" s="18">
        <f t="shared" si="1"/>
        <v>820013</v>
      </c>
      <c r="J19" s="19">
        <v>0.12737345971563979</v>
      </c>
      <c r="K19" s="19">
        <f>'[3]model 2 OOS'!$J$7</f>
        <v>0.11548630434782609</v>
      </c>
      <c r="L19" s="20">
        <f t="shared" si="2"/>
        <v>-7.4000000000000003E-3</v>
      </c>
      <c r="M19" s="21">
        <f t="shared" si="3"/>
        <v>-1733742</v>
      </c>
      <c r="N19" s="22">
        <f t="shared" si="4"/>
        <v>820013</v>
      </c>
      <c r="O19" s="19">
        <f t="shared" si="5"/>
        <v>3.4999994643384004E-3</v>
      </c>
      <c r="P19" s="23" t="str">
        <f t="shared" si="6"/>
        <v>Imp</v>
      </c>
      <c r="W19" s="2"/>
    </row>
    <row r="20" spans="1:23">
      <c r="A20" s="12">
        <v>210023</v>
      </c>
      <c r="B20" s="13" t="s">
        <v>29</v>
      </c>
      <c r="C20" s="14">
        <v>378319646.6993916</v>
      </c>
      <c r="D20" s="71">
        <v>0.11550000000000001</v>
      </c>
      <c r="E20" s="72">
        <v>0.11600000000000001</v>
      </c>
      <c r="F20" s="15">
        <f t="shared" si="7"/>
        <v>4.3290043290042934E-3</v>
      </c>
      <c r="G20" s="16">
        <f t="shared" si="0"/>
        <v>-4.5699999999999998E-2</v>
      </c>
      <c r="H20" s="17">
        <f t="shared" si="8"/>
        <v>-4.7999999999999996E-3</v>
      </c>
      <c r="I20" s="18">
        <f t="shared" si="1"/>
        <v>-1815934</v>
      </c>
      <c r="J20" s="19">
        <v>0.11960220994475138</v>
      </c>
      <c r="K20" s="19">
        <f>'[3]model 2 OOS'!$J$7</f>
        <v>0.11548630434782609</v>
      </c>
      <c r="L20" s="20">
        <f t="shared" si="2"/>
        <v>-3.8999999999999998E-3</v>
      </c>
      <c r="M20" s="21">
        <f t="shared" si="3"/>
        <v>-1475447</v>
      </c>
      <c r="N20" s="22">
        <f t="shared" si="4"/>
        <v>-1475447</v>
      </c>
      <c r="O20" s="19">
        <f t="shared" si="5"/>
        <v>-3.9000009988177354E-3</v>
      </c>
      <c r="P20" s="23" t="str">
        <f t="shared" si="6"/>
        <v>Att</v>
      </c>
      <c r="W20" s="2"/>
    </row>
    <row r="21" spans="1:23">
      <c r="A21" s="12">
        <v>210024</v>
      </c>
      <c r="B21" s="13" t="s">
        <v>30</v>
      </c>
      <c r="C21" s="14">
        <v>274240267.41213882</v>
      </c>
      <c r="D21" s="71">
        <v>0.1235</v>
      </c>
      <c r="E21" s="72">
        <v>0.1222</v>
      </c>
      <c r="F21" s="15">
        <f t="shared" si="7"/>
        <v>-1.0526315789473606E-2</v>
      </c>
      <c r="G21" s="16">
        <f t="shared" si="0"/>
        <v>-4.5699999999999998E-2</v>
      </c>
      <c r="H21" s="17">
        <f t="shared" si="8"/>
        <v>-3.3E-3</v>
      </c>
      <c r="I21" s="18">
        <f t="shared" si="1"/>
        <v>-904993</v>
      </c>
      <c r="J21" s="19">
        <v>0.12518313458262351</v>
      </c>
      <c r="K21" s="19">
        <f>'[3]model 2 OOS'!$J$7</f>
        <v>0.11548630434782609</v>
      </c>
      <c r="L21" s="20">
        <f t="shared" si="2"/>
        <v>-6.4000000000000003E-3</v>
      </c>
      <c r="M21" s="21">
        <f t="shared" si="3"/>
        <v>-1755138</v>
      </c>
      <c r="N21" s="22">
        <f t="shared" si="4"/>
        <v>-904993</v>
      </c>
      <c r="O21" s="19">
        <f t="shared" si="5"/>
        <v>-3.300000428602054E-3</v>
      </c>
      <c r="P21" s="23" t="str">
        <f t="shared" si="6"/>
        <v>Imp</v>
      </c>
      <c r="W21" s="2"/>
    </row>
    <row r="22" spans="1:23" ht="31">
      <c r="A22" s="12">
        <v>210027</v>
      </c>
      <c r="B22" s="13" t="s">
        <v>31</v>
      </c>
      <c r="C22" s="14">
        <v>177776317.14814913</v>
      </c>
      <c r="D22" s="71">
        <v>0.1079</v>
      </c>
      <c r="E22" s="72">
        <v>8.8700000000000001E-2</v>
      </c>
      <c r="F22" s="15">
        <f t="shared" si="7"/>
        <v>-0.1779425393883225</v>
      </c>
      <c r="G22" s="16">
        <f t="shared" si="0"/>
        <v>-4.5699999999999998E-2</v>
      </c>
      <c r="H22" s="17">
        <f t="shared" si="8"/>
        <v>1.26E-2</v>
      </c>
      <c r="I22" s="18">
        <f t="shared" si="1"/>
        <v>2239982</v>
      </c>
      <c r="J22" s="19">
        <v>0.12206868686868685</v>
      </c>
      <c r="K22" s="19">
        <f>'[3]model 2 OOS'!$J$7</f>
        <v>0.11548630434782609</v>
      </c>
      <c r="L22" s="20">
        <f t="shared" si="2"/>
        <v>-5.0000000000000001E-3</v>
      </c>
      <c r="M22" s="21">
        <f t="shared" si="3"/>
        <v>-888882</v>
      </c>
      <c r="N22" s="22">
        <f t="shared" si="4"/>
        <v>2239982</v>
      </c>
      <c r="O22" s="19">
        <f t="shared" si="5"/>
        <v>1.2600002272143598E-2</v>
      </c>
      <c r="P22" s="23" t="str">
        <f t="shared" si="6"/>
        <v>Imp</v>
      </c>
      <c r="W22" s="2"/>
    </row>
    <row r="23" spans="1:23">
      <c r="A23" s="12">
        <v>210028</v>
      </c>
      <c r="B23" s="13" t="s">
        <v>32</v>
      </c>
      <c r="C23" s="14">
        <v>91631804.258244663</v>
      </c>
      <c r="D23" s="71">
        <v>0.1129</v>
      </c>
      <c r="E23" s="72">
        <v>0.1143</v>
      </c>
      <c r="F23" s="15">
        <f t="shared" si="7"/>
        <v>1.2400354295837079E-2</v>
      </c>
      <c r="G23" s="16">
        <f t="shared" si="0"/>
        <v>-4.5699999999999998E-2</v>
      </c>
      <c r="H23" s="17">
        <f t="shared" si="8"/>
        <v>-5.4999999999999997E-3</v>
      </c>
      <c r="I23" s="18">
        <f t="shared" si="1"/>
        <v>-503975</v>
      </c>
      <c r="J23" s="19">
        <v>0.13191065292096221</v>
      </c>
      <c r="K23" s="19">
        <f>'[3]model 2 OOS'!$J$7</f>
        <v>0.11548630434782609</v>
      </c>
      <c r="L23" s="20">
        <f t="shared" si="2"/>
        <v>-9.4999999999999998E-3</v>
      </c>
      <c r="M23" s="21">
        <f t="shared" si="3"/>
        <v>-870502</v>
      </c>
      <c r="N23" s="22">
        <f t="shared" si="4"/>
        <v>-503975</v>
      </c>
      <c r="O23" s="19">
        <f t="shared" si="5"/>
        <v>-5.5000008357322548E-3</v>
      </c>
      <c r="P23" s="23" t="str">
        <f t="shared" si="6"/>
        <v>Imp</v>
      </c>
      <c r="W23" s="2"/>
    </row>
    <row r="24" spans="1:23">
      <c r="A24" s="12">
        <v>210029</v>
      </c>
      <c r="B24" s="13" t="s">
        <v>33</v>
      </c>
      <c r="C24" s="14">
        <v>446329672.23355418</v>
      </c>
      <c r="D24" s="71">
        <v>0.14069999999999999</v>
      </c>
      <c r="E24" s="72">
        <v>0.126</v>
      </c>
      <c r="F24" s="15">
        <f t="shared" si="7"/>
        <v>-0.10447761194029848</v>
      </c>
      <c r="G24" s="16">
        <f t="shared" si="0"/>
        <v>-4.5699999999999998E-2</v>
      </c>
      <c r="H24" s="17">
        <f t="shared" si="8"/>
        <v>5.5999999999999999E-3</v>
      </c>
      <c r="I24" s="18">
        <f t="shared" si="1"/>
        <v>2499446</v>
      </c>
      <c r="J24" s="19">
        <v>0.14428550087873462</v>
      </c>
      <c r="K24" s="19">
        <f>'[3]model 2 OOS'!$J$7</f>
        <v>0.11548630434782609</v>
      </c>
      <c r="L24" s="20">
        <f t="shared" si="2"/>
        <v>-1.52E-2</v>
      </c>
      <c r="M24" s="21">
        <f t="shared" si="3"/>
        <v>-6784211</v>
      </c>
      <c r="N24" s="22">
        <f t="shared" si="4"/>
        <v>2499446</v>
      </c>
      <c r="O24" s="19">
        <f t="shared" si="5"/>
        <v>5.5999996314206437E-3</v>
      </c>
      <c r="P24" s="23" t="str">
        <f t="shared" si="6"/>
        <v>Imp</v>
      </c>
      <c r="W24" s="2"/>
    </row>
    <row r="25" spans="1:23">
      <c r="A25" s="12">
        <v>210030</v>
      </c>
      <c r="B25" s="13" t="s">
        <v>34</v>
      </c>
      <c r="C25" s="14">
        <v>12799737.023223758</v>
      </c>
      <c r="D25" s="71">
        <v>7.2499999999999995E-2</v>
      </c>
      <c r="E25" s="72">
        <v>6.93E-2</v>
      </c>
      <c r="F25" s="15">
        <f t="shared" si="7"/>
        <v>-4.4137931034482714E-2</v>
      </c>
      <c r="G25" s="16">
        <f t="shared" si="0"/>
        <v>-4.5699999999999998E-2</v>
      </c>
      <c r="H25" s="17">
        <f t="shared" si="8"/>
        <v>-1E-4</v>
      </c>
      <c r="I25" s="18">
        <f t="shared" si="1"/>
        <v>-1280</v>
      </c>
      <c r="J25" s="19">
        <v>8.3828124999999989E-2</v>
      </c>
      <c r="K25" s="19">
        <f>'[3]model 2 OOS'!$J$7</f>
        <v>0.11548630434782609</v>
      </c>
      <c r="L25" s="20">
        <f t="shared" si="2"/>
        <v>0.02</v>
      </c>
      <c r="M25" s="21">
        <f t="shared" si="3"/>
        <v>255995</v>
      </c>
      <c r="N25" s="22">
        <f t="shared" si="4"/>
        <v>255995</v>
      </c>
      <c r="O25" s="19">
        <f t="shared" si="5"/>
        <v>2.0000020276629463E-2</v>
      </c>
      <c r="P25" s="23" t="str">
        <f t="shared" si="6"/>
        <v>Att</v>
      </c>
      <c r="W25" s="2"/>
    </row>
    <row r="26" spans="1:23">
      <c r="A26" s="12">
        <v>210032</v>
      </c>
      <c r="B26" s="13" t="s">
        <v>35</v>
      </c>
      <c r="C26" s="14">
        <v>74867815.898296461</v>
      </c>
      <c r="D26" s="71">
        <v>0.1047</v>
      </c>
      <c r="E26" s="72">
        <v>9.7000000000000003E-2</v>
      </c>
      <c r="F26" s="15">
        <f t="shared" si="7"/>
        <v>-7.3543457497612263E-2</v>
      </c>
      <c r="G26" s="16">
        <f t="shared" si="0"/>
        <v>-4.5699999999999998E-2</v>
      </c>
      <c r="H26" s="17">
        <f t="shared" si="8"/>
        <v>2.7000000000000001E-3</v>
      </c>
      <c r="I26" s="18">
        <f t="shared" si="1"/>
        <v>202143</v>
      </c>
      <c r="J26" s="19">
        <v>0.12765346153846155</v>
      </c>
      <c r="K26" s="19">
        <f>'[3]model 2 OOS'!$J$7</f>
        <v>0.11548630434782609</v>
      </c>
      <c r="L26" s="20">
        <f t="shared" si="2"/>
        <v>-7.6E-3</v>
      </c>
      <c r="M26" s="21">
        <f t="shared" si="3"/>
        <v>-568995</v>
      </c>
      <c r="N26" s="22">
        <f t="shared" si="4"/>
        <v>202143</v>
      </c>
      <c r="O26" s="19">
        <f t="shared" si="5"/>
        <v>2.6999986252383723E-3</v>
      </c>
      <c r="P26" s="23" t="str">
        <f t="shared" si="6"/>
        <v>Imp</v>
      </c>
      <c r="W26" s="2"/>
    </row>
    <row r="27" spans="1:23">
      <c r="A27" s="12">
        <v>210033</v>
      </c>
      <c r="B27" s="13" t="s">
        <v>36</v>
      </c>
      <c r="C27" s="14">
        <v>146579134.30840614</v>
      </c>
      <c r="D27" s="71">
        <v>0.1183</v>
      </c>
      <c r="E27" s="72">
        <v>9.3799999999999994E-2</v>
      </c>
      <c r="F27" s="15">
        <f t="shared" si="7"/>
        <v>-0.20710059171597639</v>
      </c>
      <c r="G27" s="16">
        <f t="shared" si="0"/>
        <v>-4.5699999999999998E-2</v>
      </c>
      <c r="H27" s="17">
        <f t="shared" si="8"/>
        <v>1.54E-2</v>
      </c>
      <c r="I27" s="18">
        <f t="shared" si="1"/>
        <v>2257319</v>
      </c>
      <c r="J27" s="19">
        <v>0.12173396226415094</v>
      </c>
      <c r="K27" s="19">
        <f>'[3]model 2 OOS'!$J$7</f>
        <v>0.11548630434782609</v>
      </c>
      <c r="L27" s="20">
        <f t="shared" si="2"/>
        <v>-4.7999999999999996E-3</v>
      </c>
      <c r="M27" s="21">
        <f t="shared" si="3"/>
        <v>-703580</v>
      </c>
      <c r="N27" s="22">
        <f t="shared" si="4"/>
        <v>2257319</v>
      </c>
      <c r="O27" s="19">
        <f t="shared" si="5"/>
        <v>1.5400002262604066E-2</v>
      </c>
      <c r="P27" s="23" t="str">
        <f t="shared" si="6"/>
        <v>Imp</v>
      </c>
      <c r="W27" s="2"/>
    </row>
    <row r="28" spans="1:23">
      <c r="A28" s="12">
        <v>210034</v>
      </c>
      <c r="B28" s="13" t="s">
        <v>37</v>
      </c>
      <c r="C28" s="14">
        <v>130460757.98273204</v>
      </c>
      <c r="D28" s="71">
        <v>0.14380000000000001</v>
      </c>
      <c r="E28" s="72">
        <v>0.12909999999999999</v>
      </c>
      <c r="F28" s="15">
        <f t="shared" si="7"/>
        <v>-0.10222531293463155</v>
      </c>
      <c r="G28" s="16">
        <f t="shared" si="0"/>
        <v>-4.5699999999999998E-2</v>
      </c>
      <c r="H28" s="17">
        <f t="shared" si="8"/>
        <v>5.4000000000000003E-3</v>
      </c>
      <c r="I28" s="18">
        <f t="shared" si="1"/>
        <v>704488</v>
      </c>
      <c r="J28" s="19">
        <v>0.14507256637168142</v>
      </c>
      <c r="K28" s="19">
        <f>'[3]model 2 OOS'!$J$7</f>
        <v>0.11548630434782609</v>
      </c>
      <c r="L28" s="20">
        <f t="shared" si="2"/>
        <v>-1.5599999999999999E-2</v>
      </c>
      <c r="M28" s="21">
        <f t="shared" si="3"/>
        <v>-2035188</v>
      </c>
      <c r="N28" s="22">
        <f t="shared" si="4"/>
        <v>704488</v>
      </c>
      <c r="O28" s="19">
        <f t="shared" si="5"/>
        <v>5.3999992863236852E-3</v>
      </c>
      <c r="P28" s="23" t="str">
        <f t="shared" si="6"/>
        <v>Imp</v>
      </c>
      <c r="W28" s="2"/>
    </row>
    <row r="29" spans="1:23">
      <c r="A29" s="12">
        <v>210035</v>
      </c>
      <c r="B29" s="13" t="s">
        <v>38</v>
      </c>
      <c r="C29" s="14">
        <v>95179409.927647993</v>
      </c>
      <c r="D29" s="71">
        <v>0.1038</v>
      </c>
      <c r="E29" s="72">
        <v>9.4E-2</v>
      </c>
      <c r="F29" s="15">
        <f t="shared" si="7"/>
        <v>-9.4412331406551142E-2</v>
      </c>
      <c r="G29" s="16">
        <f t="shared" si="0"/>
        <v>-4.5699999999999998E-2</v>
      </c>
      <c r="H29" s="17">
        <f t="shared" si="8"/>
        <v>4.5999999999999999E-3</v>
      </c>
      <c r="I29" s="18">
        <f t="shared" si="1"/>
        <v>437825</v>
      </c>
      <c r="J29" s="19">
        <v>0.12245391304347826</v>
      </c>
      <c r="K29" s="19">
        <f>'[3]model 2 OOS'!$J$7</f>
        <v>0.11548630434782609</v>
      </c>
      <c r="L29" s="20">
        <f t="shared" si="2"/>
        <v>-5.1999999999999998E-3</v>
      </c>
      <c r="M29" s="21">
        <f t="shared" si="3"/>
        <v>-494933</v>
      </c>
      <c r="N29" s="22">
        <f t="shared" si="4"/>
        <v>437825</v>
      </c>
      <c r="O29" s="19">
        <f t="shared" si="5"/>
        <v>4.5999969986451799E-3</v>
      </c>
      <c r="P29" s="23" t="str">
        <f t="shared" si="6"/>
        <v>Imp</v>
      </c>
      <c r="W29" s="2"/>
    </row>
    <row r="30" spans="1:23">
      <c r="A30" s="12">
        <v>210037</v>
      </c>
      <c r="B30" s="13" t="s">
        <v>39</v>
      </c>
      <c r="C30" s="14">
        <v>117255633.45625928</v>
      </c>
      <c r="D30" s="71">
        <v>8.9399999999999993E-2</v>
      </c>
      <c r="E30" s="72">
        <v>7.6300000000000007E-2</v>
      </c>
      <c r="F30" s="15">
        <f t="shared" si="7"/>
        <v>-0.14653243847874708</v>
      </c>
      <c r="G30" s="16">
        <f t="shared" si="0"/>
        <v>-4.5699999999999998E-2</v>
      </c>
      <c r="H30" s="17">
        <f t="shared" si="8"/>
        <v>9.5999999999999992E-3</v>
      </c>
      <c r="I30" s="18">
        <f t="shared" si="1"/>
        <v>1125654</v>
      </c>
      <c r="J30" s="19">
        <v>9.5456129032258044E-2</v>
      </c>
      <c r="K30" s="19">
        <f>'[3]model 2 OOS'!$J$7</f>
        <v>0.11548630434782609</v>
      </c>
      <c r="L30" s="20">
        <f t="shared" si="2"/>
        <v>1.44E-2</v>
      </c>
      <c r="M30" s="21">
        <f t="shared" si="3"/>
        <v>1688481</v>
      </c>
      <c r="N30" s="22">
        <f t="shared" si="4"/>
        <v>1688481</v>
      </c>
      <c r="O30" s="19">
        <f t="shared" si="5"/>
        <v>1.439999896149865E-2</v>
      </c>
      <c r="P30" s="23" t="str">
        <f t="shared" si="6"/>
        <v>Att</v>
      </c>
      <c r="W30" s="2"/>
    </row>
    <row r="31" spans="1:23">
      <c r="A31" s="12">
        <v>210038</v>
      </c>
      <c r="B31" s="13" t="s">
        <v>40</v>
      </c>
      <c r="C31" s="14">
        <v>128795219.33140594</v>
      </c>
      <c r="D31" s="71">
        <v>0.1482</v>
      </c>
      <c r="E31" s="72">
        <v>0.1171</v>
      </c>
      <c r="F31" s="15">
        <f t="shared" si="7"/>
        <v>-0.20985155195681515</v>
      </c>
      <c r="G31" s="16">
        <f t="shared" si="0"/>
        <v>-4.5699999999999998E-2</v>
      </c>
      <c r="H31" s="17">
        <f t="shared" si="8"/>
        <v>1.5599999999999999E-2</v>
      </c>
      <c r="I31" s="18">
        <f t="shared" si="1"/>
        <v>2009205</v>
      </c>
      <c r="J31" s="19">
        <v>0.14954727272727272</v>
      </c>
      <c r="K31" s="19">
        <f>'[3]model 2 OOS'!$J$7</f>
        <v>0.11548630434782609</v>
      </c>
      <c r="L31" s="20">
        <f t="shared" si="2"/>
        <v>-1.7600000000000001E-2</v>
      </c>
      <c r="M31" s="21">
        <f t="shared" si="3"/>
        <v>-2266796</v>
      </c>
      <c r="N31" s="22">
        <f t="shared" si="4"/>
        <v>2009205</v>
      </c>
      <c r="O31" s="19">
        <f t="shared" si="5"/>
        <v>1.5599996726820026E-2</v>
      </c>
      <c r="P31" s="23" t="str">
        <f t="shared" si="6"/>
        <v>Imp</v>
      </c>
      <c r="W31" s="2"/>
    </row>
    <row r="32" spans="1:23">
      <c r="A32" s="12">
        <v>210039</v>
      </c>
      <c r="B32" s="13" t="s">
        <v>41</v>
      </c>
      <c r="C32" s="14">
        <v>82050333.022346303</v>
      </c>
      <c r="D32" s="71">
        <v>0.1023</v>
      </c>
      <c r="E32" s="72">
        <v>0.1038</v>
      </c>
      <c r="F32" s="15">
        <f t="shared" si="7"/>
        <v>1.4662756598240456E-2</v>
      </c>
      <c r="G32" s="16">
        <f t="shared" si="0"/>
        <v>-4.5699999999999998E-2</v>
      </c>
      <c r="H32" s="17">
        <f t="shared" si="8"/>
        <v>-5.7000000000000002E-3</v>
      </c>
      <c r="I32" s="18">
        <f t="shared" si="1"/>
        <v>-467687</v>
      </c>
      <c r="J32" s="19">
        <v>0.11501183431952662</v>
      </c>
      <c r="K32" s="19">
        <f>'[3]model 2 OOS'!$J$7</f>
        <v>0.11548630434782609</v>
      </c>
      <c r="L32" s="20">
        <f t="shared" si="2"/>
        <v>-1.8E-3</v>
      </c>
      <c r="M32" s="21">
        <f t="shared" si="3"/>
        <v>-147691</v>
      </c>
      <c r="N32" s="22">
        <f t="shared" si="4"/>
        <v>-147691</v>
      </c>
      <c r="O32" s="19">
        <f t="shared" si="5"/>
        <v>-1.8000048818787432E-3</v>
      </c>
      <c r="P32" s="23" t="str">
        <f t="shared" si="6"/>
        <v>Att</v>
      </c>
      <c r="W32" s="2"/>
    </row>
    <row r="33" spans="1:23">
      <c r="A33" s="12">
        <v>210040</v>
      </c>
      <c r="B33" s="13" t="s">
        <v>42</v>
      </c>
      <c r="C33" s="14">
        <v>151174669.60064766</v>
      </c>
      <c r="D33" s="71">
        <v>0.11600000000000001</v>
      </c>
      <c r="E33" s="72">
        <v>0.1052</v>
      </c>
      <c r="F33" s="15">
        <f t="shared" si="7"/>
        <v>-9.3103448275862144E-2</v>
      </c>
      <c r="G33" s="16">
        <f t="shared" si="0"/>
        <v>-4.5699999999999998E-2</v>
      </c>
      <c r="H33" s="17">
        <f t="shared" si="8"/>
        <v>4.4999999999999997E-3</v>
      </c>
      <c r="I33" s="18">
        <f t="shared" si="1"/>
        <v>680286</v>
      </c>
      <c r="J33" s="19">
        <v>0.11872584856396867</v>
      </c>
      <c r="K33" s="19">
        <f>'[3]model 2 OOS'!$J$7</f>
        <v>0.11548630434782609</v>
      </c>
      <c r="L33" s="20">
        <f t="shared" si="2"/>
        <v>-3.5000000000000001E-3</v>
      </c>
      <c r="M33" s="21">
        <f t="shared" si="3"/>
        <v>-529111</v>
      </c>
      <c r="N33" s="22">
        <f t="shared" si="4"/>
        <v>680286</v>
      </c>
      <c r="O33" s="19">
        <f t="shared" si="5"/>
        <v>4.4999999126645058E-3</v>
      </c>
      <c r="P33" s="23" t="str">
        <f t="shared" si="6"/>
        <v>Imp</v>
      </c>
      <c r="W33" s="2"/>
    </row>
    <row r="34" spans="1:23">
      <c r="A34" s="12">
        <v>210043</v>
      </c>
      <c r="B34" s="13" t="s">
        <v>43</v>
      </c>
      <c r="C34" s="14">
        <v>310629291.55806202</v>
      </c>
      <c r="D34" s="71">
        <v>0.1173</v>
      </c>
      <c r="E34" s="72">
        <v>0.1066</v>
      </c>
      <c r="F34" s="15">
        <f t="shared" si="7"/>
        <v>-9.1219096334185901E-2</v>
      </c>
      <c r="G34" s="16">
        <f t="shared" si="0"/>
        <v>-4.5699999999999998E-2</v>
      </c>
      <c r="H34" s="17">
        <f t="shared" si="8"/>
        <v>4.3E-3</v>
      </c>
      <c r="I34" s="18">
        <f t="shared" si="1"/>
        <v>1335706</v>
      </c>
      <c r="J34" s="19">
        <v>0.11870097719869707</v>
      </c>
      <c r="K34" s="19">
        <f>'[3]model 2 OOS'!$J$7</f>
        <v>0.11548630434782609</v>
      </c>
      <c r="L34" s="20">
        <f t="shared" si="2"/>
        <v>-3.3999999999999998E-3</v>
      </c>
      <c r="M34" s="21">
        <f t="shared" si="3"/>
        <v>-1056140</v>
      </c>
      <c r="N34" s="22">
        <f t="shared" si="4"/>
        <v>1335706</v>
      </c>
      <c r="O34" s="19">
        <f t="shared" si="5"/>
        <v>4.30000014905334E-3</v>
      </c>
      <c r="P34" s="23" t="str">
        <f t="shared" si="6"/>
        <v>Imp</v>
      </c>
      <c r="W34" s="2"/>
    </row>
    <row r="35" spans="1:23">
      <c r="A35" s="12">
        <v>210044</v>
      </c>
      <c r="B35" s="13" t="s">
        <v>44</v>
      </c>
      <c r="C35" s="14">
        <v>234417802.74342716</v>
      </c>
      <c r="D35" s="71">
        <v>0.1069</v>
      </c>
      <c r="E35" s="72">
        <v>9.3799999999999994E-2</v>
      </c>
      <c r="F35" s="15">
        <f t="shared" si="7"/>
        <v>-0.12254443405051452</v>
      </c>
      <c r="G35" s="16">
        <f t="shared" si="0"/>
        <v>-4.5699999999999998E-2</v>
      </c>
      <c r="H35" s="17">
        <f t="shared" si="8"/>
        <v>7.3000000000000001E-3</v>
      </c>
      <c r="I35" s="18">
        <f t="shared" si="1"/>
        <v>1711250</v>
      </c>
      <c r="J35" s="19">
        <v>0.1085496913580247</v>
      </c>
      <c r="K35" s="19">
        <f>'[3]model 2 OOS'!$J$7</f>
        <v>0.11548630434782609</v>
      </c>
      <c r="L35" s="20">
        <f t="shared" si="2"/>
        <v>2.3999999999999998E-3</v>
      </c>
      <c r="M35" s="21">
        <f t="shared" si="3"/>
        <v>562603</v>
      </c>
      <c r="N35" s="22">
        <f t="shared" si="4"/>
        <v>1711250</v>
      </c>
      <c r="O35" s="19">
        <f t="shared" si="5"/>
        <v>7.3000001705202473E-3</v>
      </c>
      <c r="P35" s="23" t="str">
        <f t="shared" si="6"/>
        <v>Imp</v>
      </c>
      <c r="W35" s="2"/>
    </row>
    <row r="36" spans="1:23">
      <c r="A36" s="12">
        <v>210048</v>
      </c>
      <c r="B36" s="13" t="s">
        <v>45</v>
      </c>
      <c r="C36" s="14">
        <v>211409027.60942188</v>
      </c>
      <c r="D36" s="71">
        <v>0.11360000000000001</v>
      </c>
      <c r="E36" s="72">
        <v>0.1043</v>
      </c>
      <c r="F36" s="15">
        <f t="shared" si="7"/>
        <v>-8.1866197183098621E-2</v>
      </c>
      <c r="G36" s="16">
        <f>ImpTarget</f>
        <v>-4.5699999999999998E-2</v>
      </c>
      <c r="H36" s="17">
        <f t="shared" si="8"/>
        <v>3.3999999999999998E-3</v>
      </c>
      <c r="I36" s="18">
        <f t="shared" si="1"/>
        <v>718791</v>
      </c>
      <c r="J36" s="19">
        <v>0.11584395061728395</v>
      </c>
      <c r="K36" s="19">
        <f>'[3]model 2 OOS'!$J$7</f>
        <v>0.11548630434782609</v>
      </c>
      <c r="L36" s="20">
        <f t="shared" si="2"/>
        <v>-2.0999999999999999E-3</v>
      </c>
      <c r="M36" s="21">
        <f t="shared" si="3"/>
        <v>-443959</v>
      </c>
      <c r="N36" s="22">
        <f t="shared" si="4"/>
        <v>718791</v>
      </c>
      <c r="O36" s="19">
        <f t="shared" si="5"/>
        <v>3.400001448036392E-3</v>
      </c>
      <c r="P36" s="23" t="str">
        <f t="shared" si="6"/>
        <v>Imp</v>
      </c>
      <c r="W36" s="2"/>
    </row>
    <row r="37" spans="1:23">
      <c r="A37" s="12">
        <v>210049</v>
      </c>
      <c r="B37" s="13" t="s">
        <v>46</v>
      </c>
      <c r="C37" s="14">
        <v>189719193.58650389</v>
      </c>
      <c r="D37" s="71">
        <v>0.11559999999999999</v>
      </c>
      <c r="E37" s="72">
        <v>0.1105</v>
      </c>
      <c r="F37" s="15">
        <f>E37/D37-1</f>
        <v>-4.4117647058823484E-2</v>
      </c>
      <c r="G37" s="16">
        <f t="shared" si="0"/>
        <v>-4.5699999999999998E-2</v>
      </c>
      <c r="H37" s="17">
        <f t="shared" ref="H37:H42" si="9">ROUND(IF(F37&lt;=ImpMaxRewardScore,MaxReward,IF(F37&gt;=ImpMaxPenaltyScore,MaxPenalty,IF(F37&lt;=ImpTarget,MaxReward*((F37-ImpTarget)/(ImpMaxRewardScore-ImpTarget)),MaxPenalty*((F37-ImpTarget)/(ImpMaxPenaltyScore-ImpTarget))))),4)</f>
        <v>-2.0000000000000001E-4</v>
      </c>
      <c r="I37" s="18">
        <f t="shared" si="1"/>
        <v>-37944</v>
      </c>
      <c r="J37" s="19">
        <v>0.11859827089337176</v>
      </c>
      <c r="K37" s="19">
        <f>'[3]model 2 OOS'!$J$7</f>
        <v>0.11548630434782609</v>
      </c>
      <c r="L37" s="20">
        <f t="shared" si="2"/>
        <v>-3.3999999999999998E-3</v>
      </c>
      <c r="M37" s="21">
        <f t="shared" si="3"/>
        <v>-645045</v>
      </c>
      <c r="N37" s="22">
        <f t="shared" si="4"/>
        <v>-37944</v>
      </c>
      <c r="O37" s="19">
        <f t="shared" si="5"/>
        <v>-2.0000085011271751E-4</v>
      </c>
      <c r="P37" s="23" t="str">
        <f t="shared" si="6"/>
        <v>Imp</v>
      </c>
      <c r="W37" s="2"/>
    </row>
    <row r="38" spans="1:23">
      <c r="A38" s="12">
        <v>210051</v>
      </c>
      <c r="B38" s="13" t="s">
        <v>47</v>
      </c>
      <c r="C38" s="14">
        <v>180962137.96314165</v>
      </c>
      <c r="D38" s="71">
        <v>0.1026</v>
      </c>
      <c r="E38" s="72">
        <v>8.8900000000000007E-2</v>
      </c>
      <c r="F38" s="15">
        <f>E38/D38-1</f>
        <v>-0.13352826510721238</v>
      </c>
      <c r="G38" s="16">
        <f t="shared" si="0"/>
        <v>-4.5699999999999998E-2</v>
      </c>
      <c r="H38" s="17">
        <f t="shared" si="9"/>
        <v>8.3999999999999995E-3</v>
      </c>
      <c r="I38" s="18">
        <f t="shared" si="1"/>
        <v>1520082</v>
      </c>
      <c r="J38" s="19">
        <v>0.12316519823788545</v>
      </c>
      <c r="K38" s="19">
        <f>'[3]model 2 OOS'!$J$7</f>
        <v>0.11548630434782609</v>
      </c>
      <c r="L38" s="20">
        <f t="shared" si="2"/>
        <v>-5.4999999999999997E-3</v>
      </c>
      <c r="M38" s="21">
        <f t="shared" si="3"/>
        <v>-995292</v>
      </c>
      <c r="N38" s="22">
        <f t="shared" si="4"/>
        <v>1520082</v>
      </c>
      <c r="O38" s="19">
        <f t="shared" si="5"/>
        <v>8.4000002271724383E-3</v>
      </c>
      <c r="P38" s="23" t="str">
        <f>IF(N38=M38,"Att",IF(N38=I38,"Imp"))</f>
        <v>Imp</v>
      </c>
      <c r="W38" s="2"/>
    </row>
    <row r="39" spans="1:23">
      <c r="A39" s="12">
        <v>210056</v>
      </c>
      <c r="B39" s="13" t="s">
        <v>118</v>
      </c>
      <c r="C39" s="141">
        <v>185901046</v>
      </c>
      <c r="D39" s="71">
        <v>0.13930000000000001</v>
      </c>
      <c r="E39" s="72">
        <v>0.1169</v>
      </c>
      <c r="F39" s="15">
        <f t="shared" si="7"/>
        <v>-0.16080402010050254</v>
      </c>
      <c r="G39" s="16">
        <f>ImpTarget</f>
        <v>-4.5699999999999998E-2</v>
      </c>
      <c r="H39" s="17">
        <f t="shared" si="9"/>
        <v>1.0999999999999999E-2</v>
      </c>
      <c r="I39" s="18">
        <f t="shared" si="1"/>
        <v>2044912</v>
      </c>
      <c r="J39" s="19">
        <v>0.14019870967741935</v>
      </c>
      <c r="K39" s="19">
        <f>'[3]model 2 OOS'!$J$7</f>
        <v>0.11548630434782609</v>
      </c>
      <c r="L39" s="20">
        <f t="shared" si="2"/>
        <v>-1.3299999999999999E-2</v>
      </c>
      <c r="M39" s="21">
        <f t="shared" si="3"/>
        <v>-2472484</v>
      </c>
      <c r="N39" s="22">
        <f t="shared" si="4"/>
        <v>2044912</v>
      </c>
      <c r="O39" s="19">
        <f t="shared" si="5"/>
        <v>1.1000002657327706E-2</v>
      </c>
      <c r="P39" s="23"/>
      <c r="W39" s="2"/>
    </row>
    <row r="40" spans="1:23">
      <c r="A40" s="12">
        <v>210057</v>
      </c>
      <c r="B40" s="13" t="s">
        <v>119</v>
      </c>
      <c r="C40" s="14">
        <v>317446406.37621063</v>
      </c>
      <c r="D40" s="71">
        <v>0.1055</v>
      </c>
      <c r="E40" s="72">
        <v>0.1004</v>
      </c>
      <c r="F40" s="15">
        <f>E40/D40-1</f>
        <v>-4.8341232227488096E-2</v>
      </c>
      <c r="G40" s="16">
        <f t="shared" si="0"/>
        <v>-4.5699999999999998E-2</v>
      </c>
      <c r="H40" s="17">
        <f t="shared" si="9"/>
        <v>2.9999999999999997E-4</v>
      </c>
      <c r="I40" s="18">
        <f t="shared" si="1"/>
        <v>95234</v>
      </c>
      <c r="J40" s="19">
        <v>0.111619</v>
      </c>
      <c r="K40" s="19">
        <f>'[3]model 2 OOS'!$J$7</f>
        <v>0.11548630434782609</v>
      </c>
      <c r="L40" s="20">
        <f t="shared" si="2"/>
        <v>-2.0000000000000001E-4</v>
      </c>
      <c r="M40" s="21">
        <f t="shared" si="3"/>
        <v>-63489</v>
      </c>
      <c r="N40" s="22">
        <f t="shared" si="4"/>
        <v>95234</v>
      </c>
      <c r="O40" s="19">
        <f t="shared" si="5"/>
        <v>3.0000024598526002E-4</v>
      </c>
      <c r="P40" s="23"/>
      <c r="W40" s="2"/>
    </row>
    <row r="41" spans="1:23">
      <c r="A41" s="12">
        <v>210058</v>
      </c>
      <c r="B41" s="13" t="s">
        <v>120</v>
      </c>
      <c r="C41" s="14">
        <v>76544370.742892802</v>
      </c>
      <c r="D41" s="71">
        <v>9.3899999999999997E-2</v>
      </c>
      <c r="E41" s="72">
        <v>0.12089999999999999</v>
      </c>
      <c r="F41" s="15">
        <f>E41/D41-1</f>
        <v>0.28753993610223638</v>
      </c>
      <c r="G41" s="16">
        <f t="shared" si="0"/>
        <v>-4.5699999999999998E-2</v>
      </c>
      <c r="H41" s="17">
        <f t="shared" si="9"/>
        <v>-0.02</v>
      </c>
      <c r="I41" s="18">
        <f t="shared" si="1"/>
        <v>-1530887</v>
      </c>
      <c r="J41" s="19">
        <v>9.3899999999999997E-2</v>
      </c>
      <c r="K41" s="19">
        <f>'[3]model 2 OOS'!$J$7</f>
        <v>0.11548630434782609</v>
      </c>
      <c r="L41" s="20">
        <f t="shared" si="2"/>
        <v>1.5900000000000001E-2</v>
      </c>
      <c r="M41" s="21">
        <f t="shared" si="3"/>
        <v>1217055</v>
      </c>
      <c r="N41" s="22">
        <f t="shared" si="4"/>
        <v>1217055</v>
      </c>
      <c r="O41" s="19">
        <f t="shared" si="5"/>
        <v>1.5899993535618741E-2</v>
      </c>
      <c r="P41" s="23"/>
      <c r="W41" s="2"/>
    </row>
    <row r="42" spans="1:23">
      <c r="A42" s="12">
        <v>210060</v>
      </c>
      <c r="B42" s="13" t="s">
        <v>48</v>
      </c>
      <c r="C42" s="14">
        <v>29662990.1900758</v>
      </c>
      <c r="D42" s="71">
        <v>8.9499999999999996E-2</v>
      </c>
      <c r="E42" s="72">
        <v>9.5100000000000004E-2</v>
      </c>
      <c r="F42" s="15">
        <f t="shared" si="7"/>
        <v>6.2569832402234793E-2</v>
      </c>
      <c r="G42" s="16">
        <f t="shared" si="0"/>
        <v>-4.5699999999999998E-2</v>
      </c>
      <c r="H42" s="17">
        <f t="shared" si="9"/>
        <v>-1.03E-2</v>
      </c>
      <c r="I42" s="18">
        <f t="shared" si="1"/>
        <v>-305529</v>
      </c>
      <c r="J42" s="19">
        <v>0.12844907407407408</v>
      </c>
      <c r="K42" s="19">
        <f>'[3]model 2 OOS'!$J$7</f>
        <v>0.11548630434782609</v>
      </c>
      <c r="L42" s="20">
        <f t="shared" si="2"/>
        <v>-7.9000000000000008E-3</v>
      </c>
      <c r="M42" s="21">
        <f t="shared" si="3"/>
        <v>-234338</v>
      </c>
      <c r="N42" s="22">
        <f t="shared" si="4"/>
        <v>-234338</v>
      </c>
      <c r="O42" s="19">
        <f t="shared" si="5"/>
        <v>-7.9000127262423229E-3</v>
      </c>
      <c r="P42" s="23" t="str">
        <f t="shared" si="6"/>
        <v>Att</v>
      </c>
      <c r="W42" s="2"/>
    </row>
    <row r="43" spans="1:23">
      <c r="A43" s="12">
        <v>210061</v>
      </c>
      <c r="B43" s="13" t="s">
        <v>49</v>
      </c>
      <c r="C43" s="14">
        <v>44449448.916606866</v>
      </c>
      <c r="D43" s="71">
        <v>9.6100000000000005E-2</v>
      </c>
      <c r="E43" s="72">
        <v>9.0700000000000003E-2</v>
      </c>
      <c r="F43" s="15">
        <f t="shared" si="7"/>
        <v>-5.6191467221644142E-2</v>
      </c>
      <c r="G43" s="16">
        <f t="shared" si="0"/>
        <v>-4.5699999999999998E-2</v>
      </c>
      <c r="H43" s="17">
        <f t="shared" si="8"/>
        <v>1E-3</v>
      </c>
      <c r="I43" s="18">
        <f t="shared" si="1"/>
        <v>44449</v>
      </c>
      <c r="J43" s="19">
        <v>0.10683457446808511</v>
      </c>
      <c r="K43" s="19">
        <f>'[3]model 2 OOS'!$J$7</f>
        <v>0.11548630434782609</v>
      </c>
      <c r="L43" s="20">
        <f t="shared" si="2"/>
        <v>4.0000000000000001E-3</v>
      </c>
      <c r="M43" s="21">
        <f t="shared" si="3"/>
        <v>177798</v>
      </c>
      <c r="N43" s="22">
        <f t="shared" si="4"/>
        <v>177798</v>
      </c>
      <c r="O43" s="19">
        <f t="shared" si="5"/>
        <v>4.0000045969877584E-3</v>
      </c>
      <c r="P43" s="23" t="str">
        <f t="shared" si="6"/>
        <v>Att</v>
      </c>
      <c r="W43" s="2"/>
    </row>
    <row r="44" spans="1:23">
      <c r="A44" s="12">
        <v>210062</v>
      </c>
      <c r="B44" s="13" t="s">
        <v>50</v>
      </c>
      <c r="C44" s="14">
        <v>189090938.60508713</v>
      </c>
      <c r="D44" s="71">
        <v>9.8000000000000004E-2</v>
      </c>
      <c r="E44" s="72">
        <v>9.0399999999999994E-2</v>
      </c>
      <c r="F44" s="15">
        <f t="shared" si="7"/>
        <v>-7.7551020408163307E-2</v>
      </c>
      <c r="G44" s="16">
        <f t="shared" si="0"/>
        <v>-4.5699999999999998E-2</v>
      </c>
      <c r="H44" s="17">
        <f t="shared" si="8"/>
        <v>3.0000000000000001E-3</v>
      </c>
      <c r="I44" s="18">
        <f t="shared" si="1"/>
        <v>567273</v>
      </c>
      <c r="J44" s="19">
        <v>0.1261609195402299</v>
      </c>
      <c r="K44" s="19">
        <f>'[3]model 2 OOS'!$J$7</f>
        <v>0.11548630434782609</v>
      </c>
      <c r="L44" s="20">
        <f t="shared" si="2"/>
        <v>-6.8999999999999999E-3</v>
      </c>
      <c r="M44" s="21">
        <f t="shared" si="3"/>
        <v>-1304727</v>
      </c>
      <c r="N44" s="22">
        <f t="shared" si="4"/>
        <v>567273</v>
      </c>
      <c r="O44" s="19">
        <f t="shared" si="5"/>
        <v>3.000000974053754E-3</v>
      </c>
      <c r="P44" s="23" t="str">
        <f t="shared" si="6"/>
        <v>Imp</v>
      </c>
      <c r="W44" s="2"/>
    </row>
    <row r="45" spans="1:23" s="25" customFormat="1">
      <c r="A45" s="12">
        <v>210063</v>
      </c>
      <c r="B45" s="13" t="s">
        <v>51</v>
      </c>
      <c r="C45" s="14">
        <v>267964845.88307279</v>
      </c>
      <c r="D45" s="71">
        <v>0.1147</v>
      </c>
      <c r="E45" s="72">
        <v>0.10299999999999999</v>
      </c>
      <c r="F45" s="15">
        <f t="shared" si="7"/>
        <v>-0.10200523103748915</v>
      </c>
      <c r="G45" s="16">
        <f t="shared" si="0"/>
        <v>-4.5699999999999998E-2</v>
      </c>
      <c r="H45" s="17">
        <f t="shared" si="8"/>
        <v>5.4000000000000003E-3</v>
      </c>
      <c r="I45" s="18">
        <f t="shared" si="1"/>
        <v>1447010</v>
      </c>
      <c r="J45" s="19">
        <v>0.11609241274658573</v>
      </c>
      <c r="K45" s="19">
        <f>'[3]model 2 OOS'!$J$7</f>
        <v>0.11548630434782609</v>
      </c>
      <c r="L45" s="20">
        <f t="shared" si="2"/>
        <v>-2.2000000000000001E-3</v>
      </c>
      <c r="M45" s="21">
        <f t="shared" si="3"/>
        <v>-589523</v>
      </c>
      <c r="N45" s="22">
        <f t="shared" si="4"/>
        <v>1447010</v>
      </c>
      <c r="O45" s="19">
        <f t="shared" si="5"/>
        <v>5.3999993739156623E-3</v>
      </c>
      <c r="P45" s="23" t="str">
        <f t="shared" si="6"/>
        <v>Imp</v>
      </c>
    </row>
    <row r="46" spans="1:23" s="25" customFormat="1">
      <c r="A46" s="12">
        <v>210064</v>
      </c>
      <c r="B46" s="13" t="s">
        <v>115</v>
      </c>
      <c r="C46" s="14">
        <v>63642884</v>
      </c>
      <c r="D46" s="71">
        <v>0.1095</v>
      </c>
      <c r="E46" s="72">
        <v>0.1052</v>
      </c>
      <c r="F46" s="15">
        <f>E46/D46-1</f>
        <v>-3.9269406392694051E-2</v>
      </c>
      <c r="G46" s="16">
        <f t="shared" ref="G46" si="10">ImpTarget</f>
        <v>-4.5699999999999998E-2</v>
      </c>
      <c r="H46" s="17">
        <f t="shared" ref="H46" si="11">ROUND(IF(F46&lt;=ImpMaxRewardScore,MaxReward,IF(F46&gt;=ImpMaxPenaltyScore,MaxPenalty,IF(F46&lt;=ImpTarget,MaxReward*((F46-ImpTarget)/(ImpMaxRewardScore-ImpTarget)),MaxPenalty*((F46-ImpTarget)/(ImpMaxPenaltyScore-ImpTarget))))),4)</f>
        <v>-5.9999999999999995E-4</v>
      </c>
      <c r="I46" s="18">
        <f t="shared" si="1"/>
        <v>-38186</v>
      </c>
      <c r="J46" s="19">
        <v>0.1095</v>
      </c>
      <c r="K46" s="19">
        <f>'[3]model 2 OOS'!$J$7</f>
        <v>0.11548630434782609</v>
      </c>
      <c r="L46" s="20">
        <f t="shared" si="2"/>
        <v>1.6000000000000001E-3</v>
      </c>
      <c r="M46" s="21">
        <f t="shared" si="3"/>
        <v>101829</v>
      </c>
      <c r="N46" s="22">
        <f t="shared" si="4"/>
        <v>101829</v>
      </c>
      <c r="O46" s="19">
        <f t="shared" si="5"/>
        <v>1.6000060588077687E-3</v>
      </c>
      <c r="P46" s="23" t="str">
        <f t="shared" si="6"/>
        <v>Att</v>
      </c>
      <c r="Q46" s="124"/>
    </row>
    <row r="47" spans="1:23" s="25" customFormat="1">
      <c r="A47" s="12">
        <v>210065</v>
      </c>
      <c r="B47" s="13" t="s">
        <v>52</v>
      </c>
      <c r="C47" s="14">
        <v>74788277.035090461</v>
      </c>
      <c r="D47" s="71">
        <v>0.12</v>
      </c>
      <c r="E47" s="72">
        <v>0.1016</v>
      </c>
      <c r="F47" s="15">
        <f t="shared" si="7"/>
        <v>-0.15333333333333332</v>
      </c>
      <c r="G47" s="16">
        <f t="shared" si="0"/>
        <v>-4.5699999999999998E-2</v>
      </c>
      <c r="H47" s="17">
        <f t="shared" si="8"/>
        <v>1.03E-2</v>
      </c>
      <c r="I47" s="18">
        <f t="shared" si="1"/>
        <v>770319</v>
      </c>
      <c r="J47" s="19">
        <v>0.12623376623376623</v>
      </c>
      <c r="K47" s="19">
        <f>'[3]model 2 OOS'!$J$7</f>
        <v>0.11548630434782609</v>
      </c>
      <c r="L47" s="20">
        <f t="shared" si="2"/>
        <v>-6.8999999999999999E-3</v>
      </c>
      <c r="M47" s="21">
        <f t="shared" si="3"/>
        <v>-516039</v>
      </c>
      <c r="N47" s="22">
        <f t="shared" si="4"/>
        <v>770319</v>
      </c>
      <c r="O47" s="19">
        <f t="shared" si="5"/>
        <v>1.0299996610947038E-2</v>
      </c>
      <c r="P47" s="23" t="str">
        <f t="shared" si="6"/>
        <v>Imp</v>
      </c>
    </row>
    <row r="48" spans="1:23" s="25" customFormat="1">
      <c r="A48" s="28"/>
      <c r="F48" s="29"/>
    </row>
    <row r="49" spans="1:32" s="28" customFormat="1">
      <c r="A49" s="30" t="s">
        <v>53</v>
      </c>
      <c r="B49" s="37"/>
      <c r="C49" s="31">
        <f>SUM(C4:C47)</f>
        <v>10879651504.031719</v>
      </c>
      <c r="D49" s="31"/>
      <c r="E49" s="31"/>
      <c r="F49" s="15"/>
      <c r="G49" s="32"/>
      <c r="H49" s="15"/>
      <c r="I49" s="38">
        <f>SUM(I4:I47)</f>
        <v>53153657</v>
      </c>
      <c r="J49" s="34"/>
      <c r="K49" s="33"/>
      <c r="L49" s="34"/>
      <c r="M49" s="38">
        <f>SUM(M4:M47)</f>
        <v>-76397012</v>
      </c>
      <c r="N49" s="38">
        <f>SUM(N4:N47)</f>
        <v>58051746</v>
      </c>
      <c r="O49" s="34"/>
      <c r="P49" s="34"/>
      <c r="Q49" s="35"/>
      <c r="R49" s="36"/>
    </row>
    <row r="50" spans="1:32">
      <c r="A50" s="39" t="s">
        <v>54</v>
      </c>
      <c r="B50" s="40"/>
      <c r="C50" s="41"/>
      <c r="D50" s="41"/>
      <c r="E50" s="41"/>
      <c r="F50" s="41"/>
      <c r="G50" s="41"/>
      <c r="H50" s="41"/>
      <c r="I50" s="42">
        <f>SUMIF(I4:I47,"&lt;0",I4:I47)</f>
        <v>-7062674</v>
      </c>
      <c r="J50" s="22"/>
      <c r="K50" s="18"/>
      <c r="L50" s="21"/>
      <c r="M50" s="42">
        <f>SUMIF(M4:M47,"&lt;0",M4:M47)</f>
        <v>-80400773</v>
      </c>
      <c r="N50" s="42">
        <f>SUMIF(N4:N47,"&lt;0",N4:N47)</f>
        <v>-4435640</v>
      </c>
      <c r="O50" s="21"/>
      <c r="P50" s="22"/>
      <c r="Q50" s="35"/>
      <c r="R50" s="35"/>
      <c r="W50" s="2"/>
    </row>
    <row r="51" spans="1:32">
      <c r="A51" s="39" t="s">
        <v>55</v>
      </c>
      <c r="B51" s="40"/>
      <c r="C51" s="41"/>
      <c r="D51" s="41"/>
      <c r="E51" s="41"/>
      <c r="F51" s="41"/>
      <c r="G51" s="41"/>
      <c r="H51" s="41"/>
      <c r="I51" s="42">
        <f>SUMIF(I4:I47,"&gt;0",I4:I47)</f>
        <v>60216331</v>
      </c>
      <c r="J51" s="22"/>
      <c r="K51" s="18"/>
      <c r="L51" s="21"/>
      <c r="M51" s="42">
        <f>SUMIF(M4:M47,"&gt;0",M4:M47)</f>
        <v>4003761</v>
      </c>
      <c r="N51" s="42">
        <f>SUMIF(N4:N47,"&gt;0",N4:N47)</f>
        <v>62487386</v>
      </c>
      <c r="O51" s="21"/>
      <c r="P51" s="22"/>
      <c r="Q51" s="35"/>
      <c r="R51" s="35"/>
      <c r="W51" s="2"/>
    </row>
    <row r="52" spans="1:32">
      <c r="A52" s="43"/>
      <c r="B52" s="44"/>
      <c r="C52" s="14"/>
      <c r="D52" s="14"/>
      <c r="E52" s="14"/>
      <c r="F52" s="45"/>
      <c r="G52" s="45"/>
      <c r="H52" s="45"/>
      <c r="I52" s="46"/>
      <c r="J52" s="24"/>
      <c r="K52" s="47"/>
      <c r="L52" s="47"/>
      <c r="M52" s="41"/>
      <c r="N52" s="41"/>
      <c r="O52" s="47"/>
      <c r="P52" s="47"/>
      <c r="Q52" s="41"/>
      <c r="R52" s="48"/>
      <c r="W52" s="2"/>
    </row>
    <row r="53" spans="1:32">
      <c r="A53" s="49"/>
      <c r="B53" s="50"/>
      <c r="C53" s="51"/>
      <c r="D53" s="51"/>
      <c r="E53" s="51"/>
      <c r="F53" s="52"/>
      <c r="G53" s="52"/>
      <c r="H53" s="52"/>
      <c r="I53" s="53"/>
      <c r="J53" s="54"/>
      <c r="K53" s="54"/>
      <c r="L53" s="54"/>
      <c r="P53" s="55"/>
    </row>
    <row r="54" spans="1:32">
      <c r="A54" s="172" t="s">
        <v>56</v>
      </c>
      <c r="B54" s="172"/>
      <c r="C54" s="172"/>
      <c r="D54" s="172"/>
      <c r="E54" s="172"/>
      <c r="F54" s="172"/>
      <c r="G54" s="172"/>
      <c r="H54" s="172"/>
      <c r="I54" s="172"/>
      <c r="J54" s="172"/>
      <c r="K54" s="172"/>
      <c r="L54" s="172"/>
      <c r="M54" s="172"/>
      <c r="N54" s="172"/>
      <c r="O54" s="172"/>
      <c r="P54" s="172"/>
      <c r="AF54" s="2" t="e">
        <f>CORREL(O4:O47,#REF!)</f>
        <v>#REF!</v>
      </c>
    </row>
    <row r="55" spans="1:32">
      <c r="A55" s="2" t="s">
        <v>57</v>
      </c>
    </row>
    <row r="56" spans="1:32">
      <c r="A56" s="2" t="s">
        <v>58</v>
      </c>
      <c r="P56" s="55"/>
    </row>
    <row r="57" spans="1:32">
      <c r="P57" s="55"/>
    </row>
    <row r="58" spans="1:32">
      <c r="B58" s="56" t="s">
        <v>59</v>
      </c>
      <c r="C58" s="57">
        <v>0.02</v>
      </c>
      <c r="D58" s="69"/>
      <c r="E58" s="69"/>
    </row>
    <row r="59" spans="1:32">
      <c r="B59" s="56" t="s">
        <v>60</v>
      </c>
      <c r="C59" s="57">
        <v>-0.02</v>
      </c>
      <c r="D59" s="69"/>
      <c r="E59" s="69"/>
    </row>
    <row r="61" spans="1:32">
      <c r="B61" s="56" t="s">
        <v>61</v>
      </c>
      <c r="C61" s="58">
        <v>-4.5699999999999998E-2</v>
      </c>
      <c r="D61" s="70"/>
      <c r="E61" s="70"/>
    </row>
    <row r="62" spans="1:32">
      <c r="B62" s="56" t="s">
        <v>62</v>
      </c>
      <c r="C62" s="58">
        <v>-0.25569999999999998</v>
      </c>
      <c r="D62" s="70"/>
      <c r="E62" s="70"/>
    </row>
    <row r="63" spans="1:32">
      <c r="B63" s="56" t="s">
        <v>63</v>
      </c>
      <c r="C63" s="58">
        <v>0.1643</v>
      </c>
      <c r="D63" s="70"/>
      <c r="E63" s="70"/>
    </row>
    <row r="64" spans="1:32">
      <c r="B64" s="56" t="s">
        <v>64</v>
      </c>
      <c r="C64" s="58">
        <v>0.11119999999999999</v>
      </c>
      <c r="D64" s="70"/>
      <c r="E64" s="70"/>
    </row>
    <row r="65" spans="2:5">
      <c r="B65" s="56" t="s">
        <v>65</v>
      </c>
      <c r="C65" s="58">
        <v>8.9399999999999993E-2</v>
      </c>
      <c r="D65" s="70"/>
      <c r="E65" s="70"/>
    </row>
    <row r="66" spans="2:5">
      <c r="B66" s="56" t="s">
        <v>66</v>
      </c>
      <c r="C66" s="58">
        <v>0.1547</v>
      </c>
      <c r="D66" s="70"/>
      <c r="E66" s="70"/>
    </row>
  </sheetData>
  <autoFilter ref="A3:AI3" xr:uid="{1EE98DED-9F75-403E-91D5-41870A52822F}">
    <sortState xmlns:xlrd2="http://schemas.microsoft.com/office/spreadsheetml/2017/richdata2" ref="A4:AI47">
      <sortCondition ref="T3"/>
    </sortState>
  </autoFilter>
  <mergeCells count="4">
    <mergeCell ref="G2:I2"/>
    <mergeCell ref="J2:M2"/>
    <mergeCell ref="N2:P2"/>
    <mergeCell ref="A54:P54"/>
  </mergeCells>
  <conditionalFormatting sqref="I47 I4:I45 M4:N47">
    <cfRule type="cellIs" dxfId="7" priority="3" operator="lessThan">
      <formula>0</formula>
    </cfRule>
    <cfRule type="cellIs" dxfId="6" priority="4" operator="greaterThan">
      <formula>0</formula>
    </cfRule>
  </conditionalFormatting>
  <conditionalFormatting sqref="I46">
    <cfRule type="cellIs" dxfId="5" priority="1" operator="lessThan">
      <formula>0</formula>
    </cfRule>
    <cfRule type="cellIs" dxfId="4" priority="2" operator="greaterThan">
      <formula>0</formula>
    </cfRule>
  </conditionalFormatting>
  <printOptions horizontalCentered="1" verticalCentered="1"/>
  <pageMargins left="0.45" right="0.45" top="0.25" bottom="0.25" header="0.3" footer="0.3"/>
  <pageSetup paperSize="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F0D2F-F634-459F-8A6C-878A10F9BEFD}">
  <dimension ref="A1:AF66"/>
  <sheetViews>
    <sheetView workbookViewId="0">
      <pane xSplit="1" ySplit="3" topLeftCell="B43" activePane="bottomRight" state="frozen"/>
      <selection pane="topRight" activeCell="B1" sqref="B1"/>
      <selection pane="bottomLeft" activeCell="A4" sqref="A4"/>
      <selection pane="bottomRight" activeCell="K45" sqref="K45"/>
    </sheetView>
  </sheetViews>
  <sheetFormatPr defaultColWidth="9.26953125" defaultRowHeight="15.5"/>
  <cols>
    <col min="1" max="1" width="10" style="2" customWidth="1"/>
    <col min="2" max="2" width="41.453125" style="1" customWidth="1"/>
    <col min="3" max="5" width="18.7265625" style="2" customWidth="1"/>
    <col min="6" max="6" width="19.81640625" style="2" bestFit="1" customWidth="1"/>
    <col min="7" max="7" width="12.26953125" style="2" bestFit="1" customWidth="1"/>
    <col min="8" max="8" width="17.1796875" style="2" customWidth="1"/>
    <col min="9" max="9" width="20.54296875" style="2" customWidth="1"/>
    <col min="10" max="10" width="12.54296875" style="2" customWidth="1"/>
    <col min="11" max="11" width="15" style="2" customWidth="1"/>
    <col min="12" max="12" width="16" style="2" customWidth="1"/>
    <col min="13" max="13" width="20.453125" style="2" customWidth="1"/>
    <col min="14" max="14" width="20.1796875" style="2" customWidth="1"/>
    <col min="15" max="15" width="16.1796875" style="2" customWidth="1"/>
    <col min="16" max="16" width="18" style="3" customWidth="1"/>
    <col min="17" max="17" width="13.1796875" style="2" customWidth="1"/>
    <col min="18" max="18" width="14.54296875" style="2" customWidth="1"/>
    <col min="19" max="19" width="17.7265625" style="2" customWidth="1"/>
    <col min="20" max="20" width="28.1796875" style="2" customWidth="1"/>
    <col min="21" max="21" width="19.1796875" style="2" customWidth="1"/>
    <col min="22" max="22" width="21" style="2" customWidth="1"/>
    <col min="23" max="23" width="13.453125" style="1" customWidth="1"/>
    <col min="24" max="24" width="9.26953125" style="2" customWidth="1"/>
    <col min="25" max="25" width="12" style="2" customWidth="1"/>
    <col min="26" max="26" width="21.453125" style="2" customWidth="1"/>
    <col min="27" max="27" width="12.26953125" style="2" customWidth="1"/>
    <col min="28" max="29" width="9.26953125" style="2" customWidth="1"/>
    <col min="30" max="30" width="19.54296875" style="2" customWidth="1"/>
    <col min="31" max="31" width="19.54296875" style="2" bestFit="1" customWidth="1"/>
    <col min="32" max="33" width="13.7265625" style="2" customWidth="1"/>
    <col min="34" max="16384" width="9.26953125" style="2"/>
  </cols>
  <sheetData>
    <row r="1" spans="1:23">
      <c r="A1" s="68"/>
    </row>
    <row r="2" spans="1:23" ht="18.75" customHeight="1">
      <c r="A2" s="117" t="s">
        <v>114</v>
      </c>
      <c r="B2" s="2"/>
      <c r="C2" s="68"/>
      <c r="D2" s="68"/>
      <c r="E2" s="68"/>
      <c r="F2" s="1"/>
      <c r="G2" s="165" t="s">
        <v>0</v>
      </c>
      <c r="H2" s="166"/>
      <c r="I2" s="167"/>
      <c r="J2" s="168" t="s">
        <v>1</v>
      </c>
      <c r="K2" s="169"/>
      <c r="L2" s="169"/>
      <c r="M2" s="170"/>
      <c r="N2" s="171" t="s">
        <v>2</v>
      </c>
      <c r="O2" s="171"/>
      <c r="P2" s="171"/>
      <c r="W2" s="2"/>
    </row>
    <row r="3" spans="1:23" s="11" customFormat="1" ht="84">
      <c r="A3" s="4" t="s">
        <v>3</v>
      </c>
      <c r="B3" s="5" t="s">
        <v>4</v>
      </c>
      <c r="C3" s="6" t="s">
        <v>100</v>
      </c>
      <c r="D3" s="6" t="s">
        <v>74</v>
      </c>
      <c r="E3" s="6" t="s">
        <v>75</v>
      </c>
      <c r="F3" s="7" t="s">
        <v>10</v>
      </c>
      <c r="G3" s="8" t="s">
        <v>5</v>
      </c>
      <c r="H3" s="8" t="s">
        <v>6</v>
      </c>
      <c r="I3" s="8" t="s">
        <v>7</v>
      </c>
      <c r="J3" s="9" t="s">
        <v>11</v>
      </c>
      <c r="K3" s="9" t="s">
        <v>12</v>
      </c>
      <c r="L3" s="9" t="s">
        <v>6</v>
      </c>
      <c r="M3" s="9" t="s">
        <v>7</v>
      </c>
      <c r="N3" s="10" t="s">
        <v>8</v>
      </c>
      <c r="O3" s="10" t="s">
        <v>76</v>
      </c>
      <c r="P3" s="10" t="s">
        <v>9</v>
      </c>
      <c r="Q3" s="11" t="s">
        <v>99</v>
      </c>
    </row>
    <row r="4" spans="1:23">
      <c r="A4" s="12">
        <v>210001</v>
      </c>
      <c r="B4" s="13" t="s">
        <v>13</v>
      </c>
      <c r="C4" s="14">
        <v>233209898.29280609</v>
      </c>
      <c r="D4" s="71">
        <v>0.1176</v>
      </c>
      <c r="E4" s="72">
        <v>0.11559999999999999</v>
      </c>
      <c r="F4" s="15">
        <f>E4/D4-1</f>
        <v>-1.7006802721088454E-2</v>
      </c>
      <c r="G4" s="16">
        <f t="shared" ref="G4:G47" si="0">ImpTarget</f>
        <v>-4.5699999999999998E-2</v>
      </c>
      <c r="H4" s="17">
        <f t="shared" ref="H4:H47" si="1">ROUND(IF(F4&lt;=ImpMaxRewardScore,MaxReward,IF(F4&gt;=ImpMaxPenaltyScore,MaxPenalty,IF(F4&lt;=ImpTarget,MaxReward*((F4-ImpTarget)/(ImpMaxRewardScore-ImpTarget)),MaxPenalty*((F4-ImpTarget)/(ImpMaxPenaltyScore-ImpTarget))))),4)</f>
        <v>-2.7000000000000001E-3</v>
      </c>
      <c r="I4" s="18">
        <f t="shared" ref="I4:I47" si="2">ROUND($C4*H4,0)</f>
        <v>-629667</v>
      </c>
      <c r="J4" s="19">
        <v>0.12083292181069957</v>
      </c>
      <c r="K4" s="19">
        <f>'[3]model 2 OOS'!$J$7</f>
        <v>0.11548630434782609</v>
      </c>
      <c r="L4" s="20">
        <f t="shared" ref="L4:L47" si="3">ROUND(IF(J4&lt;=AttMaxRewardScore,MaxReward,IF(J4&gt;=AttMaxPenaltyScore,MaxPenalty,IF(J4&lt;=AttTarget,MaxReward*((J4-AttTarget)/(AttMaxRewardScore-AttTarget)),MaxPenalty*((J4-AttTarget)/(AttMaxPenaltyScore-AttTarget))))),4)</f>
        <v>-4.4000000000000003E-3</v>
      </c>
      <c r="M4" s="21">
        <f t="shared" ref="M4:M47" si="4">ROUND($C4*L4,0)</f>
        <v>-1026124</v>
      </c>
      <c r="N4" s="22">
        <f t="shared" ref="N4:N47" si="5">MAX(I4,M4)</f>
        <v>-629667</v>
      </c>
      <c r="O4" s="19">
        <f t="shared" ref="O4:O47" si="6">N4/C4</f>
        <v>-2.7000011775204463E-3</v>
      </c>
      <c r="P4" s="23" t="str">
        <f t="shared" ref="P4:P47" si="7">IF(N4=M4,"Att",IF(N4=I4,"Imp"))</f>
        <v>Imp</v>
      </c>
      <c r="W4" s="2"/>
    </row>
    <row r="5" spans="1:23">
      <c r="A5" s="12">
        <v>210002</v>
      </c>
      <c r="B5" s="13" t="s">
        <v>14</v>
      </c>
      <c r="C5" s="14">
        <v>1169777419.1025653</v>
      </c>
      <c r="D5" s="71">
        <v>0.13780000000000001</v>
      </c>
      <c r="E5" s="72">
        <v>0.11890000000000001</v>
      </c>
      <c r="F5" s="15">
        <f t="shared" ref="F5:F47" si="8">E5/D5-1</f>
        <v>-0.13715529753265598</v>
      </c>
      <c r="G5" s="16">
        <f t="shared" si="0"/>
        <v>-4.5699999999999998E-2</v>
      </c>
      <c r="H5" s="17">
        <f t="shared" si="1"/>
        <v>8.6999999999999994E-3</v>
      </c>
      <c r="I5" s="18">
        <f t="shared" si="2"/>
        <v>10177064</v>
      </c>
      <c r="J5" s="19">
        <v>0.12348457669740151</v>
      </c>
      <c r="K5" s="19">
        <f>'[3]model 2 OOS'!$J$7</f>
        <v>0.11548630434782609</v>
      </c>
      <c r="L5" s="20">
        <f t="shared" si="3"/>
        <v>-5.5999999999999999E-3</v>
      </c>
      <c r="M5" s="21">
        <f t="shared" si="4"/>
        <v>-6550754</v>
      </c>
      <c r="N5" s="22">
        <f t="shared" si="5"/>
        <v>10177064</v>
      </c>
      <c r="O5" s="19">
        <f t="shared" si="6"/>
        <v>8.7000003879436159E-3</v>
      </c>
      <c r="P5" s="23" t="str">
        <f t="shared" si="7"/>
        <v>Imp</v>
      </c>
      <c r="W5" s="2"/>
    </row>
    <row r="6" spans="1:23">
      <c r="A6" s="12">
        <v>210003</v>
      </c>
      <c r="B6" s="13" t="s">
        <v>15</v>
      </c>
      <c r="C6" s="14">
        <v>272737060.9453848</v>
      </c>
      <c r="D6" s="71">
        <v>0.11749999999999999</v>
      </c>
      <c r="E6" s="72">
        <v>9.8199999999999996E-2</v>
      </c>
      <c r="F6" s="15">
        <f t="shared" si="8"/>
        <v>-0.16425531914893621</v>
      </c>
      <c r="G6" s="16">
        <f t="shared" si="0"/>
        <v>-4.5699999999999998E-2</v>
      </c>
      <c r="H6" s="17">
        <f t="shared" si="1"/>
        <v>1.1299999999999999E-2</v>
      </c>
      <c r="I6" s="18">
        <f t="shared" si="2"/>
        <v>3081929</v>
      </c>
      <c r="J6" s="19">
        <v>0.11722918660287081</v>
      </c>
      <c r="K6" s="19">
        <f>'[3]model 2 OOS'!$J$7</f>
        <v>0.11548630434782609</v>
      </c>
      <c r="L6" s="20">
        <f t="shared" si="3"/>
        <v>-2.8E-3</v>
      </c>
      <c r="M6" s="21">
        <f t="shared" si="4"/>
        <v>-763664</v>
      </c>
      <c r="N6" s="22">
        <f t="shared" si="5"/>
        <v>3081929</v>
      </c>
      <c r="O6" s="19">
        <f t="shared" si="6"/>
        <v>1.1300000774801748E-2</v>
      </c>
      <c r="P6" s="23" t="str">
        <f t="shared" si="7"/>
        <v>Imp</v>
      </c>
      <c r="W6" s="2"/>
    </row>
    <row r="7" spans="1:23">
      <c r="A7" s="12">
        <v>210004</v>
      </c>
      <c r="B7" s="13" t="s">
        <v>16</v>
      </c>
      <c r="C7" s="14">
        <v>395179292.24487001</v>
      </c>
      <c r="D7" s="71">
        <v>0.12180000000000001</v>
      </c>
      <c r="E7" s="72">
        <v>0.11650000000000001</v>
      </c>
      <c r="F7" s="15">
        <f t="shared" si="8"/>
        <v>-4.3513957307060758E-2</v>
      </c>
      <c r="G7" s="16">
        <f t="shared" si="0"/>
        <v>-4.5699999999999998E-2</v>
      </c>
      <c r="H7" s="17">
        <f t="shared" si="1"/>
        <v>-2.0000000000000001E-4</v>
      </c>
      <c r="I7" s="18">
        <f t="shared" si="2"/>
        <v>-79036</v>
      </c>
      <c r="J7" s="19">
        <v>0.12733720930232559</v>
      </c>
      <c r="K7" s="19">
        <f>'[3]model 2 OOS'!$J$7</f>
        <v>0.11548630434782609</v>
      </c>
      <c r="L7" s="20">
        <f t="shared" si="3"/>
        <v>-7.4000000000000003E-3</v>
      </c>
      <c r="M7" s="21">
        <f t="shared" si="4"/>
        <v>-2924327</v>
      </c>
      <c r="N7" s="22">
        <f t="shared" si="5"/>
        <v>-79036</v>
      </c>
      <c r="O7" s="19">
        <f t="shared" si="6"/>
        <v>-2.0000035819444181E-4</v>
      </c>
      <c r="P7" s="23" t="str">
        <f t="shared" si="7"/>
        <v>Imp</v>
      </c>
      <c r="W7" s="2"/>
    </row>
    <row r="8" spans="1:23" s="25" customFormat="1">
      <c r="A8" s="12">
        <v>210005</v>
      </c>
      <c r="B8" s="13" t="s">
        <v>17</v>
      </c>
      <c r="C8" s="14">
        <v>245875328.80849966</v>
      </c>
      <c r="D8" s="71">
        <v>0.1101</v>
      </c>
      <c r="E8" s="72">
        <v>0.10829999999999999</v>
      </c>
      <c r="F8" s="15">
        <f t="shared" si="8"/>
        <v>-1.6348773841961983E-2</v>
      </c>
      <c r="G8" s="24">
        <f t="shared" si="0"/>
        <v>-4.5699999999999998E-2</v>
      </c>
      <c r="H8" s="17">
        <f t="shared" si="1"/>
        <v>-2.8E-3</v>
      </c>
      <c r="I8" s="18">
        <f t="shared" si="2"/>
        <v>-688451</v>
      </c>
      <c r="J8" s="19">
        <v>0.11359009497964721</v>
      </c>
      <c r="K8" s="19">
        <f>'[3]model 2 OOS'!$J$7</f>
        <v>0.11548630434782609</v>
      </c>
      <c r="L8" s="20">
        <f t="shared" si="3"/>
        <v>-1.1000000000000001E-3</v>
      </c>
      <c r="M8" s="21">
        <f t="shared" si="4"/>
        <v>-270463</v>
      </c>
      <c r="N8" s="22">
        <f t="shared" si="5"/>
        <v>-270463</v>
      </c>
      <c r="O8" s="19">
        <f t="shared" si="6"/>
        <v>-1.1000005625234994E-3</v>
      </c>
      <c r="P8" s="23" t="str">
        <f t="shared" si="7"/>
        <v>Att</v>
      </c>
    </row>
    <row r="9" spans="1:23">
      <c r="A9" s="12">
        <v>210006</v>
      </c>
      <c r="B9" s="13" t="s">
        <v>18</v>
      </c>
      <c r="C9" s="14">
        <v>67709798.545058176</v>
      </c>
      <c r="D9" s="71">
        <v>0.1183</v>
      </c>
      <c r="E9" s="72">
        <v>0.1234</v>
      </c>
      <c r="F9" s="15">
        <f t="shared" si="8"/>
        <v>4.3110735418427693E-2</v>
      </c>
      <c r="G9" s="16">
        <f t="shared" si="0"/>
        <v>-4.5699999999999998E-2</v>
      </c>
      <c r="H9" s="17">
        <f t="shared" si="1"/>
        <v>-8.5000000000000006E-3</v>
      </c>
      <c r="I9" s="18">
        <f t="shared" si="2"/>
        <v>-575533</v>
      </c>
      <c r="J9" s="19">
        <v>0.12704729064039408</v>
      </c>
      <c r="K9" s="19">
        <f>'[3]model 2 OOS'!$J$7</f>
        <v>0.11548630434782609</v>
      </c>
      <c r="L9" s="20">
        <f t="shared" si="3"/>
        <v>-7.3000000000000001E-3</v>
      </c>
      <c r="M9" s="21">
        <f t="shared" si="4"/>
        <v>-494282</v>
      </c>
      <c r="N9" s="22">
        <f t="shared" si="5"/>
        <v>-494282</v>
      </c>
      <c r="O9" s="19">
        <f t="shared" si="6"/>
        <v>-7.3000069505608561E-3</v>
      </c>
      <c r="P9" s="23" t="str">
        <f t="shared" si="7"/>
        <v>Att</v>
      </c>
      <c r="W9" s="2"/>
    </row>
    <row r="10" spans="1:23">
      <c r="A10" s="12">
        <v>210008</v>
      </c>
      <c r="B10" s="13" t="s">
        <v>19</v>
      </c>
      <c r="C10" s="14">
        <v>231085559.56053197</v>
      </c>
      <c r="D10" s="71">
        <v>0.13250000000000001</v>
      </c>
      <c r="E10" s="72">
        <v>0.1285</v>
      </c>
      <c r="F10" s="15">
        <f t="shared" si="8"/>
        <v>-3.0188679245283012E-2</v>
      </c>
      <c r="G10" s="16">
        <f t="shared" si="0"/>
        <v>-4.5699999999999998E-2</v>
      </c>
      <c r="H10" s="17">
        <f t="shared" si="1"/>
        <v>-1.5E-3</v>
      </c>
      <c r="I10" s="18">
        <f t="shared" si="2"/>
        <v>-346628</v>
      </c>
      <c r="J10" s="19">
        <v>0.13164950980392157</v>
      </c>
      <c r="K10" s="19">
        <f>'[3]model 2 OOS'!$J$7</f>
        <v>0.11548630434782609</v>
      </c>
      <c r="L10" s="20">
        <f t="shared" si="3"/>
        <v>-9.4000000000000004E-3</v>
      </c>
      <c r="M10" s="21">
        <f t="shared" si="4"/>
        <v>-2172204</v>
      </c>
      <c r="N10" s="22">
        <f t="shared" si="5"/>
        <v>-346628</v>
      </c>
      <c r="O10" s="19">
        <f t="shared" si="6"/>
        <v>-1.4999985315361176E-3</v>
      </c>
      <c r="P10" s="23" t="str">
        <f t="shared" si="7"/>
        <v>Imp</v>
      </c>
      <c r="W10" s="2"/>
    </row>
    <row r="11" spans="1:23" s="25" customFormat="1">
      <c r="A11" s="12">
        <v>210009</v>
      </c>
      <c r="B11" s="13" t="s">
        <v>20</v>
      </c>
      <c r="C11" s="14">
        <v>1689351200.3065054</v>
      </c>
      <c r="D11" s="71">
        <v>0.1343</v>
      </c>
      <c r="E11" s="72">
        <v>0.1206</v>
      </c>
      <c r="F11" s="15">
        <f t="shared" si="8"/>
        <v>-0.10201042442293373</v>
      </c>
      <c r="G11" s="16">
        <f t="shared" si="0"/>
        <v>-4.5699999999999998E-2</v>
      </c>
      <c r="H11" s="17">
        <f t="shared" si="1"/>
        <v>5.4000000000000003E-3</v>
      </c>
      <c r="I11" s="18">
        <f t="shared" si="2"/>
        <v>9122496</v>
      </c>
      <c r="J11" s="19">
        <v>0.12987167891464105</v>
      </c>
      <c r="K11" s="19">
        <f>'[3]model 2 OOS'!$J$7</f>
        <v>0.11548630434782609</v>
      </c>
      <c r="L11" s="20">
        <f t="shared" si="3"/>
        <v>-8.6E-3</v>
      </c>
      <c r="M11" s="21">
        <f t="shared" si="4"/>
        <v>-14528420</v>
      </c>
      <c r="N11" s="22">
        <f t="shared" si="5"/>
        <v>9122496</v>
      </c>
      <c r="O11" s="19">
        <f t="shared" si="6"/>
        <v>5.3999997148875085E-3</v>
      </c>
      <c r="P11" s="23" t="str">
        <f t="shared" si="7"/>
        <v>Imp</v>
      </c>
    </row>
    <row r="12" spans="1:23">
      <c r="A12" s="12">
        <v>210011</v>
      </c>
      <c r="B12" s="13" t="s">
        <v>21</v>
      </c>
      <c r="C12" s="14">
        <v>243049519.64796227</v>
      </c>
      <c r="D12" s="71">
        <v>0.12609999999999999</v>
      </c>
      <c r="E12" s="72">
        <v>0.11550000000000001</v>
      </c>
      <c r="F12" s="15">
        <f t="shared" si="8"/>
        <v>-8.406026962727986E-2</v>
      </c>
      <c r="G12" s="16">
        <f t="shared" si="0"/>
        <v>-4.5699999999999998E-2</v>
      </c>
      <c r="H12" s="17">
        <f t="shared" si="1"/>
        <v>3.7000000000000002E-3</v>
      </c>
      <c r="I12" s="18">
        <f t="shared" si="2"/>
        <v>899283</v>
      </c>
      <c r="J12" s="19">
        <v>0.11617248908296943</v>
      </c>
      <c r="K12" s="19">
        <f>'[3]model 2 OOS'!$J$7</f>
        <v>0.11548630434782609</v>
      </c>
      <c r="L12" s="20">
        <f t="shared" si="3"/>
        <v>-2.3E-3</v>
      </c>
      <c r="M12" s="21">
        <f t="shared" si="4"/>
        <v>-559014</v>
      </c>
      <c r="N12" s="22">
        <f t="shared" si="5"/>
        <v>899283</v>
      </c>
      <c r="O12" s="19">
        <f t="shared" si="6"/>
        <v>3.699999083736266E-3</v>
      </c>
      <c r="P12" s="23" t="str">
        <f t="shared" si="7"/>
        <v>Imp</v>
      </c>
      <c r="W12" s="2"/>
    </row>
    <row r="13" spans="1:23">
      <c r="A13" s="12">
        <v>210012</v>
      </c>
      <c r="B13" s="13" t="s">
        <v>22</v>
      </c>
      <c r="C13" s="14">
        <v>499177175.30070233</v>
      </c>
      <c r="D13" s="71">
        <v>0.1217</v>
      </c>
      <c r="E13" s="72">
        <v>0.1163</v>
      </c>
      <c r="F13" s="15">
        <f t="shared" si="8"/>
        <v>-4.4371405094494665E-2</v>
      </c>
      <c r="G13" s="16">
        <f t="shared" si="0"/>
        <v>-4.5699999999999998E-2</v>
      </c>
      <c r="H13" s="17">
        <f t="shared" si="1"/>
        <v>-1E-4</v>
      </c>
      <c r="I13" s="18">
        <f t="shared" si="2"/>
        <v>-49918</v>
      </c>
      <c r="J13" s="19">
        <v>0.11759017432646592</v>
      </c>
      <c r="K13" s="19">
        <f>'[3]model 2 OOS'!$J$7</f>
        <v>0.11548630434782609</v>
      </c>
      <c r="L13" s="20">
        <f t="shared" si="3"/>
        <v>-2.8999999999999998E-3</v>
      </c>
      <c r="M13" s="21">
        <f t="shared" si="4"/>
        <v>-1447614</v>
      </c>
      <c r="N13" s="22">
        <f t="shared" si="5"/>
        <v>-49918</v>
      </c>
      <c r="O13" s="19">
        <f t="shared" si="6"/>
        <v>-1.0000056587108494E-4</v>
      </c>
      <c r="P13" s="23" t="str">
        <f t="shared" si="7"/>
        <v>Imp</v>
      </c>
      <c r="W13" s="2"/>
    </row>
    <row r="14" spans="1:23">
      <c r="A14" s="12">
        <v>210015</v>
      </c>
      <c r="B14" s="13" t="s">
        <v>23</v>
      </c>
      <c r="C14" s="14">
        <v>325444692.32110155</v>
      </c>
      <c r="D14" s="71">
        <v>0.1391</v>
      </c>
      <c r="E14" s="72">
        <v>0.1239</v>
      </c>
      <c r="F14" s="15">
        <f t="shared" si="8"/>
        <v>-0.10927390366642709</v>
      </c>
      <c r="G14" s="16">
        <f t="shared" si="0"/>
        <v>-4.5699999999999998E-2</v>
      </c>
      <c r="H14" s="17">
        <f t="shared" si="1"/>
        <v>6.1000000000000004E-3</v>
      </c>
      <c r="I14" s="18">
        <f t="shared" si="2"/>
        <v>1985213</v>
      </c>
      <c r="J14" s="19">
        <v>0.12476041666666667</v>
      </c>
      <c r="K14" s="19">
        <f>'[3]model 2 OOS'!$J$7</f>
        <v>0.11548630434782609</v>
      </c>
      <c r="L14" s="20">
        <f t="shared" si="3"/>
        <v>-6.1999999999999998E-3</v>
      </c>
      <c r="M14" s="21">
        <f t="shared" si="4"/>
        <v>-2017757</v>
      </c>
      <c r="N14" s="22">
        <f t="shared" si="5"/>
        <v>1985213</v>
      </c>
      <c r="O14" s="19">
        <f t="shared" si="6"/>
        <v>6.1000011579272588E-3</v>
      </c>
      <c r="P14" s="23" t="str">
        <f t="shared" si="7"/>
        <v>Imp</v>
      </c>
      <c r="W14" s="2"/>
    </row>
    <row r="15" spans="1:23">
      <c r="A15" s="12">
        <v>210016</v>
      </c>
      <c r="B15" s="26" t="s">
        <v>24</v>
      </c>
      <c r="C15" s="14">
        <v>206054276.81773111</v>
      </c>
      <c r="D15" s="71">
        <v>0.11070000000000001</v>
      </c>
      <c r="E15" s="72">
        <v>0.1144</v>
      </c>
      <c r="F15" s="15">
        <f t="shared" si="8"/>
        <v>3.342366757000903E-2</v>
      </c>
      <c r="G15" s="16">
        <f t="shared" si="0"/>
        <v>-4.5699999999999998E-2</v>
      </c>
      <c r="H15" s="17">
        <f t="shared" si="1"/>
        <v>-7.4999999999999997E-3</v>
      </c>
      <c r="I15" s="18">
        <f t="shared" si="2"/>
        <v>-1545407</v>
      </c>
      <c r="J15" s="19">
        <v>0.13254408602150539</v>
      </c>
      <c r="K15" s="19">
        <f>'[3]model 2 OOS'!$J$7</f>
        <v>0.11548630434782609</v>
      </c>
      <c r="L15" s="20">
        <f t="shared" si="3"/>
        <v>-9.7999999999999997E-3</v>
      </c>
      <c r="M15" s="21">
        <f t="shared" si="4"/>
        <v>-2019332</v>
      </c>
      <c r="N15" s="22">
        <f t="shared" si="5"/>
        <v>-1545407</v>
      </c>
      <c r="O15" s="19">
        <f t="shared" si="6"/>
        <v>-7.4999996305197617E-3</v>
      </c>
      <c r="P15" s="23" t="str">
        <f t="shared" si="7"/>
        <v>Imp</v>
      </c>
      <c r="W15" s="2"/>
    </row>
    <row r="16" spans="1:23">
      <c r="A16" s="12">
        <v>210017</v>
      </c>
      <c r="B16" s="13" t="s">
        <v>25</v>
      </c>
      <c r="C16" s="14">
        <v>22448741.860533666</v>
      </c>
      <c r="D16" s="71">
        <v>7.2499999999999995E-2</v>
      </c>
      <c r="E16" s="72">
        <v>5.0999999999999997E-2</v>
      </c>
      <c r="F16" s="15">
        <f t="shared" si="8"/>
        <v>-0.29655172413793107</v>
      </c>
      <c r="G16" s="16">
        <f t="shared" si="0"/>
        <v>-4.5699999999999998E-2</v>
      </c>
      <c r="H16" s="17">
        <f t="shared" si="1"/>
        <v>0.02</v>
      </c>
      <c r="I16" s="18">
        <f t="shared" si="2"/>
        <v>448975</v>
      </c>
      <c r="J16" s="19">
        <v>8.2166666666666666E-2</v>
      </c>
      <c r="K16" s="19">
        <f>'[3]model 2 OOS'!$J$7</f>
        <v>0.11548630434782609</v>
      </c>
      <c r="L16" s="20">
        <f t="shared" si="3"/>
        <v>0.02</v>
      </c>
      <c r="M16" s="21">
        <f t="shared" si="4"/>
        <v>448975</v>
      </c>
      <c r="N16" s="22">
        <f t="shared" si="5"/>
        <v>448975</v>
      </c>
      <c r="O16" s="19">
        <f t="shared" si="6"/>
        <v>2.0000007251601344E-2</v>
      </c>
      <c r="P16" s="23" t="str">
        <f t="shared" si="7"/>
        <v>Att</v>
      </c>
      <c r="W16" s="2"/>
    </row>
    <row r="17" spans="1:23">
      <c r="A17" s="12">
        <v>210018</v>
      </c>
      <c r="B17" s="13" t="s">
        <v>26</v>
      </c>
      <c r="C17" s="14">
        <v>86911104.151931316</v>
      </c>
      <c r="D17" s="71">
        <v>0.1242</v>
      </c>
      <c r="E17" s="72">
        <v>0.1087</v>
      </c>
      <c r="F17" s="15">
        <f t="shared" si="8"/>
        <v>-0.12479871175523349</v>
      </c>
      <c r="G17" s="16">
        <f t="shared" si="0"/>
        <v>-4.5699999999999998E-2</v>
      </c>
      <c r="H17" s="17">
        <f t="shared" si="1"/>
        <v>7.4999999999999997E-3</v>
      </c>
      <c r="I17" s="18">
        <f t="shared" si="2"/>
        <v>651833</v>
      </c>
      <c r="J17" s="19">
        <v>0.11976070175438598</v>
      </c>
      <c r="K17" s="19">
        <f>'[3]model 2 OOS'!$J$7</f>
        <v>0.11548630434782609</v>
      </c>
      <c r="L17" s="20">
        <f t="shared" si="3"/>
        <v>-3.8999999999999998E-3</v>
      </c>
      <c r="M17" s="21">
        <f t="shared" si="4"/>
        <v>-338953</v>
      </c>
      <c r="N17" s="22">
        <f t="shared" si="5"/>
        <v>651833</v>
      </c>
      <c r="O17" s="19">
        <f t="shared" si="6"/>
        <v>7.4999967652063845E-3</v>
      </c>
      <c r="P17" s="23" t="str">
        <f t="shared" si="7"/>
        <v>Imp</v>
      </c>
      <c r="W17" s="2"/>
    </row>
    <row r="18" spans="1:23">
      <c r="A18" s="12">
        <v>210019</v>
      </c>
      <c r="B18" s="27" t="s">
        <v>27</v>
      </c>
      <c r="C18" s="14">
        <v>273261892.18496162</v>
      </c>
      <c r="D18" s="71">
        <v>0.11210000000000001</v>
      </c>
      <c r="E18" s="72">
        <v>0.1051</v>
      </c>
      <c r="F18" s="15">
        <f t="shared" si="8"/>
        <v>-6.2444246208742227E-2</v>
      </c>
      <c r="G18" s="16">
        <f t="shared" si="0"/>
        <v>-4.5699999999999998E-2</v>
      </c>
      <c r="H18" s="17">
        <f t="shared" si="1"/>
        <v>1.6000000000000001E-3</v>
      </c>
      <c r="I18" s="18">
        <f t="shared" si="2"/>
        <v>437219</v>
      </c>
      <c r="J18" s="19">
        <v>0.11377798165137613</v>
      </c>
      <c r="K18" s="19">
        <f>'[3]model 2 OOS'!$J$7</f>
        <v>0.11548630434782609</v>
      </c>
      <c r="L18" s="20">
        <f t="shared" si="3"/>
        <v>-1.1999999999999999E-3</v>
      </c>
      <c r="M18" s="21">
        <f t="shared" si="4"/>
        <v>-327914</v>
      </c>
      <c r="N18" s="22">
        <f t="shared" si="5"/>
        <v>437219</v>
      </c>
      <c r="O18" s="19">
        <f t="shared" si="6"/>
        <v>1.5999998993788034E-3</v>
      </c>
      <c r="P18" s="23" t="str">
        <f t="shared" si="7"/>
        <v>Imp</v>
      </c>
      <c r="W18" s="2"/>
    </row>
    <row r="19" spans="1:23">
      <c r="A19" s="12">
        <v>210022</v>
      </c>
      <c r="B19" s="13" t="s">
        <v>28</v>
      </c>
      <c r="C19" s="14">
        <v>234289464.42853409</v>
      </c>
      <c r="D19" s="71">
        <v>0.1186</v>
      </c>
      <c r="E19" s="72">
        <v>0.1114</v>
      </c>
      <c r="F19" s="15">
        <f t="shared" si="8"/>
        <v>-6.0708263069139901E-2</v>
      </c>
      <c r="G19" s="16">
        <f t="shared" si="0"/>
        <v>-4.5699999999999998E-2</v>
      </c>
      <c r="H19" s="17">
        <f t="shared" si="1"/>
        <v>1.4E-3</v>
      </c>
      <c r="I19" s="18">
        <f t="shared" si="2"/>
        <v>328005</v>
      </c>
      <c r="J19" s="19">
        <v>0.12512701421800948</v>
      </c>
      <c r="K19" s="19">
        <f>'[3]model 2 OOS'!$J$7</f>
        <v>0.11548630434782609</v>
      </c>
      <c r="L19" s="20">
        <f t="shared" si="3"/>
        <v>-6.4000000000000003E-3</v>
      </c>
      <c r="M19" s="21">
        <f t="shared" si="4"/>
        <v>-1499453</v>
      </c>
      <c r="N19" s="22">
        <f t="shared" si="5"/>
        <v>328005</v>
      </c>
      <c r="O19" s="19">
        <f t="shared" si="6"/>
        <v>1.3999989320904876E-3</v>
      </c>
      <c r="P19" s="23" t="str">
        <f t="shared" si="7"/>
        <v>Imp</v>
      </c>
      <c r="W19" s="2"/>
    </row>
    <row r="20" spans="1:23">
      <c r="A20" s="12">
        <v>210023</v>
      </c>
      <c r="B20" s="13" t="s">
        <v>29</v>
      </c>
      <c r="C20" s="14">
        <v>378319646.6993916</v>
      </c>
      <c r="D20" s="71">
        <v>0.1195</v>
      </c>
      <c r="E20" s="72">
        <v>0.12640000000000001</v>
      </c>
      <c r="F20" s="15">
        <f t="shared" si="8"/>
        <v>5.7740585774058717E-2</v>
      </c>
      <c r="G20" s="16">
        <f t="shared" si="0"/>
        <v>-4.5699999999999998E-2</v>
      </c>
      <c r="H20" s="17">
        <f t="shared" si="1"/>
        <v>-9.9000000000000008E-3</v>
      </c>
      <c r="I20" s="18">
        <f t="shared" si="2"/>
        <v>-3745365</v>
      </c>
      <c r="J20" s="19">
        <v>0.1308893449092344</v>
      </c>
      <c r="K20" s="19">
        <f>'[3]model 2 OOS'!$J$7</f>
        <v>0.11548630434782609</v>
      </c>
      <c r="L20" s="20">
        <f t="shared" si="3"/>
        <v>-9.1000000000000004E-3</v>
      </c>
      <c r="M20" s="21">
        <f t="shared" si="4"/>
        <v>-3442709</v>
      </c>
      <c r="N20" s="22">
        <f t="shared" si="5"/>
        <v>-3442709</v>
      </c>
      <c r="O20" s="19">
        <f t="shared" si="6"/>
        <v>-9.1000005683964293E-3</v>
      </c>
      <c r="P20" s="23" t="str">
        <f t="shared" si="7"/>
        <v>Att</v>
      </c>
      <c r="W20" s="2"/>
    </row>
    <row r="21" spans="1:23">
      <c r="A21" s="12">
        <v>210024</v>
      </c>
      <c r="B21" s="13" t="s">
        <v>30</v>
      </c>
      <c r="C21" s="14">
        <v>274240267.41213882</v>
      </c>
      <c r="D21" s="71">
        <v>0.12870000000000001</v>
      </c>
      <c r="E21" s="72">
        <v>0.13120000000000001</v>
      </c>
      <c r="F21" s="15">
        <f t="shared" si="8"/>
        <v>1.9425019425019396E-2</v>
      </c>
      <c r="G21" s="16">
        <f t="shared" si="0"/>
        <v>-4.5699999999999998E-2</v>
      </c>
      <c r="H21" s="17">
        <f t="shared" si="1"/>
        <v>-6.1999999999999998E-3</v>
      </c>
      <c r="I21" s="18">
        <f t="shared" si="2"/>
        <v>-1700290</v>
      </c>
      <c r="J21" s="19">
        <v>0.13298807495741058</v>
      </c>
      <c r="K21" s="19">
        <f>'[3]model 2 OOS'!$J$7</f>
        <v>0.11548630434782609</v>
      </c>
      <c r="L21" s="20">
        <f t="shared" si="3"/>
        <v>-0.01</v>
      </c>
      <c r="M21" s="21">
        <f t="shared" si="4"/>
        <v>-2742403</v>
      </c>
      <c r="N21" s="22">
        <f t="shared" si="5"/>
        <v>-1700290</v>
      </c>
      <c r="O21" s="19">
        <f t="shared" si="6"/>
        <v>-6.2000012472447699E-3</v>
      </c>
      <c r="P21" s="23" t="str">
        <f t="shared" si="7"/>
        <v>Imp</v>
      </c>
      <c r="W21" s="2"/>
    </row>
    <row r="22" spans="1:23" ht="31">
      <c r="A22" s="12">
        <v>210027</v>
      </c>
      <c r="B22" s="13" t="s">
        <v>31</v>
      </c>
      <c r="C22" s="14">
        <v>177776317.14814913</v>
      </c>
      <c r="D22" s="71">
        <v>0.1135</v>
      </c>
      <c r="E22" s="72">
        <v>9.5600000000000004E-2</v>
      </c>
      <c r="F22" s="15">
        <f t="shared" si="8"/>
        <v>-0.15770925110132161</v>
      </c>
      <c r="G22" s="16">
        <f t="shared" si="0"/>
        <v>-4.5699999999999998E-2</v>
      </c>
      <c r="H22" s="17">
        <f t="shared" si="1"/>
        <v>1.0699999999999999E-2</v>
      </c>
      <c r="I22" s="18">
        <f t="shared" si="2"/>
        <v>1902207</v>
      </c>
      <c r="J22" s="19">
        <v>0.10815353535353535</v>
      </c>
      <c r="K22" s="19">
        <f>'[3]model 2 OOS'!$J$7</f>
        <v>0.11548630434782609</v>
      </c>
      <c r="L22" s="20">
        <f t="shared" si="3"/>
        <v>2.8E-3</v>
      </c>
      <c r="M22" s="21">
        <f t="shared" si="4"/>
        <v>497774</v>
      </c>
      <c r="N22" s="22">
        <f t="shared" si="5"/>
        <v>1902207</v>
      </c>
      <c r="O22" s="19">
        <f t="shared" si="6"/>
        <v>1.0700002286664562E-2</v>
      </c>
      <c r="P22" s="23" t="str">
        <f t="shared" si="7"/>
        <v>Imp</v>
      </c>
      <c r="W22" s="2"/>
    </row>
    <row r="23" spans="1:23">
      <c r="A23" s="12">
        <v>210028</v>
      </c>
      <c r="B23" s="13" t="s">
        <v>32</v>
      </c>
      <c r="C23" s="14">
        <v>91631804.258244663</v>
      </c>
      <c r="D23" s="71">
        <v>0.1172</v>
      </c>
      <c r="E23" s="72">
        <v>0.1229</v>
      </c>
      <c r="F23" s="15">
        <f t="shared" si="8"/>
        <v>4.8634812286689311E-2</v>
      </c>
      <c r="G23" s="16">
        <f t="shared" si="0"/>
        <v>-4.5699999999999998E-2</v>
      </c>
      <c r="H23" s="17">
        <f t="shared" si="1"/>
        <v>-8.9999999999999993E-3</v>
      </c>
      <c r="I23" s="18">
        <f t="shared" si="2"/>
        <v>-824686</v>
      </c>
      <c r="J23" s="19">
        <v>0.14359450171821306</v>
      </c>
      <c r="K23" s="19">
        <f>'[3]model 2 OOS'!$J$7</f>
        <v>0.11548630434782609</v>
      </c>
      <c r="L23" s="20">
        <f t="shared" si="3"/>
        <v>-1.49E-2</v>
      </c>
      <c r="M23" s="21">
        <f t="shared" si="4"/>
        <v>-1365314</v>
      </c>
      <c r="N23" s="22">
        <f t="shared" si="5"/>
        <v>-824686</v>
      </c>
      <c r="O23" s="19">
        <f t="shared" si="6"/>
        <v>-8.9999973991104522E-3</v>
      </c>
      <c r="P23" s="23" t="str">
        <f t="shared" si="7"/>
        <v>Imp</v>
      </c>
      <c r="W23" s="2"/>
    </row>
    <row r="24" spans="1:23">
      <c r="A24" s="12">
        <v>210029</v>
      </c>
      <c r="B24" s="13" t="s">
        <v>33</v>
      </c>
      <c r="C24" s="14">
        <v>446329672.23355418</v>
      </c>
      <c r="D24" s="71">
        <v>0.14710000000000001</v>
      </c>
      <c r="E24" s="72">
        <v>0.13400000000000001</v>
      </c>
      <c r="F24" s="15">
        <f t="shared" si="8"/>
        <v>-8.9055064581917032E-2</v>
      </c>
      <c r="G24" s="16">
        <f t="shared" si="0"/>
        <v>-4.5699999999999998E-2</v>
      </c>
      <c r="H24" s="17">
        <f t="shared" si="1"/>
        <v>4.1000000000000003E-3</v>
      </c>
      <c r="I24" s="18">
        <f t="shared" si="2"/>
        <v>1829952</v>
      </c>
      <c r="J24" s="19">
        <v>0.13741476274165204</v>
      </c>
      <c r="K24" s="19">
        <f>'[3]model 2 OOS'!$J$7</f>
        <v>0.11548630434782609</v>
      </c>
      <c r="L24" s="20">
        <f t="shared" si="3"/>
        <v>-1.21E-2</v>
      </c>
      <c r="M24" s="21">
        <f t="shared" si="4"/>
        <v>-5400589</v>
      </c>
      <c r="N24" s="22">
        <f t="shared" si="5"/>
        <v>1829952</v>
      </c>
      <c r="O24" s="19">
        <f t="shared" si="6"/>
        <v>4.1000007703777029E-3</v>
      </c>
      <c r="P24" s="23" t="str">
        <f t="shared" si="7"/>
        <v>Imp</v>
      </c>
      <c r="W24" s="2"/>
    </row>
    <row r="25" spans="1:23">
      <c r="A25" s="12">
        <v>210030</v>
      </c>
      <c r="B25" s="13" t="s">
        <v>34</v>
      </c>
      <c r="C25" s="14">
        <v>12799737.023223758</v>
      </c>
      <c r="D25" s="71">
        <v>7.4999999999999997E-2</v>
      </c>
      <c r="E25" s="72">
        <v>7.4499999999999997E-2</v>
      </c>
      <c r="F25" s="15">
        <f t="shared" si="8"/>
        <v>-6.6666666666667096E-3</v>
      </c>
      <c r="G25" s="16">
        <f t="shared" si="0"/>
        <v>-4.5699999999999998E-2</v>
      </c>
      <c r="H25" s="17">
        <f t="shared" si="1"/>
        <v>-3.7000000000000002E-3</v>
      </c>
      <c r="I25" s="18">
        <f t="shared" si="2"/>
        <v>-47359</v>
      </c>
      <c r="J25" s="19">
        <v>8.6140624999999998E-2</v>
      </c>
      <c r="K25" s="19">
        <f>'[3]model 2 OOS'!$J$7</f>
        <v>0.11548630434782609</v>
      </c>
      <c r="L25" s="20">
        <f t="shared" si="3"/>
        <v>0.02</v>
      </c>
      <c r="M25" s="21">
        <f t="shared" si="4"/>
        <v>255995</v>
      </c>
      <c r="N25" s="22">
        <f t="shared" si="5"/>
        <v>255995</v>
      </c>
      <c r="O25" s="19">
        <f t="shared" si="6"/>
        <v>2.0000020276629463E-2</v>
      </c>
      <c r="P25" s="23" t="str">
        <f t="shared" si="7"/>
        <v>Att</v>
      </c>
      <c r="W25" s="2"/>
    </row>
    <row r="26" spans="1:23">
      <c r="A26" s="12">
        <v>210032</v>
      </c>
      <c r="B26" s="13" t="s">
        <v>35</v>
      </c>
      <c r="C26" s="14">
        <v>74867815.898296461</v>
      </c>
      <c r="D26" s="71">
        <v>0.1094</v>
      </c>
      <c r="E26" s="72">
        <v>0.10630000000000001</v>
      </c>
      <c r="F26" s="15">
        <f t="shared" si="8"/>
        <v>-2.8336380255941429E-2</v>
      </c>
      <c r="G26" s="16">
        <f t="shared" si="0"/>
        <v>-4.5699999999999998E-2</v>
      </c>
      <c r="H26" s="17">
        <f t="shared" si="1"/>
        <v>-1.6999999999999999E-3</v>
      </c>
      <c r="I26" s="18">
        <f t="shared" si="2"/>
        <v>-127275</v>
      </c>
      <c r="J26" s="19">
        <v>0.12960423076923078</v>
      </c>
      <c r="K26" s="19">
        <f>'[3]model 2 OOS'!$J$7</f>
        <v>0.11548630434782609</v>
      </c>
      <c r="L26" s="20">
        <f t="shared" si="3"/>
        <v>-8.5000000000000006E-3</v>
      </c>
      <c r="M26" s="21">
        <f t="shared" si="4"/>
        <v>-636376</v>
      </c>
      <c r="N26" s="22">
        <f t="shared" si="5"/>
        <v>-127275</v>
      </c>
      <c r="O26" s="19">
        <f t="shared" si="6"/>
        <v>-1.6999961662150747E-3</v>
      </c>
      <c r="P26" s="23" t="str">
        <f t="shared" si="7"/>
        <v>Imp</v>
      </c>
      <c r="W26" s="2"/>
    </row>
    <row r="27" spans="1:23">
      <c r="A27" s="12">
        <v>210033</v>
      </c>
      <c r="B27" s="13" t="s">
        <v>36</v>
      </c>
      <c r="C27" s="14">
        <v>146579134.30840614</v>
      </c>
      <c r="D27" s="71">
        <v>0.1232</v>
      </c>
      <c r="E27" s="72">
        <v>0.1018</v>
      </c>
      <c r="F27" s="15">
        <f t="shared" si="8"/>
        <v>-0.17370129870129869</v>
      </c>
      <c r="G27" s="16">
        <f t="shared" si="0"/>
        <v>-4.5699999999999998E-2</v>
      </c>
      <c r="H27" s="17">
        <f t="shared" si="1"/>
        <v>1.2200000000000001E-2</v>
      </c>
      <c r="I27" s="18">
        <f t="shared" si="2"/>
        <v>1788265</v>
      </c>
      <c r="J27" s="19">
        <v>0.10475500725689404</v>
      </c>
      <c r="K27" s="19">
        <f>'[3]model 2 OOS'!$J$7</f>
        <v>0.11548630434782609</v>
      </c>
      <c r="L27" s="20">
        <f t="shared" si="3"/>
        <v>5.8999999999999999E-3</v>
      </c>
      <c r="M27" s="21">
        <f t="shared" si="4"/>
        <v>864817</v>
      </c>
      <c r="N27" s="22">
        <f t="shared" si="5"/>
        <v>1788265</v>
      </c>
      <c r="O27" s="19">
        <f t="shared" si="6"/>
        <v>1.219999700801511E-2</v>
      </c>
      <c r="P27" s="23" t="str">
        <f t="shared" si="7"/>
        <v>Imp</v>
      </c>
      <c r="W27" s="2"/>
    </row>
    <row r="28" spans="1:23">
      <c r="A28" s="12">
        <v>210034</v>
      </c>
      <c r="B28" s="13" t="s">
        <v>37</v>
      </c>
      <c r="C28" s="14">
        <v>130460757.98273204</v>
      </c>
      <c r="D28" s="71">
        <v>0.15110000000000001</v>
      </c>
      <c r="E28" s="72">
        <v>0.14000000000000001</v>
      </c>
      <c r="F28" s="15">
        <f t="shared" si="8"/>
        <v>-7.3461283917935161E-2</v>
      </c>
      <c r="G28" s="16">
        <f t="shared" si="0"/>
        <v>-4.5699999999999998E-2</v>
      </c>
      <c r="H28" s="17">
        <f t="shared" si="1"/>
        <v>2.5999999999999999E-3</v>
      </c>
      <c r="I28" s="18">
        <f t="shared" si="2"/>
        <v>339198</v>
      </c>
      <c r="J28" s="19">
        <v>0.14123893805309737</v>
      </c>
      <c r="K28" s="19">
        <f>'[3]model 2 OOS'!$J$7</f>
        <v>0.11548630434782609</v>
      </c>
      <c r="L28" s="20">
        <f t="shared" si="3"/>
        <v>-1.38E-2</v>
      </c>
      <c r="M28" s="21">
        <f t="shared" si="4"/>
        <v>-1800358</v>
      </c>
      <c r="N28" s="22">
        <f t="shared" si="5"/>
        <v>339198</v>
      </c>
      <c r="O28" s="19">
        <f t="shared" si="6"/>
        <v>2.6000002241662332E-3</v>
      </c>
      <c r="P28" s="23" t="str">
        <f t="shared" si="7"/>
        <v>Imp</v>
      </c>
      <c r="W28" s="2"/>
    </row>
    <row r="29" spans="1:23">
      <c r="A29" s="12">
        <v>210035</v>
      </c>
      <c r="B29" s="13" t="s">
        <v>38</v>
      </c>
      <c r="C29" s="14">
        <v>95179409.927647993</v>
      </c>
      <c r="D29" s="71">
        <v>0.1075</v>
      </c>
      <c r="E29" s="72">
        <v>0.1008</v>
      </c>
      <c r="F29" s="15">
        <f t="shared" si="8"/>
        <v>-6.2325581395348828E-2</v>
      </c>
      <c r="G29" s="16">
        <f t="shared" si="0"/>
        <v>-4.5699999999999998E-2</v>
      </c>
      <c r="H29" s="17">
        <f t="shared" si="1"/>
        <v>1.6000000000000001E-3</v>
      </c>
      <c r="I29" s="18">
        <f t="shared" si="2"/>
        <v>152287</v>
      </c>
      <c r="J29" s="19">
        <v>0.11891478260869565</v>
      </c>
      <c r="K29" s="19">
        <f>'[3]model 2 OOS'!$J$7</f>
        <v>0.11548630434782609</v>
      </c>
      <c r="L29" s="20">
        <f t="shared" si="3"/>
        <v>-3.5000000000000001E-3</v>
      </c>
      <c r="M29" s="21">
        <f t="shared" si="4"/>
        <v>-333128</v>
      </c>
      <c r="N29" s="22">
        <f t="shared" si="5"/>
        <v>152287</v>
      </c>
      <c r="O29" s="19">
        <f t="shared" si="6"/>
        <v>1.5999994128537167E-3</v>
      </c>
      <c r="P29" s="23" t="str">
        <f t="shared" si="7"/>
        <v>Imp</v>
      </c>
      <c r="W29" s="2"/>
    </row>
    <row r="30" spans="1:23">
      <c r="A30" s="12">
        <v>210037</v>
      </c>
      <c r="B30" s="13" t="s">
        <v>39</v>
      </c>
      <c r="C30" s="14">
        <v>117255633.45625928</v>
      </c>
      <c r="D30" s="71">
        <v>9.2799999999999994E-2</v>
      </c>
      <c r="E30" s="72">
        <v>8.2500000000000004E-2</v>
      </c>
      <c r="F30" s="15">
        <f t="shared" si="8"/>
        <v>-0.11099137931034475</v>
      </c>
      <c r="G30" s="16">
        <f t="shared" si="0"/>
        <v>-4.5699999999999998E-2</v>
      </c>
      <c r="H30" s="17">
        <f t="shared" si="1"/>
        <v>6.1999999999999998E-3</v>
      </c>
      <c r="I30" s="18">
        <f t="shared" si="2"/>
        <v>726985</v>
      </c>
      <c r="J30" s="19">
        <v>8.8088709677419344E-2</v>
      </c>
      <c r="K30" s="19">
        <f>'[3]model 2 OOS'!$J$7</f>
        <v>0.11548630434782609</v>
      </c>
      <c r="L30" s="20">
        <f t="shared" si="3"/>
        <v>0.02</v>
      </c>
      <c r="M30" s="21">
        <f t="shared" si="4"/>
        <v>2345113</v>
      </c>
      <c r="N30" s="22">
        <f t="shared" si="5"/>
        <v>2345113</v>
      </c>
      <c r="O30" s="19">
        <f t="shared" si="6"/>
        <v>2.0000002821824459E-2</v>
      </c>
      <c r="P30" s="23" t="str">
        <f t="shared" si="7"/>
        <v>Att</v>
      </c>
      <c r="W30" s="2"/>
    </row>
    <row r="31" spans="1:23">
      <c r="A31" s="12">
        <v>210038</v>
      </c>
      <c r="B31" s="13" t="s">
        <v>40</v>
      </c>
      <c r="C31" s="14">
        <v>128795219.33140594</v>
      </c>
      <c r="D31" s="71">
        <v>0.15440000000000001</v>
      </c>
      <c r="E31" s="72">
        <v>0.1245</v>
      </c>
      <c r="F31" s="15">
        <f t="shared" si="8"/>
        <v>-0.19365284974093266</v>
      </c>
      <c r="G31" s="16">
        <f t="shared" si="0"/>
        <v>-4.5699999999999998E-2</v>
      </c>
      <c r="H31" s="17">
        <f t="shared" si="1"/>
        <v>1.41E-2</v>
      </c>
      <c r="I31" s="18">
        <f t="shared" si="2"/>
        <v>1816013</v>
      </c>
      <c r="J31" s="19">
        <v>0.12563181818181818</v>
      </c>
      <c r="K31" s="19">
        <f>'[3]model 2 OOS'!$J$7</f>
        <v>0.11548630434782609</v>
      </c>
      <c r="L31" s="20">
        <f t="shared" si="3"/>
        <v>-6.6E-3</v>
      </c>
      <c r="M31" s="21">
        <f t="shared" si="4"/>
        <v>-850048</v>
      </c>
      <c r="N31" s="22">
        <f t="shared" si="5"/>
        <v>1816013</v>
      </c>
      <c r="O31" s="19">
        <f t="shared" si="6"/>
        <v>1.4100003163371889E-2</v>
      </c>
      <c r="P31" s="23" t="str">
        <f t="shared" si="7"/>
        <v>Imp</v>
      </c>
      <c r="W31" s="2"/>
    </row>
    <row r="32" spans="1:23">
      <c r="A32" s="12">
        <v>210039</v>
      </c>
      <c r="B32" s="13" t="s">
        <v>41</v>
      </c>
      <c r="C32" s="14">
        <v>82050333.022346303</v>
      </c>
      <c r="D32" s="71">
        <v>0.10730000000000001</v>
      </c>
      <c r="E32" s="72">
        <v>0.1113</v>
      </c>
      <c r="F32" s="15">
        <f t="shared" si="8"/>
        <v>3.7278657968313089E-2</v>
      </c>
      <c r="G32" s="16">
        <f t="shared" si="0"/>
        <v>-4.5699999999999998E-2</v>
      </c>
      <c r="H32" s="17">
        <f t="shared" si="1"/>
        <v>-7.9000000000000008E-3</v>
      </c>
      <c r="I32" s="18">
        <f t="shared" si="2"/>
        <v>-648198</v>
      </c>
      <c r="J32" s="19">
        <v>0.12513017751479288</v>
      </c>
      <c r="K32" s="19">
        <f>'[3]model 2 OOS'!$J$7</f>
        <v>0.11548630434782609</v>
      </c>
      <c r="L32" s="20">
        <f t="shared" si="3"/>
        <v>-6.4000000000000003E-3</v>
      </c>
      <c r="M32" s="21">
        <f t="shared" si="4"/>
        <v>-525122</v>
      </c>
      <c r="N32" s="22">
        <f t="shared" si="5"/>
        <v>-525122</v>
      </c>
      <c r="O32" s="19">
        <f t="shared" si="6"/>
        <v>-6.3999983992384735E-3</v>
      </c>
      <c r="P32" s="23" t="str">
        <f t="shared" si="7"/>
        <v>Att</v>
      </c>
      <c r="W32" s="2"/>
    </row>
    <row r="33" spans="1:23">
      <c r="A33" s="12">
        <v>210040</v>
      </c>
      <c r="B33" s="13" t="s">
        <v>42</v>
      </c>
      <c r="C33" s="14">
        <v>151174669.60064766</v>
      </c>
      <c r="D33" s="71">
        <v>0.12180000000000001</v>
      </c>
      <c r="E33" s="72">
        <v>0.11600000000000001</v>
      </c>
      <c r="F33" s="15">
        <f t="shared" si="8"/>
        <v>-4.7619047619047561E-2</v>
      </c>
      <c r="G33" s="16">
        <f t="shared" si="0"/>
        <v>-4.5699999999999998E-2</v>
      </c>
      <c r="H33" s="17">
        <f t="shared" si="1"/>
        <v>2.0000000000000001E-4</v>
      </c>
      <c r="I33" s="18">
        <f t="shared" si="2"/>
        <v>30235</v>
      </c>
      <c r="J33" s="19">
        <v>0.11872584856396867</v>
      </c>
      <c r="K33" s="19">
        <f>'[3]model 2 OOS'!$J$7</f>
        <v>0.11548630434782609</v>
      </c>
      <c r="L33" s="20">
        <f t="shared" si="3"/>
        <v>-3.5000000000000001E-3</v>
      </c>
      <c r="M33" s="21">
        <f t="shared" si="4"/>
        <v>-529111</v>
      </c>
      <c r="N33" s="22">
        <f t="shared" si="5"/>
        <v>30235</v>
      </c>
      <c r="O33" s="19">
        <f t="shared" si="6"/>
        <v>2.000004371094089E-4</v>
      </c>
      <c r="P33" s="23" t="str">
        <f t="shared" si="7"/>
        <v>Imp</v>
      </c>
      <c r="W33" s="2"/>
    </row>
    <row r="34" spans="1:23">
      <c r="A34" s="12">
        <v>210043</v>
      </c>
      <c r="B34" s="13" t="s">
        <v>43</v>
      </c>
      <c r="C34" s="14">
        <v>310629291.55806202</v>
      </c>
      <c r="D34" s="71">
        <v>0.1227</v>
      </c>
      <c r="E34" s="72">
        <v>0.1148</v>
      </c>
      <c r="F34" s="15">
        <f t="shared" si="8"/>
        <v>-6.4384678076609636E-2</v>
      </c>
      <c r="G34" s="16">
        <f t="shared" si="0"/>
        <v>-4.5699999999999998E-2</v>
      </c>
      <c r="H34" s="17">
        <f t="shared" si="1"/>
        <v>1.8E-3</v>
      </c>
      <c r="I34" s="18">
        <f t="shared" si="2"/>
        <v>559133</v>
      </c>
      <c r="J34" s="19">
        <v>0.11617111834961998</v>
      </c>
      <c r="K34" s="19">
        <f>'[3]model 2 OOS'!$J$7</f>
        <v>0.11548630434782609</v>
      </c>
      <c r="L34" s="20">
        <f t="shared" si="3"/>
        <v>-2.3E-3</v>
      </c>
      <c r="M34" s="21">
        <f t="shared" si="4"/>
        <v>-714447</v>
      </c>
      <c r="N34" s="22">
        <f t="shared" si="5"/>
        <v>559133</v>
      </c>
      <c r="O34" s="19">
        <f t="shared" si="6"/>
        <v>1.8000008859289701E-3</v>
      </c>
      <c r="P34" s="23" t="str">
        <f t="shared" si="7"/>
        <v>Imp</v>
      </c>
      <c r="W34" s="2"/>
    </row>
    <row r="35" spans="1:23">
      <c r="A35" s="12">
        <v>210044</v>
      </c>
      <c r="B35" s="13" t="s">
        <v>44</v>
      </c>
      <c r="C35" s="14">
        <v>234417802.74342716</v>
      </c>
      <c r="D35" s="71">
        <v>0.1095</v>
      </c>
      <c r="E35" s="72">
        <v>0.1</v>
      </c>
      <c r="F35" s="15">
        <f t="shared" si="8"/>
        <v>-8.6757990867579848E-2</v>
      </c>
      <c r="G35" s="16">
        <f t="shared" si="0"/>
        <v>-4.5699999999999998E-2</v>
      </c>
      <c r="H35" s="17">
        <f t="shared" si="1"/>
        <v>3.8999999999999998E-3</v>
      </c>
      <c r="I35" s="18">
        <f t="shared" si="2"/>
        <v>914229</v>
      </c>
      <c r="J35" s="19">
        <v>0.10154320987654322</v>
      </c>
      <c r="K35" s="19">
        <f>'[3]model 2 OOS'!$J$7</f>
        <v>0.11548630434782609</v>
      </c>
      <c r="L35" s="20">
        <f t="shared" si="3"/>
        <v>8.8999999999999999E-3</v>
      </c>
      <c r="M35" s="21">
        <f t="shared" si="4"/>
        <v>2086318</v>
      </c>
      <c r="N35" s="22">
        <f t="shared" si="5"/>
        <v>2086318</v>
      </c>
      <c r="O35" s="19">
        <f t="shared" si="6"/>
        <v>8.8999981041691517E-3</v>
      </c>
      <c r="P35" s="23" t="str">
        <f t="shared" si="7"/>
        <v>Att</v>
      </c>
      <c r="W35" s="2"/>
    </row>
    <row r="36" spans="1:23">
      <c r="A36" s="12">
        <v>210048</v>
      </c>
      <c r="B36" s="13" t="s">
        <v>45</v>
      </c>
      <c r="C36" s="14">
        <v>211409027.60942188</v>
      </c>
      <c r="D36" s="71">
        <v>0.1182</v>
      </c>
      <c r="E36" s="72">
        <v>0.11269999999999999</v>
      </c>
      <c r="F36" s="15">
        <f t="shared" si="8"/>
        <v>-4.6531302876480551E-2</v>
      </c>
      <c r="G36" s="16">
        <f t="shared" si="0"/>
        <v>-4.5699999999999998E-2</v>
      </c>
      <c r="H36" s="17">
        <f t="shared" si="1"/>
        <v>1E-4</v>
      </c>
      <c r="I36" s="18">
        <f t="shared" si="2"/>
        <v>21141</v>
      </c>
      <c r="J36" s="19">
        <v>0.11492617283950617</v>
      </c>
      <c r="K36" s="19">
        <f>'[3]model 2 OOS'!$J$7</f>
        <v>0.11548630434782609</v>
      </c>
      <c r="L36" s="20">
        <f t="shared" si="3"/>
        <v>-1.6999999999999999E-3</v>
      </c>
      <c r="M36" s="21">
        <f t="shared" si="4"/>
        <v>-359395</v>
      </c>
      <c r="N36" s="22">
        <f t="shared" si="5"/>
        <v>21141</v>
      </c>
      <c r="O36" s="19">
        <f t="shared" si="6"/>
        <v>1.0000045995697965E-4</v>
      </c>
      <c r="P36" s="23" t="str">
        <f t="shared" si="7"/>
        <v>Imp</v>
      </c>
      <c r="W36" s="2"/>
    </row>
    <row r="37" spans="1:23">
      <c r="A37" s="12">
        <v>210049</v>
      </c>
      <c r="B37" s="13" t="s">
        <v>46</v>
      </c>
      <c r="C37" s="14">
        <v>189719193.58650389</v>
      </c>
      <c r="D37" s="71">
        <v>0.1198</v>
      </c>
      <c r="E37" s="72">
        <v>0.1188</v>
      </c>
      <c r="F37" s="15">
        <f t="shared" si="8"/>
        <v>-8.3472454090149917E-3</v>
      </c>
      <c r="G37" s="16">
        <f t="shared" si="0"/>
        <v>-4.5699999999999998E-2</v>
      </c>
      <c r="H37" s="17">
        <f t="shared" si="1"/>
        <v>-3.5999999999999999E-3</v>
      </c>
      <c r="I37" s="18">
        <f t="shared" si="2"/>
        <v>-682989</v>
      </c>
      <c r="J37" s="19">
        <v>0.12188126801152738</v>
      </c>
      <c r="K37" s="19">
        <f>'[3]model 2 OOS'!$J$7</f>
        <v>0.11548630434782609</v>
      </c>
      <c r="L37" s="20">
        <f>ROUND(IF(J37&lt;=AttMaxRewardScore,MaxReward,IF(J37&gt;=AttMaxPenaltyScore,MaxPenalty,IF(J37&lt;=AttTarget,MaxReward*((J37-AttTarget)/(AttMaxRewardScore-AttTarget)),MaxPenalty*((J37-AttTarget)/(AttMaxPenaltyScore-AttTarget))))),4)</f>
        <v>-4.8999999999999998E-3</v>
      </c>
      <c r="M37" s="21">
        <f t="shared" si="4"/>
        <v>-929624</v>
      </c>
      <c r="N37" s="22">
        <f t="shared" si="5"/>
        <v>-682989</v>
      </c>
      <c r="O37" s="19">
        <f t="shared" si="6"/>
        <v>-3.5999994891849781E-3</v>
      </c>
      <c r="P37" s="23" t="str">
        <f t="shared" si="7"/>
        <v>Imp</v>
      </c>
      <c r="W37" s="2"/>
    </row>
    <row r="38" spans="1:23">
      <c r="A38" s="12">
        <v>210051</v>
      </c>
      <c r="B38" s="13" t="s">
        <v>47</v>
      </c>
      <c r="C38" s="14">
        <v>180962137.96314165</v>
      </c>
      <c r="D38" s="71">
        <v>0.1056</v>
      </c>
      <c r="E38" s="72">
        <v>9.64E-2</v>
      </c>
      <c r="F38" s="15">
        <f t="shared" si="8"/>
        <v>-8.7121212121212155E-2</v>
      </c>
      <c r="G38" s="16">
        <f t="shared" si="0"/>
        <v>-4.5699999999999998E-2</v>
      </c>
      <c r="H38" s="17">
        <f t="shared" si="1"/>
        <v>3.8999999999999998E-3</v>
      </c>
      <c r="I38" s="18">
        <f t="shared" si="2"/>
        <v>705752</v>
      </c>
      <c r="J38" s="19">
        <v>0.11572246696035242</v>
      </c>
      <c r="K38" s="19">
        <f>'[3]model 2 OOS'!$J$7</f>
        <v>0.11548630434782609</v>
      </c>
      <c r="L38" s="20">
        <f>ROUND(IF(J38&lt;=AttMaxRewardScore,MaxReward,IF(J38&gt;=AttMaxPenaltyScore,MaxPenalty,IF(J38&lt;=AttTarget,MaxReward*((J38-AttTarget)/(AttMaxRewardScore-AttTarget)),MaxPenalty*((J38-AttTarget)/(AttMaxPenaltyScore-AttTarget))))),4)</f>
        <v>-2.0999999999999999E-3</v>
      </c>
      <c r="M38" s="21">
        <f t="shared" si="4"/>
        <v>-380020</v>
      </c>
      <c r="N38" s="22">
        <f t="shared" si="5"/>
        <v>705752</v>
      </c>
      <c r="O38" s="19">
        <f t="shared" si="6"/>
        <v>3.8999981318951233E-3</v>
      </c>
      <c r="P38" s="23" t="str">
        <f>IF(N38=M38,"Att",IF(N38=I38,"Imp"))</f>
        <v>Imp</v>
      </c>
      <c r="W38" s="2"/>
    </row>
    <row r="39" spans="1:23">
      <c r="A39" s="12">
        <v>210056</v>
      </c>
      <c r="B39" s="13" t="s">
        <v>118</v>
      </c>
      <c r="C39" s="14">
        <v>185901046</v>
      </c>
      <c r="D39" s="71">
        <v>0.1449</v>
      </c>
      <c r="E39" s="72">
        <v>0.12709999999999999</v>
      </c>
      <c r="F39" s="15">
        <f t="shared" si="8"/>
        <v>-0.1228433402346446</v>
      </c>
      <c r="G39" s="16">
        <f t="shared" si="0"/>
        <v>-4.5699999999999998E-2</v>
      </c>
      <c r="H39" s="17">
        <f t="shared" si="1"/>
        <v>7.3000000000000001E-3</v>
      </c>
      <c r="I39" s="18">
        <f t="shared" si="2"/>
        <v>1357078</v>
      </c>
      <c r="J39" s="19">
        <v>0.12791999999999998</v>
      </c>
      <c r="K39" s="19">
        <f>'[3]model 2 OOS'!$J$7</f>
        <v>0.11548630434782609</v>
      </c>
      <c r="L39" s="20">
        <f t="shared" si="3"/>
        <v>-7.7000000000000002E-3</v>
      </c>
      <c r="M39" s="21">
        <f t="shared" si="4"/>
        <v>-1431438</v>
      </c>
      <c r="N39" s="22">
        <f t="shared" si="5"/>
        <v>1357078</v>
      </c>
      <c r="O39" s="19">
        <f t="shared" si="6"/>
        <v>7.3000019591067822E-3</v>
      </c>
      <c r="P39" s="23" t="str">
        <f t="shared" si="7"/>
        <v>Imp</v>
      </c>
      <c r="W39" s="2"/>
    </row>
    <row r="40" spans="1:23">
      <c r="A40" s="12">
        <v>210057</v>
      </c>
      <c r="B40" s="13" t="s">
        <v>119</v>
      </c>
      <c r="C40" s="14">
        <v>317446406.37621063</v>
      </c>
      <c r="D40" s="71">
        <v>0.1106</v>
      </c>
      <c r="E40" s="72">
        <v>0.1072</v>
      </c>
      <c r="F40" s="15">
        <f t="shared" si="8"/>
        <v>-3.0741410488245968E-2</v>
      </c>
      <c r="G40" s="16">
        <f t="shared" si="0"/>
        <v>-4.5699999999999998E-2</v>
      </c>
      <c r="H40" s="17">
        <f t="shared" si="1"/>
        <v>-1.4E-3</v>
      </c>
      <c r="I40" s="18">
        <f t="shared" si="2"/>
        <v>-444425</v>
      </c>
      <c r="J40" s="19">
        <v>0.11341760000000001</v>
      </c>
      <c r="K40" s="19">
        <f>'[3]model 2 OOS'!$J$7</f>
        <v>0.11548630434782609</v>
      </c>
      <c r="L40" s="20">
        <f>ROUND(IF(J40&lt;=AttMaxRewardScore,MaxReward,IF(J40&gt;=AttMaxPenaltyScore,MaxPenalty,IF(J40&lt;=AttTarget,MaxReward*((J40-AttTarget)/(AttMaxRewardScore-AttTarget)),MaxPenalty*((J40-AttTarget)/(AttMaxPenaltyScore-AttTarget))))),4)</f>
        <v>-1E-3</v>
      </c>
      <c r="M40" s="21">
        <f t="shared" si="4"/>
        <v>-317446</v>
      </c>
      <c r="N40" s="22">
        <f t="shared" si="5"/>
        <v>-317446</v>
      </c>
      <c r="O40" s="19">
        <f t="shared" si="6"/>
        <v>-9.9999871985884093E-4</v>
      </c>
      <c r="P40" s="23" t="str">
        <f t="shared" si="7"/>
        <v>Att</v>
      </c>
      <c r="W40" s="2"/>
    </row>
    <row r="41" spans="1:23">
      <c r="A41" s="12">
        <v>210058</v>
      </c>
      <c r="B41" s="13" t="s">
        <v>120</v>
      </c>
      <c r="C41" s="14">
        <v>76544370.742892802</v>
      </c>
      <c r="D41" s="71">
        <v>8.6900000000000005E-2</v>
      </c>
      <c r="E41" s="72">
        <v>0.11600000000000001</v>
      </c>
      <c r="F41" s="15">
        <f t="shared" si="8"/>
        <v>0.33486766398158796</v>
      </c>
      <c r="G41" s="16">
        <f t="shared" si="0"/>
        <v>-4.5699999999999998E-2</v>
      </c>
      <c r="H41" s="17">
        <f t="shared" si="1"/>
        <v>-0.02</v>
      </c>
      <c r="I41" s="18">
        <f t="shared" si="2"/>
        <v>-1530887</v>
      </c>
      <c r="J41" s="19">
        <v>0.11600000000000001</v>
      </c>
      <c r="K41" s="19">
        <f>'[3]model 2 OOS'!$J$7</f>
        <v>0.11548630434782609</v>
      </c>
      <c r="L41" s="20">
        <f t="shared" si="3"/>
        <v>-2.2000000000000001E-3</v>
      </c>
      <c r="M41" s="21">
        <f t="shared" si="4"/>
        <v>-168398</v>
      </c>
      <c r="N41" s="22">
        <f t="shared" si="5"/>
        <v>-168398</v>
      </c>
      <c r="O41" s="19">
        <f t="shared" si="6"/>
        <v>-2.2000050214748923E-3</v>
      </c>
      <c r="P41" s="23" t="str">
        <f t="shared" si="7"/>
        <v>Att</v>
      </c>
      <c r="W41" s="2"/>
    </row>
    <row r="42" spans="1:23">
      <c r="A42" s="12">
        <v>210060</v>
      </c>
      <c r="B42" s="13" t="s">
        <v>48</v>
      </c>
      <c r="C42" s="14">
        <v>29662990.1900758</v>
      </c>
      <c r="D42" s="71">
        <v>9.1899999999999996E-2</v>
      </c>
      <c r="E42" s="72">
        <v>0.1067</v>
      </c>
      <c r="F42" s="15">
        <f t="shared" si="8"/>
        <v>0.16104461371055501</v>
      </c>
      <c r="G42" s="16">
        <f t="shared" si="0"/>
        <v>-4.5699999999999998E-2</v>
      </c>
      <c r="H42" s="17">
        <f t="shared" si="1"/>
        <v>-1.9699999999999999E-2</v>
      </c>
      <c r="I42" s="18">
        <f t="shared" si="2"/>
        <v>-584361</v>
      </c>
      <c r="J42" s="19">
        <v>0.15313425925925925</v>
      </c>
      <c r="K42" s="19">
        <f>'[3]model 2 OOS'!$J$7</f>
        <v>0.11548630434782609</v>
      </c>
      <c r="L42" s="20">
        <f t="shared" si="3"/>
        <v>-1.9300000000000001E-2</v>
      </c>
      <c r="M42" s="21">
        <f t="shared" si="4"/>
        <v>-572496</v>
      </c>
      <c r="N42" s="22">
        <f t="shared" si="5"/>
        <v>-572496</v>
      </c>
      <c r="O42" s="19">
        <f t="shared" si="6"/>
        <v>-1.9300009753957213E-2</v>
      </c>
      <c r="P42" s="23" t="str">
        <f t="shared" si="7"/>
        <v>Att</v>
      </c>
      <c r="W42" s="2"/>
    </row>
    <row r="43" spans="1:23">
      <c r="A43" s="12">
        <v>210061</v>
      </c>
      <c r="B43" s="13" t="s">
        <v>49</v>
      </c>
      <c r="C43" s="14">
        <v>44449448.916606866</v>
      </c>
      <c r="D43" s="71">
        <v>9.8900000000000002E-2</v>
      </c>
      <c r="E43" s="72">
        <v>0.1</v>
      </c>
      <c r="F43" s="15">
        <f t="shared" si="8"/>
        <v>1.1122345803842304E-2</v>
      </c>
      <c r="G43" s="16">
        <f t="shared" si="0"/>
        <v>-4.5699999999999998E-2</v>
      </c>
      <c r="H43" s="17">
        <f t="shared" si="1"/>
        <v>-5.4000000000000003E-3</v>
      </c>
      <c r="I43" s="18">
        <f t="shared" si="2"/>
        <v>-240027</v>
      </c>
      <c r="J43" s="19">
        <v>0.11117021276595745</v>
      </c>
      <c r="K43" s="19">
        <f>'[3]model 2 OOS'!$J$7</f>
        <v>0.11548630434782609</v>
      </c>
      <c r="L43" s="20">
        <f t="shared" si="3"/>
        <v>0</v>
      </c>
      <c r="M43" s="21">
        <f t="shared" si="4"/>
        <v>0</v>
      </c>
      <c r="N43" s="22">
        <f t="shared" si="5"/>
        <v>0</v>
      </c>
      <c r="O43" s="19">
        <f t="shared" si="6"/>
        <v>0</v>
      </c>
      <c r="P43" s="23" t="str">
        <f t="shared" si="7"/>
        <v>Att</v>
      </c>
      <c r="W43" s="2"/>
    </row>
    <row r="44" spans="1:23">
      <c r="A44" s="12">
        <v>210062</v>
      </c>
      <c r="B44" s="13" t="s">
        <v>50</v>
      </c>
      <c r="C44" s="14">
        <v>189090938.60508713</v>
      </c>
      <c r="D44" s="71">
        <v>0.10349999999999999</v>
      </c>
      <c r="E44" s="72">
        <v>9.8400000000000001E-2</v>
      </c>
      <c r="F44" s="15">
        <f t="shared" si="8"/>
        <v>-4.9275362318840554E-2</v>
      </c>
      <c r="G44" s="16">
        <f>ImpTarget</f>
        <v>-4.5699999999999998E-2</v>
      </c>
      <c r="H44" s="17">
        <f t="shared" si="1"/>
        <v>2.9999999999999997E-4</v>
      </c>
      <c r="I44" s="18">
        <f t="shared" si="2"/>
        <v>56727</v>
      </c>
      <c r="J44" s="19">
        <v>0.12667586206896553</v>
      </c>
      <c r="K44" s="19">
        <f>'[3]model 2 OOS'!$J$7</f>
        <v>0.11548630434782609</v>
      </c>
      <c r="L44" s="20">
        <f t="shared" si="3"/>
        <v>-7.1000000000000004E-3</v>
      </c>
      <c r="M44" s="21">
        <f t="shared" si="4"/>
        <v>-1342546</v>
      </c>
      <c r="N44" s="22">
        <f t="shared" si="5"/>
        <v>56727</v>
      </c>
      <c r="O44" s="19">
        <f t="shared" si="6"/>
        <v>2.999985108671615E-4</v>
      </c>
      <c r="P44" s="23" t="str">
        <f t="shared" si="7"/>
        <v>Imp</v>
      </c>
      <c r="W44" s="2"/>
    </row>
    <row r="45" spans="1:23" s="25" customFormat="1">
      <c r="A45" s="12">
        <v>210063</v>
      </c>
      <c r="B45" s="13" t="s">
        <v>51</v>
      </c>
      <c r="C45" s="14">
        <v>267964845.88307279</v>
      </c>
      <c r="D45" s="71">
        <v>0.1193</v>
      </c>
      <c r="E45" s="72">
        <v>0.112</v>
      </c>
      <c r="F45" s="15">
        <f t="shared" si="8"/>
        <v>-6.1190276613579231E-2</v>
      </c>
      <c r="G45" s="16">
        <f t="shared" si="0"/>
        <v>-4.5699999999999998E-2</v>
      </c>
      <c r="H45" s="17">
        <f t="shared" si="1"/>
        <v>1.5E-3</v>
      </c>
      <c r="I45" s="18">
        <f t="shared" si="2"/>
        <v>401947</v>
      </c>
      <c r="J45" s="19">
        <v>0.11335963581183611</v>
      </c>
      <c r="K45" s="19">
        <f>'[3]model 2 OOS'!$J$7</f>
        <v>0.11548630434782609</v>
      </c>
      <c r="L45" s="20">
        <f t="shared" si="3"/>
        <v>-1E-3</v>
      </c>
      <c r="M45" s="21">
        <f t="shared" si="4"/>
        <v>-267965</v>
      </c>
      <c r="N45" s="22">
        <f t="shared" si="5"/>
        <v>401947</v>
      </c>
      <c r="O45" s="19">
        <f t="shared" si="6"/>
        <v>1.4999989967915072E-3</v>
      </c>
      <c r="P45" s="23" t="str">
        <f t="shared" si="7"/>
        <v>Imp</v>
      </c>
    </row>
    <row r="46" spans="1:23" s="25" customFormat="1">
      <c r="A46" s="12">
        <v>210064</v>
      </c>
      <c r="B46" s="13" t="s">
        <v>115</v>
      </c>
      <c r="C46" s="14">
        <v>63642884</v>
      </c>
      <c r="D46" s="123">
        <v>0.11260000000000001</v>
      </c>
      <c r="E46" s="15">
        <v>0.1103</v>
      </c>
      <c r="F46" s="15">
        <f>E46/D46-1</f>
        <v>-2.0426287744227389E-2</v>
      </c>
      <c r="G46" s="16">
        <f t="shared" ref="G46" si="9">ImpTarget</f>
        <v>-4.5699999999999998E-2</v>
      </c>
      <c r="H46" s="17">
        <f t="shared" si="1"/>
        <v>-2.3999999999999998E-3</v>
      </c>
      <c r="I46" s="18">
        <f t="shared" si="2"/>
        <v>-152743</v>
      </c>
      <c r="J46" s="19">
        <v>0.1103</v>
      </c>
      <c r="K46" s="19">
        <f>'[3]model 2 OOS'!$J$7</f>
        <v>0.11548630434782609</v>
      </c>
      <c r="L46" s="20">
        <f t="shared" si="3"/>
        <v>8.0000000000000004E-4</v>
      </c>
      <c r="M46" s="21">
        <f t="shared" si="4"/>
        <v>50914</v>
      </c>
      <c r="N46" s="22">
        <f t="shared" si="5"/>
        <v>50914</v>
      </c>
      <c r="O46" s="19">
        <f t="shared" si="6"/>
        <v>7.9999517306601005E-4</v>
      </c>
      <c r="P46" s="23" t="str">
        <f t="shared" si="7"/>
        <v>Att</v>
      </c>
      <c r="Q46" s="124"/>
    </row>
    <row r="47" spans="1:23" s="25" customFormat="1">
      <c r="A47" s="12">
        <v>210065</v>
      </c>
      <c r="B47" s="13" t="s">
        <v>52</v>
      </c>
      <c r="C47" s="14">
        <v>74788277.035090461</v>
      </c>
      <c r="D47" s="71">
        <v>0.12479999999999999</v>
      </c>
      <c r="E47" s="72">
        <v>0.11260000000000001</v>
      </c>
      <c r="F47" s="15">
        <f t="shared" si="8"/>
        <v>-9.7756410256410131E-2</v>
      </c>
      <c r="G47" s="16">
        <f t="shared" si="0"/>
        <v>-4.5699999999999998E-2</v>
      </c>
      <c r="H47" s="17">
        <f t="shared" si="1"/>
        <v>5.0000000000000001E-3</v>
      </c>
      <c r="I47" s="18">
        <f t="shared" si="2"/>
        <v>373941</v>
      </c>
      <c r="J47" s="19">
        <v>0.11844935064935065</v>
      </c>
      <c r="K47" s="19">
        <f>'[3]model 2 OOS'!$J$7</f>
        <v>0.11548630434782609</v>
      </c>
      <c r="L47" s="20">
        <f t="shared" si="3"/>
        <v>-3.3E-3</v>
      </c>
      <c r="M47" s="21">
        <f t="shared" si="4"/>
        <v>-246801</v>
      </c>
      <c r="N47" s="22">
        <f t="shared" si="5"/>
        <v>373941</v>
      </c>
      <c r="O47" s="19">
        <f t="shared" si="6"/>
        <v>4.9999948497883948E-3</v>
      </c>
      <c r="P47" s="23" t="str">
        <f t="shared" si="7"/>
        <v>Imp</v>
      </c>
    </row>
    <row r="48" spans="1:23" s="25" customFormat="1">
      <c r="A48" s="28"/>
      <c r="F48" s="29"/>
    </row>
    <row r="49" spans="1:32" s="28" customFormat="1">
      <c r="A49" s="30" t="s">
        <v>53</v>
      </c>
      <c r="B49" s="37"/>
      <c r="C49" s="31">
        <f>SUM(C4:C47)</f>
        <v>10879651504.031719</v>
      </c>
      <c r="D49" s="31"/>
      <c r="E49" s="31"/>
      <c r="F49" s="15"/>
      <c r="G49" s="32"/>
      <c r="H49" s="15"/>
      <c r="I49" s="38">
        <f>SUM(I4:I47)</f>
        <v>25463862</v>
      </c>
      <c r="J49" s="34"/>
      <c r="K49" s="33"/>
      <c r="L49" s="34"/>
      <c r="M49" s="38">
        <f>SUM(M4:M47)</f>
        <v>-54746103</v>
      </c>
      <c r="N49" s="38">
        <f>SUM(N4:N47)</f>
        <v>31427421</v>
      </c>
      <c r="O49" s="34"/>
      <c r="P49" s="34"/>
      <c r="Q49" s="35"/>
      <c r="R49" s="36"/>
    </row>
    <row r="50" spans="1:32">
      <c r="A50" s="39" t="s">
        <v>54</v>
      </c>
      <c r="B50" s="40"/>
      <c r="C50" s="41"/>
      <c r="D50" s="41"/>
      <c r="E50" s="41"/>
      <c r="F50" s="41"/>
      <c r="G50" s="41"/>
      <c r="H50" s="41"/>
      <c r="I50" s="42">
        <f>SUMIF(I4:I47,"&lt;0",I4:I47)</f>
        <v>-14643245</v>
      </c>
      <c r="J50" s="22"/>
      <c r="K50" s="18"/>
      <c r="L50" s="21"/>
      <c r="M50" s="42">
        <f>SUMIF(M4:M47,"&lt;0",M4:M47)</f>
        <v>-61296009</v>
      </c>
      <c r="N50" s="42">
        <f>SUMIF(N4:N47,"&lt;0",N4:N47)</f>
        <v>-11776812</v>
      </c>
      <c r="O50" s="21"/>
      <c r="P50" s="22"/>
      <c r="Q50" s="35"/>
      <c r="R50" s="35"/>
      <c r="W50" s="2"/>
    </row>
    <row r="51" spans="1:32">
      <c r="A51" s="39" t="s">
        <v>55</v>
      </c>
      <c r="B51" s="40"/>
      <c r="C51" s="41"/>
      <c r="D51" s="41"/>
      <c r="E51" s="41"/>
      <c r="F51" s="41"/>
      <c r="G51" s="41"/>
      <c r="H51" s="41"/>
      <c r="I51" s="42">
        <f>SUMIF(I4:I47,"&gt;0",I4:I47)</f>
        <v>40107107</v>
      </c>
      <c r="J51" s="22"/>
      <c r="K51" s="18"/>
      <c r="L51" s="21"/>
      <c r="M51" s="42">
        <f>SUMIF(M4:M47,"&gt;0",M4:M47)</f>
        <v>6549906</v>
      </c>
      <c r="N51" s="42">
        <f>SUMIF(N4:N47,"&gt;0",N4:N47)</f>
        <v>43204233</v>
      </c>
      <c r="O51" s="21"/>
      <c r="P51" s="22"/>
      <c r="Q51" s="35"/>
      <c r="R51" s="35"/>
      <c r="W51" s="2"/>
    </row>
    <row r="52" spans="1:32">
      <c r="A52" s="43"/>
      <c r="B52" s="44"/>
      <c r="C52" s="14"/>
      <c r="D52" s="14"/>
      <c r="E52" s="14"/>
      <c r="F52" s="45"/>
      <c r="G52" s="45"/>
      <c r="H52" s="45"/>
      <c r="I52" s="46"/>
      <c r="J52" s="24"/>
      <c r="K52" s="47"/>
      <c r="L52" s="47"/>
      <c r="M52" s="41"/>
      <c r="N52" s="41"/>
      <c r="O52" s="47"/>
      <c r="P52" s="47"/>
      <c r="Q52" s="41"/>
      <c r="R52" s="48"/>
      <c r="W52" s="2"/>
    </row>
    <row r="53" spans="1:32">
      <c r="A53" s="49"/>
      <c r="B53" s="50"/>
      <c r="C53" s="51"/>
      <c r="D53" s="51"/>
      <c r="E53" s="51"/>
      <c r="F53" s="52"/>
      <c r="G53" s="52"/>
      <c r="H53" s="52"/>
      <c r="I53" s="53"/>
      <c r="J53" s="54"/>
      <c r="K53" s="54"/>
      <c r="L53" s="54"/>
      <c r="P53" s="55"/>
    </row>
    <row r="54" spans="1:32">
      <c r="A54" s="172" t="s">
        <v>56</v>
      </c>
      <c r="B54" s="172"/>
      <c r="C54" s="172"/>
      <c r="D54" s="172"/>
      <c r="E54" s="172"/>
      <c r="F54" s="172"/>
      <c r="G54" s="172"/>
      <c r="H54" s="172"/>
      <c r="I54" s="172"/>
      <c r="J54" s="172"/>
      <c r="K54" s="172"/>
      <c r="L54" s="172"/>
      <c r="M54" s="172"/>
      <c r="N54" s="172"/>
      <c r="O54" s="172"/>
      <c r="P54" s="172"/>
      <c r="AF54" s="2" t="e">
        <f>CORREL(O4:O47,#REF!)</f>
        <v>#REF!</v>
      </c>
    </row>
    <row r="55" spans="1:32">
      <c r="A55" s="2" t="s">
        <v>57</v>
      </c>
    </row>
    <row r="56" spans="1:32">
      <c r="A56" s="2" t="s">
        <v>58</v>
      </c>
      <c r="P56" s="55"/>
    </row>
    <row r="57" spans="1:32">
      <c r="P57" s="55"/>
    </row>
    <row r="58" spans="1:32">
      <c r="B58" s="56" t="s">
        <v>59</v>
      </c>
      <c r="C58" s="57">
        <v>0.02</v>
      </c>
      <c r="D58" s="69"/>
      <c r="E58" s="69"/>
    </row>
    <row r="59" spans="1:32">
      <c r="B59" s="56" t="s">
        <v>60</v>
      </c>
      <c r="C59" s="57">
        <v>-0.02</v>
      </c>
      <c r="D59" s="69"/>
      <c r="E59" s="69"/>
    </row>
    <row r="61" spans="1:32">
      <c r="B61" s="56" t="s">
        <v>61</v>
      </c>
      <c r="C61" s="58">
        <v>-4.5699999999999998E-2</v>
      </c>
      <c r="D61" s="70"/>
      <c r="E61" s="70"/>
    </row>
    <row r="62" spans="1:32">
      <c r="B62" s="56" t="s">
        <v>62</v>
      </c>
      <c r="C62" s="58">
        <v>-0.25569999999999998</v>
      </c>
      <c r="D62" s="70"/>
      <c r="E62" s="70"/>
    </row>
    <row r="63" spans="1:32">
      <c r="B63" s="56" t="s">
        <v>63</v>
      </c>
      <c r="C63" s="58">
        <v>0.1643</v>
      </c>
      <c r="D63" s="70"/>
      <c r="E63" s="70"/>
    </row>
    <row r="64" spans="1:32">
      <c r="B64" s="56" t="s">
        <v>64</v>
      </c>
      <c r="C64" s="58">
        <v>0.11119999999999999</v>
      </c>
      <c r="D64" s="70"/>
      <c r="E64" s="70"/>
    </row>
    <row r="65" spans="2:5">
      <c r="B65" s="56" t="s">
        <v>65</v>
      </c>
      <c r="C65" s="58">
        <v>8.9399999999999993E-2</v>
      </c>
      <c r="D65" s="70"/>
      <c r="E65" s="70"/>
    </row>
    <row r="66" spans="2:5">
      <c r="B66" s="56" t="s">
        <v>66</v>
      </c>
      <c r="C66" s="58">
        <v>0.1547</v>
      </c>
      <c r="D66" s="70"/>
      <c r="E66" s="70"/>
    </row>
  </sheetData>
  <autoFilter ref="A3:AI3" xr:uid="{1EE98DED-9F75-403E-91D5-41870A52822F}">
    <sortState xmlns:xlrd2="http://schemas.microsoft.com/office/spreadsheetml/2017/richdata2" ref="A4:AI47">
      <sortCondition ref="T3"/>
    </sortState>
  </autoFilter>
  <mergeCells count="4">
    <mergeCell ref="N2:P2"/>
    <mergeCell ref="A54:P54"/>
    <mergeCell ref="G2:I2"/>
    <mergeCell ref="J2:M2"/>
  </mergeCells>
  <conditionalFormatting sqref="I47 I4:I45 M4:N47">
    <cfRule type="cellIs" dxfId="3" priority="11" operator="lessThan">
      <formula>0</formula>
    </cfRule>
    <cfRule type="cellIs" dxfId="2" priority="12" operator="greaterThan">
      <formula>0</formula>
    </cfRule>
  </conditionalFormatting>
  <conditionalFormatting sqref="I46">
    <cfRule type="cellIs" dxfId="1" priority="1" operator="lessThan">
      <formula>0</formula>
    </cfRule>
    <cfRule type="cellIs" dxfId="0" priority="2" operator="greaterThan">
      <formula>0</formula>
    </cfRule>
  </conditionalFormatting>
  <printOptions horizontalCentered="1" verticalCentered="1"/>
  <pageMargins left="0.45" right="0.45" top="0.25" bottom="0.25" header="0.3" footer="0.3"/>
  <pageSetup paperSize="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82F5C-146F-45AE-9683-B4892CD779BB}">
  <dimension ref="A1:G61"/>
  <sheetViews>
    <sheetView workbookViewId="0">
      <pane xSplit="3" ySplit="2" topLeftCell="D3" activePane="bottomRight" state="frozen"/>
      <selection pane="topRight" activeCell="D1" sqref="D1"/>
      <selection pane="bottomLeft" activeCell="A3" sqref="A3"/>
      <selection pane="bottomRight" activeCell="E3" sqref="E3"/>
    </sheetView>
  </sheetViews>
  <sheetFormatPr defaultColWidth="8.81640625" defaultRowHeight="15.5"/>
  <cols>
    <col min="1" max="1" width="10.26953125" style="110" customWidth="1"/>
    <col min="2" max="2" width="35.81640625" style="110" bestFit="1" customWidth="1"/>
    <col min="3" max="3" width="21.81640625" style="110" customWidth="1"/>
    <col min="4" max="4" width="17.1796875" style="101" customWidth="1"/>
    <col min="5" max="6" width="21" style="25" customWidth="1"/>
    <col min="7" max="229" width="8.81640625" style="25"/>
    <col min="230" max="230" width="20.7265625" style="25" customWidth="1"/>
    <col min="231" max="231" width="48.453125" style="25" customWidth="1"/>
    <col min="232" max="232" width="25.26953125" style="25" customWidth="1"/>
    <col min="233" max="233" width="20" style="25" customWidth="1"/>
    <col min="234" max="234" width="15" style="25" customWidth="1"/>
    <col min="235" max="235" width="17.453125" style="25" customWidth="1"/>
    <col min="236" max="236" width="24" style="25" customWidth="1"/>
    <col min="237" max="237" width="25.26953125" style="25" customWidth="1"/>
    <col min="238" max="238" width="18.7265625" style="25" customWidth="1"/>
    <col min="239" max="485" width="8.81640625" style="25"/>
    <col min="486" max="486" width="20.7265625" style="25" customWidth="1"/>
    <col min="487" max="487" width="48.453125" style="25" customWidth="1"/>
    <col min="488" max="488" width="25.26953125" style="25" customWidth="1"/>
    <col min="489" max="489" width="20" style="25" customWidth="1"/>
    <col min="490" max="490" width="15" style="25" customWidth="1"/>
    <col min="491" max="491" width="17.453125" style="25" customWidth="1"/>
    <col min="492" max="492" width="24" style="25" customWidth="1"/>
    <col min="493" max="493" width="25.26953125" style="25" customWidth="1"/>
    <col min="494" max="494" width="18.7265625" style="25" customWidth="1"/>
    <col min="495" max="741" width="8.81640625" style="25"/>
    <col min="742" max="742" width="20.7265625" style="25" customWidth="1"/>
    <col min="743" max="743" width="48.453125" style="25" customWidth="1"/>
    <col min="744" max="744" width="25.26953125" style="25" customWidth="1"/>
    <col min="745" max="745" width="20" style="25" customWidth="1"/>
    <col min="746" max="746" width="15" style="25" customWidth="1"/>
    <col min="747" max="747" width="17.453125" style="25" customWidth="1"/>
    <col min="748" max="748" width="24" style="25" customWidth="1"/>
    <col min="749" max="749" width="25.26953125" style="25" customWidth="1"/>
    <col min="750" max="750" width="18.7265625" style="25" customWidth="1"/>
    <col min="751" max="997" width="8.81640625" style="25"/>
    <col min="998" max="998" width="20.7265625" style="25" customWidth="1"/>
    <col min="999" max="999" width="48.453125" style="25" customWidth="1"/>
    <col min="1000" max="1000" width="25.26953125" style="25" customWidth="1"/>
    <col min="1001" max="1001" width="20" style="25" customWidth="1"/>
    <col min="1002" max="1002" width="15" style="25" customWidth="1"/>
    <col min="1003" max="1003" width="17.453125" style="25" customWidth="1"/>
    <col min="1004" max="1004" width="24" style="25" customWidth="1"/>
    <col min="1005" max="1005" width="25.26953125" style="25" customWidth="1"/>
    <col min="1006" max="1006" width="18.7265625" style="25" customWidth="1"/>
    <col min="1007" max="1253" width="8.81640625" style="25"/>
    <col min="1254" max="1254" width="20.7265625" style="25" customWidth="1"/>
    <col min="1255" max="1255" width="48.453125" style="25" customWidth="1"/>
    <col min="1256" max="1256" width="25.26953125" style="25" customWidth="1"/>
    <col min="1257" max="1257" width="20" style="25" customWidth="1"/>
    <col min="1258" max="1258" width="15" style="25" customWidth="1"/>
    <col min="1259" max="1259" width="17.453125" style="25" customWidth="1"/>
    <col min="1260" max="1260" width="24" style="25" customWidth="1"/>
    <col min="1261" max="1261" width="25.26953125" style="25" customWidth="1"/>
    <col min="1262" max="1262" width="18.7265625" style="25" customWidth="1"/>
    <col min="1263" max="1509" width="8.81640625" style="25"/>
    <col min="1510" max="1510" width="20.7265625" style="25" customWidth="1"/>
    <col min="1511" max="1511" width="48.453125" style="25" customWidth="1"/>
    <col min="1512" max="1512" width="25.26953125" style="25" customWidth="1"/>
    <col min="1513" max="1513" width="20" style="25" customWidth="1"/>
    <col min="1514" max="1514" width="15" style="25" customWidth="1"/>
    <col min="1515" max="1515" width="17.453125" style="25" customWidth="1"/>
    <col min="1516" max="1516" width="24" style="25" customWidth="1"/>
    <col min="1517" max="1517" width="25.26953125" style="25" customWidth="1"/>
    <col min="1518" max="1518" width="18.7265625" style="25" customWidth="1"/>
    <col min="1519" max="1765" width="8.81640625" style="25"/>
    <col min="1766" max="1766" width="20.7265625" style="25" customWidth="1"/>
    <col min="1767" max="1767" width="48.453125" style="25" customWidth="1"/>
    <col min="1768" max="1768" width="25.26953125" style="25" customWidth="1"/>
    <col min="1769" max="1769" width="20" style="25" customWidth="1"/>
    <col min="1770" max="1770" width="15" style="25" customWidth="1"/>
    <col min="1771" max="1771" width="17.453125" style="25" customWidth="1"/>
    <col min="1772" max="1772" width="24" style="25" customWidth="1"/>
    <col min="1773" max="1773" width="25.26953125" style="25" customWidth="1"/>
    <col min="1774" max="1774" width="18.7265625" style="25" customWidth="1"/>
    <col min="1775" max="2021" width="8.81640625" style="25"/>
    <col min="2022" max="2022" width="20.7265625" style="25" customWidth="1"/>
    <col min="2023" max="2023" width="48.453125" style="25" customWidth="1"/>
    <col min="2024" max="2024" width="25.26953125" style="25" customWidth="1"/>
    <col min="2025" max="2025" width="20" style="25" customWidth="1"/>
    <col min="2026" max="2026" width="15" style="25" customWidth="1"/>
    <col min="2027" max="2027" width="17.453125" style="25" customWidth="1"/>
    <col min="2028" max="2028" width="24" style="25" customWidth="1"/>
    <col min="2029" max="2029" width="25.26953125" style="25" customWidth="1"/>
    <col min="2030" max="2030" width="18.7265625" style="25" customWidth="1"/>
    <col min="2031" max="2277" width="8.81640625" style="25"/>
    <col min="2278" max="2278" width="20.7265625" style="25" customWidth="1"/>
    <col min="2279" max="2279" width="48.453125" style="25" customWidth="1"/>
    <col min="2280" max="2280" width="25.26953125" style="25" customWidth="1"/>
    <col min="2281" max="2281" width="20" style="25" customWidth="1"/>
    <col min="2282" max="2282" width="15" style="25" customWidth="1"/>
    <col min="2283" max="2283" width="17.453125" style="25" customWidth="1"/>
    <col min="2284" max="2284" width="24" style="25" customWidth="1"/>
    <col min="2285" max="2285" width="25.26953125" style="25" customWidth="1"/>
    <col min="2286" max="2286" width="18.7265625" style="25" customWidth="1"/>
    <col min="2287" max="2533" width="8.81640625" style="25"/>
    <col min="2534" max="2534" width="20.7265625" style="25" customWidth="1"/>
    <col min="2535" max="2535" width="48.453125" style="25" customWidth="1"/>
    <col min="2536" max="2536" width="25.26953125" style="25" customWidth="1"/>
    <col min="2537" max="2537" width="20" style="25" customWidth="1"/>
    <col min="2538" max="2538" width="15" style="25" customWidth="1"/>
    <col min="2539" max="2539" width="17.453125" style="25" customWidth="1"/>
    <col min="2540" max="2540" width="24" style="25" customWidth="1"/>
    <col min="2541" max="2541" width="25.26953125" style="25" customWidth="1"/>
    <col min="2542" max="2542" width="18.7265625" style="25" customWidth="1"/>
    <col min="2543" max="2789" width="8.81640625" style="25"/>
    <col min="2790" max="2790" width="20.7265625" style="25" customWidth="1"/>
    <col min="2791" max="2791" width="48.453125" style="25" customWidth="1"/>
    <col min="2792" max="2792" width="25.26953125" style="25" customWidth="1"/>
    <col min="2793" max="2793" width="20" style="25" customWidth="1"/>
    <col min="2794" max="2794" width="15" style="25" customWidth="1"/>
    <col min="2795" max="2795" width="17.453125" style="25" customWidth="1"/>
    <col min="2796" max="2796" width="24" style="25" customWidth="1"/>
    <col min="2797" max="2797" width="25.26953125" style="25" customWidth="1"/>
    <col min="2798" max="2798" width="18.7265625" style="25" customWidth="1"/>
    <col min="2799" max="3045" width="8.81640625" style="25"/>
    <col min="3046" max="3046" width="20.7265625" style="25" customWidth="1"/>
    <col min="3047" max="3047" width="48.453125" style="25" customWidth="1"/>
    <col min="3048" max="3048" width="25.26953125" style="25" customWidth="1"/>
    <col min="3049" max="3049" width="20" style="25" customWidth="1"/>
    <col min="3050" max="3050" width="15" style="25" customWidth="1"/>
    <col min="3051" max="3051" width="17.453125" style="25" customWidth="1"/>
    <col min="3052" max="3052" width="24" style="25" customWidth="1"/>
    <col min="3053" max="3053" width="25.26953125" style="25" customWidth="1"/>
    <col min="3054" max="3054" width="18.7265625" style="25" customWidth="1"/>
    <col min="3055" max="3301" width="8.81640625" style="25"/>
    <col min="3302" max="3302" width="20.7265625" style="25" customWidth="1"/>
    <col min="3303" max="3303" width="48.453125" style="25" customWidth="1"/>
    <col min="3304" max="3304" width="25.26953125" style="25" customWidth="1"/>
    <col min="3305" max="3305" width="20" style="25" customWidth="1"/>
    <col min="3306" max="3306" width="15" style="25" customWidth="1"/>
    <col min="3307" max="3307" width="17.453125" style="25" customWidth="1"/>
    <col min="3308" max="3308" width="24" style="25" customWidth="1"/>
    <col min="3309" max="3309" width="25.26953125" style="25" customWidth="1"/>
    <col min="3310" max="3310" width="18.7265625" style="25" customWidth="1"/>
    <col min="3311" max="3557" width="8.81640625" style="25"/>
    <col min="3558" max="3558" width="20.7265625" style="25" customWidth="1"/>
    <col min="3559" max="3559" width="48.453125" style="25" customWidth="1"/>
    <col min="3560" max="3560" width="25.26953125" style="25" customWidth="1"/>
    <col min="3561" max="3561" width="20" style="25" customWidth="1"/>
    <col min="3562" max="3562" width="15" style="25" customWidth="1"/>
    <col min="3563" max="3563" width="17.453125" style="25" customWidth="1"/>
    <col min="3564" max="3564" width="24" style="25" customWidth="1"/>
    <col min="3565" max="3565" width="25.26953125" style="25" customWidth="1"/>
    <col min="3566" max="3566" width="18.7265625" style="25" customWidth="1"/>
    <col min="3567" max="3813" width="8.81640625" style="25"/>
    <col min="3814" max="3814" width="20.7265625" style="25" customWidth="1"/>
    <col min="3815" max="3815" width="48.453125" style="25" customWidth="1"/>
    <col min="3816" max="3816" width="25.26953125" style="25" customWidth="1"/>
    <col min="3817" max="3817" width="20" style="25" customWidth="1"/>
    <col min="3818" max="3818" width="15" style="25" customWidth="1"/>
    <col min="3819" max="3819" width="17.453125" style="25" customWidth="1"/>
    <col min="3820" max="3820" width="24" style="25" customWidth="1"/>
    <col min="3821" max="3821" width="25.26953125" style="25" customWidth="1"/>
    <col min="3822" max="3822" width="18.7265625" style="25" customWidth="1"/>
    <col min="3823" max="4069" width="8.81640625" style="25"/>
    <col min="4070" max="4070" width="20.7265625" style="25" customWidth="1"/>
    <col min="4071" max="4071" width="48.453125" style="25" customWidth="1"/>
    <col min="4072" max="4072" width="25.26953125" style="25" customWidth="1"/>
    <col min="4073" max="4073" width="20" style="25" customWidth="1"/>
    <col min="4074" max="4074" width="15" style="25" customWidth="1"/>
    <col min="4075" max="4075" width="17.453125" style="25" customWidth="1"/>
    <col min="4076" max="4076" width="24" style="25" customWidth="1"/>
    <col min="4077" max="4077" width="25.26953125" style="25" customWidth="1"/>
    <col min="4078" max="4078" width="18.7265625" style="25" customWidth="1"/>
    <col min="4079" max="4325" width="8.81640625" style="25"/>
    <col min="4326" max="4326" width="20.7265625" style="25" customWidth="1"/>
    <col min="4327" max="4327" width="48.453125" style="25" customWidth="1"/>
    <col min="4328" max="4328" width="25.26953125" style="25" customWidth="1"/>
    <col min="4329" max="4329" width="20" style="25" customWidth="1"/>
    <col min="4330" max="4330" width="15" style="25" customWidth="1"/>
    <col min="4331" max="4331" width="17.453125" style="25" customWidth="1"/>
    <col min="4332" max="4332" width="24" style="25" customWidth="1"/>
    <col min="4333" max="4333" width="25.26953125" style="25" customWidth="1"/>
    <col min="4334" max="4334" width="18.7265625" style="25" customWidth="1"/>
    <col min="4335" max="4581" width="8.81640625" style="25"/>
    <col min="4582" max="4582" width="20.7265625" style="25" customWidth="1"/>
    <col min="4583" max="4583" width="48.453125" style="25" customWidth="1"/>
    <col min="4584" max="4584" width="25.26953125" style="25" customWidth="1"/>
    <col min="4585" max="4585" width="20" style="25" customWidth="1"/>
    <col min="4586" max="4586" width="15" style="25" customWidth="1"/>
    <col min="4587" max="4587" width="17.453125" style="25" customWidth="1"/>
    <col min="4588" max="4588" width="24" style="25" customWidth="1"/>
    <col min="4589" max="4589" width="25.26953125" style="25" customWidth="1"/>
    <col min="4590" max="4590" width="18.7265625" style="25" customWidth="1"/>
    <col min="4591" max="4837" width="8.81640625" style="25"/>
    <col min="4838" max="4838" width="20.7265625" style="25" customWidth="1"/>
    <col min="4839" max="4839" width="48.453125" style="25" customWidth="1"/>
    <col min="4840" max="4840" width="25.26953125" style="25" customWidth="1"/>
    <col min="4841" max="4841" width="20" style="25" customWidth="1"/>
    <col min="4842" max="4842" width="15" style="25" customWidth="1"/>
    <col min="4843" max="4843" width="17.453125" style="25" customWidth="1"/>
    <col min="4844" max="4844" width="24" style="25" customWidth="1"/>
    <col min="4845" max="4845" width="25.26953125" style="25" customWidth="1"/>
    <col min="4846" max="4846" width="18.7265625" style="25" customWidth="1"/>
    <col min="4847" max="5093" width="8.81640625" style="25"/>
    <col min="5094" max="5094" width="20.7265625" style="25" customWidth="1"/>
    <col min="5095" max="5095" width="48.453125" style="25" customWidth="1"/>
    <col min="5096" max="5096" width="25.26953125" style="25" customWidth="1"/>
    <col min="5097" max="5097" width="20" style="25" customWidth="1"/>
    <col min="5098" max="5098" width="15" style="25" customWidth="1"/>
    <col min="5099" max="5099" width="17.453125" style="25" customWidth="1"/>
    <col min="5100" max="5100" width="24" style="25" customWidth="1"/>
    <col min="5101" max="5101" width="25.26953125" style="25" customWidth="1"/>
    <col min="5102" max="5102" width="18.7265625" style="25" customWidth="1"/>
    <col min="5103" max="5349" width="8.81640625" style="25"/>
    <col min="5350" max="5350" width="20.7265625" style="25" customWidth="1"/>
    <col min="5351" max="5351" width="48.453125" style="25" customWidth="1"/>
    <col min="5352" max="5352" width="25.26953125" style="25" customWidth="1"/>
    <col min="5353" max="5353" width="20" style="25" customWidth="1"/>
    <col min="5354" max="5354" width="15" style="25" customWidth="1"/>
    <col min="5355" max="5355" width="17.453125" style="25" customWidth="1"/>
    <col min="5356" max="5356" width="24" style="25" customWidth="1"/>
    <col min="5357" max="5357" width="25.26953125" style="25" customWidth="1"/>
    <col min="5358" max="5358" width="18.7265625" style="25" customWidth="1"/>
    <col min="5359" max="5605" width="8.81640625" style="25"/>
    <col min="5606" max="5606" width="20.7265625" style="25" customWidth="1"/>
    <col min="5607" max="5607" width="48.453125" style="25" customWidth="1"/>
    <col min="5608" max="5608" width="25.26953125" style="25" customWidth="1"/>
    <col min="5609" max="5609" width="20" style="25" customWidth="1"/>
    <col min="5610" max="5610" width="15" style="25" customWidth="1"/>
    <col min="5611" max="5611" width="17.453125" style="25" customWidth="1"/>
    <col min="5612" max="5612" width="24" style="25" customWidth="1"/>
    <col min="5613" max="5613" width="25.26953125" style="25" customWidth="1"/>
    <col min="5614" max="5614" width="18.7265625" style="25" customWidth="1"/>
    <col min="5615" max="5861" width="8.81640625" style="25"/>
    <col min="5862" max="5862" width="20.7265625" style="25" customWidth="1"/>
    <col min="5863" max="5863" width="48.453125" style="25" customWidth="1"/>
    <col min="5864" max="5864" width="25.26953125" style="25" customWidth="1"/>
    <col min="5865" max="5865" width="20" style="25" customWidth="1"/>
    <col min="5866" max="5866" width="15" style="25" customWidth="1"/>
    <col min="5867" max="5867" width="17.453125" style="25" customWidth="1"/>
    <col min="5868" max="5868" width="24" style="25" customWidth="1"/>
    <col min="5869" max="5869" width="25.26953125" style="25" customWidth="1"/>
    <col min="5870" max="5870" width="18.7265625" style="25" customWidth="1"/>
    <col min="5871" max="6117" width="8.81640625" style="25"/>
    <col min="6118" max="6118" width="20.7265625" style="25" customWidth="1"/>
    <col min="6119" max="6119" width="48.453125" style="25" customWidth="1"/>
    <col min="6120" max="6120" width="25.26953125" style="25" customWidth="1"/>
    <col min="6121" max="6121" width="20" style="25" customWidth="1"/>
    <col min="6122" max="6122" width="15" style="25" customWidth="1"/>
    <col min="6123" max="6123" width="17.453125" style="25" customWidth="1"/>
    <col min="6124" max="6124" width="24" style="25" customWidth="1"/>
    <col min="6125" max="6125" width="25.26953125" style="25" customWidth="1"/>
    <col min="6126" max="6126" width="18.7265625" style="25" customWidth="1"/>
    <col min="6127" max="6373" width="8.81640625" style="25"/>
    <col min="6374" max="6374" width="20.7265625" style="25" customWidth="1"/>
    <col min="6375" max="6375" width="48.453125" style="25" customWidth="1"/>
    <col min="6376" max="6376" width="25.26953125" style="25" customWidth="1"/>
    <col min="6377" max="6377" width="20" style="25" customWidth="1"/>
    <col min="6378" max="6378" width="15" style="25" customWidth="1"/>
    <col min="6379" max="6379" width="17.453125" style="25" customWidth="1"/>
    <col min="6380" max="6380" width="24" style="25" customWidth="1"/>
    <col min="6381" max="6381" width="25.26953125" style="25" customWidth="1"/>
    <col min="6382" max="6382" width="18.7265625" style="25" customWidth="1"/>
    <col min="6383" max="6629" width="8.81640625" style="25"/>
    <col min="6630" max="6630" width="20.7265625" style="25" customWidth="1"/>
    <col min="6631" max="6631" width="48.453125" style="25" customWidth="1"/>
    <col min="6632" max="6632" width="25.26953125" style="25" customWidth="1"/>
    <col min="6633" max="6633" width="20" style="25" customWidth="1"/>
    <col min="6634" max="6634" width="15" style="25" customWidth="1"/>
    <col min="6635" max="6635" width="17.453125" style="25" customWidth="1"/>
    <col min="6636" max="6636" width="24" style="25" customWidth="1"/>
    <col min="6637" max="6637" width="25.26953125" style="25" customWidth="1"/>
    <col min="6638" max="6638" width="18.7265625" style="25" customWidth="1"/>
    <col min="6639" max="6885" width="8.81640625" style="25"/>
    <col min="6886" max="6886" width="20.7265625" style="25" customWidth="1"/>
    <col min="6887" max="6887" width="48.453125" style="25" customWidth="1"/>
    <col min="6888" max="6888" width="25.26953125" style="25" customWidth="1"/>
    <col min="6889" max="6889" width="20" style="25" customWidth="1"/>
    <col min="6890" max="6890" width="15" style="25" customWidth="1"/>
    <col min="6891" max="6891" width="17.453125" style="25" customWidth="1"/>
    <col min="6892" max="6892" width="24" style="25" customWidth="1"/>
    <col min="6893" max="6893" width="25.26953125" style="25" customWidth="1"/>
    <col min="6894" max="6894" width="18.7265625" style="25" customWidth="1"/>
    <col min="6895" max="7141" width="8.81640625" style="25"/>
    <col min="7142" max="7142" width="20.7265625" style="25" customWidth="1"/>
    <col min="7143" max="7143" width="48.453125" style="25" customWidth="1"/>
    <col min="7144" max="7144" width="25.26953125" style="25" customWidth="1"/>
    <col min="7145" max="7145" width="20" style="25" customWidth="1"/>
    <col min="7146" max="7146" width="15" style="25" customWidth="1"/>
    <col min="7147" max="7147" width="17.453125" style="25" customWidth="1"/>
    <col min="7148" max="7148" width="24" style="25" customWidth="1"/>
    <col min="7149" max="7149" width="25.26953125" style="25" customWidth="1"/>
    <col min="7150" max="7150" width="18.7265625" style="25" customWidth="1"/>
    <col min="7151" max="7397" width="8.81640625" style="25"/>
    <col min="7398" max="7398" width="20.7265625" style="25" customWidth="1"/>
    <col min="7399" max="7399" width="48.453125" style="25" customWidth="1"/>
    <col min="7400" max="7400" width="25.26953125" style="25" customWidth="1"/>
    <col min="7401" max="7401" width="20" style="25" customWidth="1"/>
    <col min="7402" max="7402" width="15" style="25" customWidth="1"/>
    <col min="7403" max="7403" width="17.453125" style="25" customWidth="1"/>
    <col min="7404" max="7404" width="24" style="25" customWidth="1"/>
    <col min="7405" max="7405" width="25.26953125" style="25" customWidth="1"/>
    <col min="7406" max="7406" width="18.7265625" style="25" customWidth="1"/>
    <col min="7407" max="7653" width="8.81640625" style="25"/>
    <col min="7654" max="7654" width="20.7265625" style="25" customWidth="1"/>
    <col min="7655" max="7655" width="48.453125" style="25" customWidth="1"/>
    <col min="7656" max="7656" width="25.26953125" style="25" customWidth="1"/>
    <col min="7657" max="7657" width="20" style="25" customWidth="1"/>
    <col min="7658" max="7658" width="15" style="25" customWidth="1"/>
    <col min="7659" max="7659" width="17.453125" style="25" customWidth="1"/>
    <col min="7660" max="7660" width="24" style="25" customWidth="1"/>
    <col min="7661" max="7661" width="25.26953125" style="25" customWidth="1"/>
    <col min="7662" max="7662" width="18.7265625" style="25" customWidth="1"/>
    <col min="7663" max="7909" width="8.81640625" style="25"/>
    <col min="7910" max="7910" width="20.7265625" style="25" customWidth="1"/>
    <col min="7911" max="7911" width="48.453125" style="25" customWidth="1"/>
    <col min="7912" max="7912" width="25.26953125" style="25" customWidth="1"/>
    <col min="7913" max="7913" width="20" style="25" customWidth="1"/>
    <col min="7914" max="7914" width="15" style="25" customWidth="1"/>
    <col min="7915" max="7915" width="17.453125" style="25" customWidth="1"/>
    <col min="7916" max="7916" width="24" style="25" customWidth="1"/>
    <col min="7917" max="7917" width="25.26953125" style="25" customWidth="1"/>
    <col min="7918" max="7918" width="18.7265625" style="25" customWidth="1"/>
    <col min="7919" max="8165" width="8.81640625" style="25"/>
    <col min="8166" max="8166" width="20.7265625" style="25" customWidth="1"/>
    <col min="8167" max="8167" width="48.453125" style="25" customWidth="1"/>
    <col min="8168" max="8168" width="25.26953125" style="25" customWidth="1"/>
    <col min="8169" max="8169" width="20" style="25" customWidth="1"/>
    <col min="8170" max="8170" width="15" style="25" customWidth="1"/>
    <col min="8171" max="8171" width="17.453125" style="25" customWidth="1"/>
    <col min="8172" max="8172" width="24" style="25" customWidth="1"/>
    <col min="8173" max="8173" width="25.26953125" style="25" customWidth="1"/>
    <col min="8174" max="8174" width="18.7265625" style="25" customWidth="1"/>
    <col min="8175" max="8421" width="8.81640625" style="25"/>
    <col min="8422" max="8422" width="20.7265625" style="25" customWidth="1"/>
    <col min="8423" max="8423" width="48.453125" style="25" customWidth="1"/>
    <col min="8424" max="8424" width="25.26953125" style="25" customWidth="1"/>
    <col min="8425" max="8425" width="20" style="25" customWidth="1"/>
    <col min="8426" max="8426" width="15" style="25" customWidth="1"/>
    <col min="8427" max="8427" width="17.453125" style="25" customWidth="1"/>
    <col min="8428" max="8428" width="24" style="25" customWidth="1"/>
    <col min="8429" max="8429" width="25.26953125" style="25" customWidth="1"/>
    <col min="8430" max="8430" width="18.7265625" style="25" customWidth="1"/>
    <col min="8431" max="8677" width="8.81640625" style="25"/>
    <col min="8678" max="8678" width="20.7265625" style="25" customWidth="1"/>
    <col min="8679" max="8679" width="48.453125" style="25" customWidth="1"/>
    <col min="8680" max="8680" width="25.26953125" style="25" customWidth="1"/>
    <col min="8681" max="8681" width="20" style="25" customWidth="1"/>
    <col min="8682" max="8682" width="15" style="25" customWidth="1"/>
    <col min="8683" max="8683" width="17.453125" style="25" customWidth="1"/>
    <col min="8684" max="8684" width="24" style="25" customWidth="1"/>
    <col min="8685" max="8685" width="25.26953125" style="25" customWidth="1"/>
    <col min="8686" max="8686" width="18.7265625" style="25" customWidth="1"/>
    <col min="8687" max="8933" width="8.81640625" style="25"/>
    <col min="8934" max="8934" width="20.7265625" style="25" customWidth="1"/>
    <col min="8935" max="8935" width="48.453125" style="25" customWidth="1"/>
    <col min="8936" max="8936" width="25.26953125" style="25" customWidth="1"/>
    <col min="8937" max="8937" width="20" style="25" customWidth="1"/>
    <col min="8938" max="8938" width="15" style="25" customWidth="1"/>
    <col min="8939" max="8939" width="17.453125" style="25" customWidth="1"/>
    <col min="8940" max="8940" width="24" style="25" customWidth="1"/>
    <col min="8941" max="8941" width="25.26953125" style="25" customWidth="1"/>
    <col min="8942" max="8942" width="18.7265625" style="25" customWidth="1"/>
    <col min="8943" max="9189" width="8.81640625" style="25"/>
    <col min="9190" max="9190" width="20.7265625" style="25" customWidth="1"/>
    <col min="9191" max="9191" width="48.453125" style="25" customWidth="1"/>
    <col min="9192" max="9192" width="25.26953125" style="25" customWidth="1"/>
    <col min="9193" max="9193" width="20" style="25" customWidth="1"/>
    <col min="9194" max="9194" width="15" style="25" customWidth="1"/>
    <col min="9195" max="9195" width="17.453125" style="25" customWidth="1"/>
    <col min="9196" max="9196" width="24" style="25" customWidth="1"/>
    <col min="9197" max="9197" width="25.26953125" style="25" customWidth="1"/>
    <col min="9198" max="9198" width="18.7265625" style="25" customWidth="1"/>
    <col min="9199" max="9445" width="8.81640625" style="25"/>
    <col min="9446" max="9446" width="20.7265625" style="25" customWidth="1"/>
    <col min="9447" max="9447" width="48.453125" style="25" customWidth="1"/>
    <col min="9448" max="9448" width="25.26953125" style="25" customWidth="1"/>
    <col min="9449" max="9449" width="20" style="25" customWidth="1"/>
    <col min="9450" max="9450" width="15" style="25" customWidth="1"/>
    <col min="9451" max="9451" width="17.453125" style="25" customWidth="1"/>
    <col min="9452" max="9452" width="24" style="25" customWidth="1"/>
    <col min="9453" max="9453" width="25.26953125" style="25" customWidth="1"/>
    <col min="9454" max="9454" width="18.7265625" style="25" customWidth="1"/>
    <col min="9455" max="9701" width="8.81640625" style="25"/>
    <col min="9702" max="9702" width="20.7265625" style="25" customWidth="1"/>
    <col min="9703" max="9703" width="48.453125" style="25" customWidth="1"/>
    <col min="9704" max="9704" width="25.26953125" style="25" customWidth="1"/>
    <col min="9705" max="9705" width="20" style="25" customWidth="1"/>
    <col min="9706" max="9706" width="15" style="25" customWidth="1"/>
    <col min="9707" max="9707" width="17.453125" style="25" customWidth="1"/>
    <col min="9708" max="9708" width="24" style="25" customWidth="1"/>
    <col min="9709" max="9709" width="25.26953125" style="25" customWidth="1"/>
    <col min="9710" max="9710" width="18.7265625" style="25" customWidth="1"/>
    <col min="9711" max="9957" width="8.81640625" style="25"/>
    <col min="9958" max="9958" width="20.7265625" style="25" customWidth="1"/>
    <col min="9959" max="9959" width="48.453125" style="25" customWidth="1"/>
    <col min="9960" max="9960" width="25.26953125" style="25" customWidth="1"/>
    <col min="9961" max="9961" width="20" style="25" customWidth="1"/>
    <col min="9962" max="9962" width="15" style="25" customWidth="1"/>
    <col min="9963" max="9963" width="17.453125" style="25" customWidth="1"/>
    <col min="9964" max="9964" width="24" style="25" customWidth="1"/>
    <col min="9965" max="9965" width="25.26953125" style="25" customWidth="1"/>
    <col min="9966" max="9966" width="18.7265625" style="25" customWidth="1"/>
    <col min="9967" max="10213" width="8.81640625" style="25"/>
    <col min="10214" max="10214" width="20.7265625" style="25" customWidth="1"/>
    <col min="10215" max="10215" width="48.453125" style="25" customWidth="1"/>
    <col min="10216" max="10216" width="25.26953125" style="25" customWidth="1"/>
    <col min="10217" max="10217" width="20" style="25" customWidth="1"/>
    <col min="10218" max="10218" width="15" style="25" customWidth="1"/>
    <col min="10219" max="10219" width="17.453125" style="25" customWidth="1"/>
    <col min="10220" max="10220" width="24" style="25" customWidth="1"/>
    <col min="10221" max="10221" width="25.26953125" style="25" customWidth="1"/>
    <col min="10222" max="10222" width="18.7265625" style="25" customWidth="1"/>
    <col min="10223" max="10469" width="8.81640625" style="25"/>
    <col min="10470" max="10470" width="20.7265625" style="25" customWidth="1"/>
    <col min="10471" max="10471" width="48.453125" style="25" customWidth="1"/>
    <col min="10472" max="10472" width="25.26953125" style="25" customWidth="1"/>
    <col min="10473" max="10473" width="20" style="25" customWidth="1"/>
    <col min="10474" max="10474" width="15" style="25" customWidth="1"/>
    <col min="10475" max="10475" width="17.453125" style="25" customWidth="1"/>
    <col min="10476" max="10476" width="24" style="25" customWidth="1"/>
    <col min="10477" max="10477" width="25.26953125" style="25" customWidth="1"/>
    <col min="10478" max="10478" width="18.7265625" style="25" customWidth="1"/>
    <col min="10479" max="10725" width="8.81640625" style="25"/>
    <col min="10726" max="10726" width="20.7265625" style="25" customWidth="1"/>
    <col min="10727" max="10727" width="48.453125" style="25" customWidth="1"/>
    <col min="10728" max="10728" width="25.26953125" style="25" customWidth="1"/>
    <col min="10729" max="10729" width="20" style="25" customWidth="1"/>
    <col min="10730" max="10730" width="15" style="25" customWidth="1"/>
    <col min="10731" max="10731" width="17.453125" style="25" customWidth="1"/>
    <col min="10732" max="10732" width="24" style="25" customWidth="1"/>
    <col min="10733" max="10733" width="25.26953125" style="25" customWidth="1"/>
    <col min="10734" max="10734" width="18.7265625" style="25" customWidth="1"/>
    <col min="10735" max="10981" width="8.81640625" style="25"/>
    <col min="10982" max="10982" width="20.7265625" style="25" customWidth="1"/>
    <col min="10983" max="10983" width="48.453125" style="25" customWidth="1"/>
    <col min="10984" max="10984" width="25.26953125" style="25" customWidth="1"/>
    <col min="10985" max="10985" width="20" style="25" customWidth="1"/>
    <col min="10986" max="10986" width="15" style="25" customWidth="1"/>
    <col min="10987" max="10987" width="17.453125" style="25" customWidth="1"/>
    <col min="10988" max="10988" width="24" style="25" customWidth="1"/>
    <col min="10989" max="10989" width="25.26953125" style="25" customWidth="1"/>
    <col min="10990" max="10990" width="18.7265625" style="25" customWidth="1"/>
    <col min="10991" max="11237" width="8.81640625" style="25"/>
    <col min="11238" max="11238" width="20.7265625" style="25" customWidth="1"/>
    <col min="11239" max="11239" width="48.453125" style="25" customWidth="1"/>
    <col min="11240" max="11240" width="25.26953125" style="25" customWidth="1"/>
    <col min="11241" max="11241" width="20" style="25" customWidth="1"/>
    <col min="11242" max="11242" width="15" style="25" customWidth="1"/>
    <col min="11243" max="11243" width="17.453125" style="25" customWidth="1"/>
    <col min="11244" max="11244" width="24" style="25" customWidth="1"/>
    <col min="11245" max="11245" width="25.26953125" style="25" customWidth="1"/>
    <col min="11246" max="11246" width="18.7265625" style="25" customWidth="1"/>
    <col min="11247" max="11493" width="8.81640625" style="25"/>
    <col min="11494" max="11494" width="20.7265625" style="25" customWidth="1"/>
    <col min="11495" max="11495" width="48.453125" style="25" customWidth="1"/>
    <col min="11496" max="11496" width="25.26953125" style="25" customWidth="1"/>
    <col min="11497" max="11497" width="20" style="25" customWidth="1"/>
    <col min="11498" max="11498" width="15" style="25" customWidth="1"/>
    <col min="11499" max="11499" width="17.453125" style="25" customWidth="1"/>
    <col min="11500" max="11500" width="24" style="25" customWidth="1"/>
    <col min="11501" max="11501" width="25.26953125" style="25" customWidth="1"/>
    <col min="11502" max="11502" width="18.7265625" style="25" customWidth="1"/>
    <col min="11503" max="11749" width="8.81640625" style="25"/>
    <col min="11750" max="11750" width="20.7265625" style="25" customWidth="1"/>
    <col min="11751" max="11751" width="48.453125" style="25" customWidth="1"/>
    <col min="11752" max="11752" width="25.26953125" style="25" customWidth="1"/>
    <col min="11753" max="11753" width="20" style="25" customWidth="1"/>
    <col min="11754" max="11754" width="15" style="25" customWidth="1"/>
    <col min="11755" max="11755" width="17.453125" style="25" customWidth="1"/>
    <col min="11756" max="11756" width="24" style="25" customWidth="1"/>
    <col min="11757" max="11757" width="25.26953125" style="25" customWidth="1"/>
    <col min="11758" max="11758" width="18.7265625" style="25" customWidth="1"/>
    <col min="11759" max="12005" width="8.81640625" style="25"/>
    <col min="12006" max="12006" width="20.7265625" style="25" customWidth="1"/>
    <col min="12007" max="12007" width="48.453125" style="25" customWidth="1"/>
    <col min="12008" max="12008" width="25.26953125" style="25" customWidth="1"/>
    <col min="12009" max="12009" width="20" style="25" customWidth="1"/>
    <col min="12010" max="12010" width="15" style="25" customWidth="1"/>
    <col min="12011" max="12011" width="17.453125" style="25" customWidth="1"/>
    <col min="12012" max="12012" width="24" style="25" customWidth="1"/>
    <col min="12013" max="12013" width="25.26953125" style="25" customWidth="1"/>
    <col min="12014" max="12014" width="18.7265625" style="25" customWidth="1"/>
    <col min="12015" max="12261" width="8.81640625" style="25"/>
    <col min="12262" max="12262" width="20.7265625" style="25" customWidth="1"/>
    <col min="12263" max="12263" width="48.453125" style="25" customWidth="1"/>
    <col min="12264" max="12264" width="25.26953125" style="25" customWidth="1"/>
    <col min="12265" max="12265" width="20" style="25" customWidth="1"/>
    <col min="12266" max="12266" width="15" style="25" customWidth="1"/>
    <col min="12267" max="12267" width="17.453125" style="25" customWidth="1"/>
    <col min="12268" max="12268" width="24" style="25" customWidth="1"/>
    <col min="12269" max="12269" width="25.26953125" style="25" customWidth="1"/>
    <col min="12270" max="12270" width="18.7265625" style="25" customWidth="1"/>
    <col min="12271" max="12517" width="8.81640625" style="25"/>
    <col min="12518" max="12518" width="20.7265625" style="25" customWidth="1"/>
    <col min="12519" max="12519" width="48.453125" style="25" customWidth="1"/>
    <col min="12520" max="12520" width="25.26953125" style="25" customWidth="1"/>
    <col min="12521" max="12521" width="20" style="25" customWidth="1"/>
    <col min="12522" max="12522" width="15" style="25" customWidth="1"/>
    <col min="12523" max="12523" width="17.453125" style="25" customWidth="1"/>
    <col min="12524" max="12524" width="24" style="25" customWidth="1"/>
    <col min="12525" max="12525" width="25.26953125" style="25" customWidth="1"/>
    <col min="12526" max="12526" width="18.7265625" style="25" customWidth="1"/>
    <col min="12527" max="12773" width="8.81640625" style="25"/>
    <col min="12774" max="12774" width="20.7265625" style="25" customWidth="1"/>
    <col min="12775" max="12775" width="48.453125" style="25" customWidth="1"/>
    <col min="12776" max="12776" width="25.26953125" style="25" customWidth="1"/>
    <col min="12777" max="12777" width="20" style="25" customWidth="1"/>
    <col min="12778" max="12778" width="15" style="25" customWidth="1"/>
    <col min="12779" max="12779" width="17.453125" style="25" customWidth="1"/>
    <col min="12780" max="12780" width="24" style="25" customWidth="1"/>
    <col min="12781" max="12781" width="25.26953125" style="25" customWidth="1"/>
    <col min="12782" max="12782" width="18.7265625" style="25" customWidth="1"/>
    <col min="12783" max="13029" width="8.81640625" style="25"/>
    <col min="13030" max="13030" width="20.7265625" style="25" customWidth="1"/>
    <col min="13031" max="13031" width="48.453125" style="25" customWidth="1"/>
    <col min="13032" max="13032" width="25.26953125" style="25" customWidth="1"/>
    <col min="13033" max="13033" width="20" style="25" customWidth="1"/>
    <col min="13034" max="13034" width="15" style="25" customWidth="1"/>
    <col min="13035" max="13035" width="17.453125" style="25" customWidth="1"/>
    <col min="13036" max="13036" width="24" style="25" customWidth="1"/>
    <col min="13037" max="13037" width="25.26953125" style="25" customWidth="1"/>
    <col min="13038" max="13038" width="18.7265625" style="25" customWidth="1"/>
    <col min="13039" max="13285" width="8.81640625" style="25"/>
    <col min="13286" max="13286" width="20.7265625" style="25" customWidth="1"/>
    <col min="13287" max="13287" width="48.453125" style="25" customWidth="1"/>
    <col min="13288" max="13288" width="25.26953125" style="25" customWidth="1"/>
    <col min="13289" max="13289" width="20" style="25" customWidth="1"/>
    <col min="13290" max="13290" width="15" style="25" customWidth="1"/>
    <col min="13291" max="13291" width="17.453125" style="25" customWidth="1"/>
    <col min="13292" max="13292" width="24" style="25" customWidth="1"/>
    <col min="13293" max="13293" width="25.26953125" style="25" customWidth="1"/>
    <col min="13294" max="13294" width="18.7265625" style="25" customWidth="1"/>
    <col min="13295" max="13541" width="8.81640625" style="25"/>
    <col min="13542" max="13542" width="20.7265625" style="25" customWidth="1"/>
    <col min="13543" max="13543" width="48.453125" style="25" customWidth="1"/>
    <col min="13544" max="13544" width="25.26953125" style="25" customWidth="1"/>
    <col min="13545" max="13545" width="20" style="25" customWidth="1"/>
    <col min="13546" max="13546" width="15" style="25" customWidth="1"/>
    <col min="13547" max="13547" width="17.453125" style="25" customWidth="1"/>
    <col min="13548" max="13548" width="24" style="25" customWidth="1"/>
    <col min="13549" max="13549" width="25.26953125" style="25" customWidth="1"/>
    <col min="13550" max="13550" width="18.7265625" style="25" customWidth="1"/>
    <col min="13551" max="13797" width="8.81640625" style="25"/>
    <col min="13798" max="13798" width="20.7265625" style="25" customWidth="1"/>
    <col min="13799" max="13799" width="48.453125" style="25" customWidth="1"/>
    <col min="13800" max="13800" width="25.26953125" style="25" customWidth="1"/>
    <col min="13801" max="13801" width="20" style="25" customWidth="1"/>
    <col min="13802" max="13802" width="15" style="25" customWidth="1"/>
    <col min="13803" max="13803" width="17.453125" style="25" customWidth="1"/>
    <col min="13804" max="13804" width="24" style="25" customWidth="1"/>
    <col min="13805" max="13805" width="25.26953125" style="25" customWidth="1"/>
    <col min="13806" max="13806" width="18.7265625" style="25" customWidth="1"/>
    <col min="13807" max="14053" width="8.81640625" style="25"/>
    <col min="14054" max="14054" width="20.7265625" style="25" customWidth="1"/>
    <col min="14055" max="14055" width="48.453125" style="25" customWidth="1"/>
    <col min="14056" max="14056" width="25.26953125" style="25" customWidth="1"/>
    <col min="14057" max="14057" width="20" style="25" customWidth="1"/>
    <col min="14058" max="14058" width="15" style="25" customWidth="1"/>
    <col min="14059" max="14059" width="17.453125" style="25" customWidth="1"/>
    <col min="14060" max="14060" width="24" style="25" customWidth="1"/>
    <col min="14061" max="14061" width="25.26953125" style="25" customWidth="1"/>
    <col min="14062" max="14062" width="18.7265625" style="25" customWidth="1"/>
    <col min="14063" max="14309" width="8.81640625" style="25"/>
    <col min="14310" max="14310" width="20.7265625" style="25" customWidth="1"/>
    <col min="14311" max="14311" width="48.453125" style="25" customWidth="1"/>
    <col min="14312" max="14312" width="25.26953125" style="25" customWidth="1"/>
    <col min="14313" max="14313" width="20" style="25" customWidth="1"/>
    <col min="14314" max="14314" width="15" style="25" customWidth="1"/>
    <col min="14315" max="14315" width="17.453125" style="25" customWidth="1"/>
    <col min="14316" max="14316" width="24" style="25" customWidth="1"/>
    <col min="14317" max="14317" width="25.26953125" style="25" customWidth="1"/>
    <col min="14318" max="14318" width="18.7265625" style="25" customWidth="1"/>
    <col min="14319" max="14565" width="8.81640625" style="25"/>
    <col min="14566" max="14566" width="20.7265625" style="25" customWidth="1"/>
    <col min="14567" max="14567" width="48.453125" style="25" customWidth="1"/>
    <col min="14568" max="14568" width="25.26953125" style="25" customWidth="1"/>
    <col min="14569" max="14569" width="20" style="25" customWidth="1"/>
    <col min="14570" max="14570" width="15" style="25" customWidth="1"/>
    <col min="14571" max="14571" width="17.453125" style="25" customWidth="1"/>
    <col min="14572" max="14572" width="24" style="25" customWidth="1"/>
    <col min="14573" max="14573" width="25.26953125" style="25" customWidth="1"/>
    <col min="14574" max="14574" width="18.7265625" style="25" customWidth="1"/>
    <col min="14575" max="14821" width="8.81640625" style="25"/>
    <col min="14822" max="14822" width="20.7265625" style="25" customWidth="1"/>
    <col min="14823" max="14823" width="48.453125" style="25" customWidth="1"/>
    <col min="14824" max="14824" width="25.26953125" style="25" customWidth="1"/>
    <col min="14825" max="14825" width="20" style="25" customWidth="1"/>
    <col min="14826" max="14826" width="15" style="25" customWidth="1"/>
    <col min="14827" max="14827" width="17.453125" style="25" customWidth="1"/>
    <col min="14828" max="14828" width="24" style="25" customWidth="1"/>
    <col min="14829" max="14829" width="25.26953125" style="25" customWidth="1"/>
    <col min="14830" max="14830" width="18.7265625" style="25" customWidth="1"/>
    <col min="14831" max="15077" width="8.81640625" style="25"/>
    <col min="15078" max="15078" width="20.7265625" style="25" customWidth="1"/>
    <col min="15079" max="15079" width="48.453125" style="25" customWidth="1"/>
    <col min="15080" max="15080" width="25.26953125" style="25" customWidth="1"/>
    <col min="15081" max="15081" width="20" style="25" customWidth="1"/>
    <col min="15082" max="15082" width="15" style="25" customWidth="1"/>
    <col min="15083" max="15083" width="17.453125" style="25" customWidth="1"/>
    <col min="15084" max="15084" width="24" style="25" customWidth="1"/>
    <col min="15085" max="15085" width="25.26953125" style="25" customWidth="1"/>
    <col min="15086" max="15086" width="18.7265625" style="25" customWidth="1"/>
    <col min="15087" max="15333" width="8.81640625" style="25"/>
    <col min="15334" max="15334" width="20.7265625" style="25" customWidth="1"/>
    <col min="15335" max="15335" width="48.453125" style="25" customWidth="1"/>
    <col min="15336" max="15336" width="25.26953125" style="25" customWidth="1"/>
    <col min="15337" max="15337" width="20" style="25" customWidth="1"/>
    <col min="15338" max="15338" width="15" style="25" customWidth="1"/>
    <col min="15339" max="15339" width="17.453125" style="25" customWidth="1"/>
    <col min="15340" max="15340" width="24" style="25" customWidth="1"/>
    <col min="15341" max="15341" width="25.26953125" style="25" customWidth="1"/>
    <col min="15342" max="15342" width="18.7265625" style="25" customWidth="1"/>
    <col min="15343" max="15589" width="8.81640625" style="25"/>
    <col min="15590" max="15590" width="20.7265625" style="25" customWidth="1"/>
    <col min="15591" max="15591" width="48.453125" style="25" customWidth="1"/>
    <col min="15592" max="15592" width="25.26953125" style="25" customWidth="1"/>
    <col min="15593" max="15593" width="20" style="25" customWidth="1"/>
    <col min="15594" max="15594" width="15" style="25" customWidth="1"/>
    <col min="15595" max="15595" width="17.453125" style="25" customWidth="1"/>
    <col min="15596" max="15596" width="24" style="25" customWidth="1"/>
    <col min="15597" max="15597" width="25.26953125" style="25" customWidth="1"/>
    <col min="15598" max="15598" width="18.7265625" style="25" customWidth="1"/>
    <col min="15599" max="15845" width="8.81640625" style="25"/>
    <col min="15846" max="15846" width="20.7265625" style="25" customWidth="1"/>
    <col min="15847" max="15847" width="48.453125" style="25" customWidth="1"/>
    <col min="15848" max="15848" width="25.26953125" style="25" customWidth="1"/>
    <col min="15849" max="15849" width="20" style="25" customWidth="1"/>
    <col min="15850" max="15850" width="15" style="25" customWidth="1"/>
    <col min="15851" max="15851" width="17.453125" style="25" customWidth="1"/>
    <col min="15852" max="15852" width="24" style="25" customWidth="1"/>
    <col min="15853" max="15853" width="25.26953125" style="25" customWidth="1"/>
    <col min="15854" max="15854" width="18.7265625" style="25" customWidth="1"/>
    <col min="15855" max="16101" width="8.81640625" style="25"/>
    <col min="16102" max="16102" width="20.7265625" style="25" customWidth="1"/>
    <col min="16103" max="16103" width="48.453125" style="25" customWidth="1"/>
    <col min="16104" max="16104" width="25.26953125" style="25" customWidth="1"/>
    <col min="16105" max="16105" width="20" style="25" customWidth="1"/>
    <col min="16106" max="16106" width="15" style="25" customWidth="1"/>
    <col min="16107" max="16107" width="17.453125" style="25" customWidth="1"/>
    <col min="16108" max="16108" width="24" style="25" customWidth="1"/>
    <col min="16109" max="16109" width="25.26953125" style="25" customWidth="1"/>
    <col min="16110" max="16110" width="18.7265625" style="25" customWidth="1"/>
    <col min="16111" max="16360" width="8.81640625" style="25"/>
    <col min="16361" max="16384" width="8.7265625" style="25" customWidth="1"/>
  </cols>
  <sheetData>
    <row r="1" spans="1:7" ht="23">
      <c r="A1" s="118" t="s">
        <v>108</v>
      </c>
      <c r="B1" s="118"/>
      <c r="C1" s="119"/>
      <c r="D1" s="120"/>
      <c r="E1" s="73"/>
      <c r="F1" s="73"/>
    </row>
    <row r="2" spans="1:7" ht="49.5" customHeight="1">
      <c r="A2" s="74" t="s">
        <v>77</v>
      </c>
      <c r="B2" s="75" t="s">
        <v>4</v>
      </c>
      <c r="C2" s="76" t="s">
        <v>98</v>
      </c>
      <c r="D2" s="74" t="s">
        <v>97</v>
      </c>
      <c r="E2" s="74" t="s">
        <v>78</v>
      </c>
      <c r="F2" s="74" t="s">
        <v>79</v>
      </c>
      <c r="G2" s="25" t="s">
        <v>99</v>
      </c>
    </row>
    <row r="3" spans="1:7">
      <c r="A3" s="77">
        <v>210001</v>
      </c>
      <c r="B3" s="77" t="s">
        <v>13</v>
      </c>
      <c r="C3" s="78">
        <v>233209898.29280609</v>
      </c>
      <c r="D3" s="79">
        <v>0.2238</v>
      </c>
      <c r="E3" s="80" cm="1">
        <f t="array" ref="E3">ROUND(IF(D3&gt;=QBR_Highest_Score,QBR_Max_Reward,IF(D3&lt;=QBR_Lowest_Score,QBR_Max_Penalty,IF(D3&gt;=QBR__Threshold,QBR_Max_Reward*(D3-QBR__Threshold)/(QBR_Highest_Score-QBR__Threshold),QBR_Max_Penalty*((D3-QBR__Threshold)/(QBR_Lowest_Score-QBR__Threshold))))),4)</f>
        <v>-9.1000000000000004E-3</v>
      </c>
      <c r="F3" s="81">
        <f t="shared" ref="F3:F43" si="0">ROUND(E3*C3,0)</f>
        <v>-2122210</v>
      </c>
      <c r="G3" s="82"/>
    </row>
    <row r="4" spans="1:7">
      <c r="A4" s="77">
        <v>210002</v>
      </c>
      <c r="B4" s="77" t="s">
        <v>14</v>
      </c>
      <c r="C4" s="78">
        <v>1169777419.1025653</v>
      </c>
      <c r="D4" s="79">
        <v>0.20399999999999999</v>
      </c>
      <c r="E4" s="80">
        <f t="shared" ref="E4:E42" si="1">ROUND(IF(D4&gt;=QBR_Highest_Score,QBR_Max_Reward,IF(D4&lt;=QBR_Lowest_Score,QBR_Max_Penalty,IF(D4&gt;=QBR__Threshold,QBR_Max_Reward*(D4-QBR__Threshold)/(QBR_Highest_Score-QBR__Threshold),QBR_Max_Penalty*((D4-QBR__Threshold)/(QBR_Lowest_Score-QBR__Threshold))))),4)</f>
        <v>-0.01</v>
      </c>
      <c r="F4" s="81">
        <f t="shared" si="0"/>
        <v>-11697774</v>
      </c>
    </row>
    <row r="5" spans="1:7">
      <c r="A5" s="77">
        <v>210003</v>
      </c>
      <c r="B5" s="77" t="s">
        <v>15</v>
      </c>
      <c r="C5" s="78">
        <v>272737060.9453848</v>
      </c>
      <c r="D5" s="79">
        <v>0.19089999999999999</v>
      </c>
      <c r="E5" s="80">
        <f t="shared" si="1"/>
        <v>-1.0699999999999999E-2</v>
      </c>
      <c r="F5" s="81">
        <f t="shared" si="0"/>
        <v>-2918287</v>
      </c>
    </row>
    <row r="6" spans="1:7">
      <c r="A6" s="77">
        <v>210004</v>
      </c>
      <c r="B6" s="77" t="s">
        <v>16</v>
      </c>
      <c r="C6" s="78">
        <v>395179292.24487001</v>
      </c>
      <c r="D6" s="79">
        <v>9.2200000000000004E-2</v>
      </c>
      <c r="E6" s="80">
        <f t="shared" si="1"/>
        <v>-1.55E-2</v>
      </c>
      <c r="F6" s="81">
        <f t="shared" si="0"/>
        <v>-6125279</v>
      </c>
    </row>
    <row r="7" spans="1:7">
      <c r="A7" s="77">
        <v>210005</v>
      </c>
      <c r="B7" s="77" t="s">
        <v>17</v>
      </c>
      <c r="C7" s="78">
        <v>245875328.80849966</v>
      </c>
      <c r="D7" s="79">
        <v>0.1598</v>
      </c>
      <c r="E7" s="80">
        <f t="shared" si="1"/>
        <v>-1.2200000000000001E-2</v>
      </c>
      <c r="F7" s="81">
        <f t="shared" si="0"/>
        <v>-2999679</v>
      </c>
    </row>
    <row r="8" spans="1:7">
      <c r="A8" s="77">
        <v>210006</v>
      </c>
      <c r="B8" s="77" t="s">
        <v>18</v>
      </c>
      <c r="C8" s="78">
        <v>67709798.545058176</v>
      </c>
      <c r="D8" s="79">
        <v>0.1757</v>
      </c>
      <c r="E8" s="80">
        <f t="shared" si="1"/>
        <v>-1.14E-2</v>
      </c>
      <c r="F8" s="81">
        <f t="shared" si="0"/>
        <v>-771892</v>
      </c>
    </row>
    <row r="9" spans="1:7">
      <c r="A9" s="77">
        <v>210008</v>
      </c>
      <c r="B9" s="77" t="s">
        <v>19</v>
      </c>
      <c r="C9" s="78">
        <v>231085559.56053197</v>
      </c>
      <c r="D9" s="79">
        <v>0.24460000000000001</v>
      </c>
      <c r="E9" s="80">
        <f t="shared" si="1"/>
        <v>-8.0999999999999996E-3</v>
      </c>
      <c r="F9" s="81">
        <f t="shared" si="0"/>
        <v>-1871793</v>
      </c>
    </row>
    <row r="10" spans="1:7">
      <c r="A10" s="83">
        <v>210009</v>
      </c>
      <c r="B10" s="77" t="s">
        <v>20</v>
      </c>
      <c r="C10" s="78">
        <v>1689351200.3065054</v>
      </c>
      <c r="D10" s="79">
        <v>0.27110000000000001</v>
      </c>
      <c r="E10" s="80">
        <f t="shared" si="1"/>
        <v>-6.7999999999999996E-3</v>
      </c>
      <c r="F10" s="81">
        <f t="shared" si="0"/>
        <v>-11487588</v>
      </c>
    </row>
    <row r="11" spans="1:7">
      <c r="A11" s="77">
        <v>210011</v>
      </c>
      <c r="B11" s="77" t="s">
        <v>21</v>
      </c>
      <c r="C11" s="78">
        <v>243049519.64796227</v>
      </c>
      <c r="D11" s="79">
        <v>0.1323</v>
      </c>
      <c r="E11" s="80">
        <f t="shared" si="1"/>
        <v>-1.35E-2</v>
      </c>
      <c r="F11" s="81">
        <f t="shared" si="0"/>
        <v>-3281169</v>
      </c>
    </row>
    <row r="12" spans="1:7">
      <c r="A12" s="77">
        <v>210012</v>
      </c>
      <c r="B12" s="77" t="s">
        <v>22</v>
      </c>
      <c r="C12" s="78">
        <v>499177175.30070233</v>
      </c>
      <c r="D12" s="79">
        <v>0.13789999999999999</v>
      </c>
      <c r="E12" s="80">
        <f t="shared" si="1"/>
        <v>-1.3299999999999999E-2</v>
      </c>
      <c r="F12" s="81">
        <f t="shared" si="0"/>
        <v>-6639056</v>
      </c>
    </row>
    <row r="13" spans="1:7">
      <c r="A13" s="77">
        <v>210015</v>
      </c>
      <c r="B13" s="77" t="s">
        <v>23</v>
      </c>
      <c r="C13" s="78">
        <v>325444692.32110155</v>
      </c>
      <c r="D13" s="79">
        <v>0.12740000000000001</v>
      </c>
      <c r="E13" s="80">
        <f t="shared" si="1"/>
        <v>-1.38E-2</v>
      </c>
      <c r="F13" s="81">
        <f t="shared" si="0"/>
        <v>-4491137</v>
      </c>
    </row>
    <row r="14" spans="1:7">
      <c r="A14" s="77">
        <v>210016</v>
      </c>
      <c r="B14" s="77" t="s">
        <v>24</v>
      </c>
      <c r="C14" s="78">
        <v>206054276.81773111</v>
      </c>
      <c r="D14" s="79">
        <v>0.2442</v>
      </c>
      <c r="E14" s="80">
        <f t="shared" si="1"/>
        <v>-8.0999999999999996E-3</v>
      </c>
      <c r="F14" s="81">
        <f t="shared" si="0"/>
        <v>-1669040</v>
      </c>
    </row>
    <row r="15" spans="1:7">
      <c r="A15" s="77">
        <v>210017</v>
      </c>
      <c r="B15" s="77" t="s">
        <v>25</v>
      </c>
      <c r="C15" s="78">
        <v>22448741.860533666</v>
      </c>
      <c r="D15" s="79">
        <v>0.46</v>
      </c>
      <c r="E15" s="80">
        <f t="shared" si="1"/>
        <v>2.5999999999999999E-3</v>
      </c>
      <c r="F15" s="81">
        <f t="shared" si="0"/>
        <v>58367</v>
      </c>
    </row>
    <row r="16" spans="1:7">
      <c r="A16" s="77">
        <v>210018</v>
      </c>
      <c r="B16" s="77" t="s">
        <v>26</v>
      </c>
      <c r="C16" s="78">
        <v>86911104.151931316</v>
      </c>
      <c r="D16" s="79">
        <v>0.26390000000000002</v>
      </c>
      <c r="E16" s="80">
        <f t="shared" si="1"/>
        <v>-7.1000000000000004E-3</v>
      </c>
      <c r="F16" s="81">
        <f t="shared" si="0"/>
        <v>-617069</v>
      </c>
    </row>
    <row r="17" spans="1:6">
      <c r="A17" s="77">
        <v>210019</v>
      </c>
      <c r="B17" s="77" t="s">
        <v>71</v>
      </c>
      <c r="C17" s="78">
        <v>273261892.18496162</v>
      </c>
      <c r="D17" s="79">
        <v>0.30109999999999998</v>
      </c>
      <c r="E17" s="80">
        <f t="shared" si="1"/>
        <v>-5.3E-3</v>
      </c>
      <c r="F17" s="81">
        <f t="shared" si="0"/>
        <v>-1448288</v>
      </c>
    </row>
    <row r="18" spans="1:6">
      <c r="A18" s="77">
        <v>210022</v>
      </c>
      <c r="B18" s="77" t="s">
        <v>28</v>
      </c>
      <c r="C18" s="78">
        <v>234289464.42853409</v>
      </c>
      <c r="D18" s="79">
        <v>0.2185</v>
      </c>
      <c r="E18" s="80">
        <f t="shared" si="1"/>
        <v>-9.2999999999999992E-3</v>
      </c>
      <c r="F18" s="81">
        <f t="shared" si="0"/>
        <v>-2178892</v>
      </c>
    </row>
    <row r="19" spans="1:6">
      <c r="A19" s="77">
        <v>210023</v>
      </c>
      <c r="B19" s="77" t="s">
        <v>29</v>
      </c>
      <c r="C19" s="78">
        <v>378319646.6993916</v>
      </c>
      <c r="D19" s="79">
        <v>0.30570000000000003</v>
      </c>
      <c r="E19" s="80">
        <f t="shared" si="1"/>
        <v>-5.1000000000000004E-3</v>
      </c>
      <c r="F19" s="81">
        <f t="shared" si="0"/>
        <v>-1929430</v>
      </c>
    </row>
    <row r="20" spans="1:6">
      <c r="A20" s="77">
        <v>210024</v>
      </c>
      <c r="B20" s="77" t="s">
        <v>30</v>
      </c>
      <c r="C20" s="78">
        <v>274240267.41213882</v>
      </c>
      <c r="D20" s="79">
        <v>0.35630000000000001</v>
      </c>
      <c r="E20" s="80">
        <f t="shared" si="1"/>
        <v>-2.5999999999999999E-3</v>
      </c>
      <c r="F20" s="81">
        <f t="shared" si="0"/>
        <v>-713025</v>
      </c>
    </row>
    <row r="21" spans="1:6">
      <c r="A21" s="77">
        <v>210027</v>
      </c>
      <c r="B21" s="77" t="s">
        <v>80</v>
      </c>
      <c r="C21" s="78">
        <v>177776317.14814913</v>
      </c>
      <c r="D21" s="79">
        <v>0.1246</v>
      </c>
      <c r="E21" s="80">
        <f t="shared" si="1"/>
        <v>-1.3899999999999999E-2</v>
      </c>
      <c r="F21" s="81">
        <f t="shared" si="0"/>
        <v>-2471091</v>
      </c>
    </row>
    <row r="22" spans="1:6">
      <c r="A22" s="77">
        <v>210028</v>
      </c>
      <c r="B22" s="77" t="s">
        <v>32</v>
      </c>
      <c r="C22" s="78">
        <v>91631804.258244663</v>
      </c>
      <c r="D22" s="79">
        <v>0.40610000000000002</v>
      </c>
      <c r="E22" s="80">
        <f t="shared" si="1"/>
        <v>-2.0000000000000001E-4</v>
      </c>
      <c r="F22" s="81">
        <f t="shared" si="0"/>
        <v>-18326</v>
      </c>
    </row>
    <row r="23" spans="1:6">
      <c r="A23" s="77">
        <v>210029</v>
      </c>
      <c r="B23" s="77" t="s">
        <v>33</v>
      </c>
      <c r="C23" s="78">
        <v>446329672.23355418</v>
      </c>
      <c r="D23" s="79">
        <v>0.17449999999999999</v>
      </c>
      <c r="E23" s="80">
        <f t="shared" si="1"/>
        <v>-1.15E-2</v>
      </c>
      <c r="F23" s="81">
        <f t="shared" si="0"/>
        <v>-5132791</v>
      </c>
    </row>
    <row r="24" spans="1:6">
      <c r="A24" s="77">
        <v>210032</v>
      </c>
      <c r="B24" s="77" t="s">
        <v>81</v>
      </c>
      <c r="C24" s="78">
        <v>74867815.898296461</v>
      </c>
      <c r="D24" s="79">
        <v>0.3024</v>
      </c>
      <c r="E24" s="80">
        <f t="shared" si="1"/>
        <v>-5.1999999999999998E-3</v>
      </c>
      <c r="F24" s="81">
        <f t="shared" si="0"/>
        <v>-389313</v>
      </c>
    </row>
    <row r="25" spans="1:6">
      <c r="A25" s="77">
        <v>210033</v>
      </c>
      <c r="B25" s="77" t="s">
        <v>36</v>
      </c>
      <c r="C25" s="78">
        <v>146579134.30840614</v>
      </c>
      <c r="D25" s="79">
        <v>0.2261</v>
      </c>
      <c r="E25" s="80">
        <f t="shared" si="1"/>
        <v>-8.9999999999999993E-3</v>
      </c>
      <c r="F25" s="81">
        <f t="shared" si="0"/>
        <v>-1319212</v>
      </c>
    </row>
    <row r="26" spans="1:6">
      <c r="A26" s="77">
        <v>210034</v>
      </c>
      <c r="B26" s="77" t="s">
        <v>37</v>
      </c>
      <c r="C26" s="78">
        <v>130460757.98273204</v>
      </c>
      <c r="D26" s="79">
        <v>0.1186</v>
      </c>
      <c r="E26" s="80">
        <f t="shared" si="1"/>
        <v>-1.4200000000000001E-2</v>
      </c>
      <c r="F26" s="81">
        <f t="shared" si="0"/>
        <v>-1852543</v>
      </c>
    </row>
    <row r="27" spans="1:6">
      <c r="A27" s="77">
        <v>210035</v>
      </c>
      <c r="B27" s="77" t="s">
        <v>38</v>
      </c>
      <c r="C27" s="78">
        <v>95179409.927647993</v>
      </c>
      <c r="D27" s="79">
        <v>0.21729999999999999</v>
      </c>
      <c r="E27" s="80">
        <f t="shared" si="1"/>
        <v>-9.4000000000000004E-3</v>
      </c>
      <c r="F27" s="81">
        <f t="shared" si="0"/>
        <v>-894686</v>
      </c>
    </row>
    <row r="28" spans="1:6" ht="18.75" customHeight="1">
      <c r="A28" s="77">
        <v>210037</v>
      </c>
      <c r="B28" s="77" t="s">
        <v>39</v>
      </c>
      <c r="C28" s="78">
        <v>117255633.45625928</v>
      </c>
      <c r="D28" s="79">
        <v>0.2611</v>
      </c>
      <c r="E28" s="80">
        <f t="shared" si="1"/>
        <v>-7.3000000000000001E-3</v>
      </c>
      <c r="F28" s="81">
        <f t="shared" si="0"/>
        <v>-855966</v>
      </c>
    </row>
    <row r="29" spans="1:6">
      <c r="A29" s="77">
        <v>210038</v>
      </c>
      <c r="B29" s="77" t="s">
        <v>40</v>
      </c>
      <c r="C29" s="78">
        <v>128795219.33140594</v>
      </c>
      <c r="D29" s="79">
        <v>0.13850000000000001</v>
      </c>
      <c r="E29" s="80">
        <f t="shared" si="1"/>
        <v>-1.32E-2</v>
      </c>
      <c r="F29" s="81">
        <f t="shared" si="0"/>
        <v>-1700097</v>
      </c>
    </row>
    <row r="30" spans="1:6">
      <c r="A30" s="77">
        <v>210039</v>
      </c>
      <c r="B30" s="77" t="s">
        <v>41</v>
      </c>
      <c r="C30" s="78">
        <v>82050333.022346303</v>
      </c>
      <c r="D30" s="79">
        <v>0.34189999999999998</v>
      </c>
      <c r="E30" s="80">
        <f t="shared" si="1"/>
        <v>-3.3E-3</v>
      </c>
      <c r="F30" s="81">
        <f t="shared" si="0"/>
        <v>-270766</v>
      </c>
    </row>
    <row r="31" spans="1:6">
      <c r="A31" s="77">
        <v>210040</v>
      </c>
      <c r="B31" s="77" t="s">
        <v>42</v>
      </c>
      <c r="C31" s="78">
        <v>151174669.60064766</v>
      </c>
      <c r="D31" s="79">
        <v>0.1192</v>
      </c>
      <c r="E31" s="80">
        <f t="shared" si="1"/>
        <v>-1.4200000000000001E-2</v>
      </c>
      <c r="F31" s="81">
        <f t="shared" si="0"/>
        <v>-2146680</v>
      </c>
    </row>
    <row r="32" spans="1:6">
      <c r="A32" s="77">
        <v>210043</v>
      </c>
      <c r="B32" s="77" t="s">
        <v>82</v>
      </c>
      <c r="C32" s="78">
        <v>310629291.55806202</v>
      </c>
      <c r="D32" s="79">
        <v>0.2306</v>
      </c>
      <c r="E32" s="80">
        <f t="shared" si="1"/>
        <v>-8.8000000000000005E-3</v>
      </c>
      <c r="F32" s="81">
        <f t="shared" si="0"/>
        <v>-2733538</v>
      </c>
    </row>
    <row r="33" spans="1:6">
      <c r="A33" s="77">
        <v>210044</v>
      </c>
      <c r="B33" s="77" t="s">
        <v>44</v>
      </c>
      <c r="C33" s="78">
        <v>234417802.74342716</v>
      </c>
      <c r="D33" s="79">
        <v>0.33529999999999999</v>
      </c>
      <c r="E33" s="80">
        <f t="shared" si="1"/>
        <v>-3.5999999999999999E-3</v>
      </c>
      <c r="F33" s="81">
        <f t="shared" si="0"/>
        <v>-843904</v>
      </c>
    </row>
    <row r="34" spans="1:6">
      <c r="A34" s="77">
        <v>210048</v>
      </c>
      <c r="B34" s="77" t="s">
        <v>45</v>
      </c>
      <c r="C34" s="78">
        <v>211409027.60942188</v>
      </c>
      <c r="D34" s="79">
        <v>0.23269999999999999</v>
      </c>
      <c r="E34" s="80">
        <f t="shared" si="1"/>
        <v>-8.6E-3</v>
      </c>
      <c r="F34" s="81">
        <f t="shared" si="0"/>
        <v>-1818118</v>
      </c>
    </row>
    <row r="35" spans="1:6">
      <c r="A35" s="77">
        <v>210049</v>
      </c>
      <c r="B35" s="77" t="s">
        <v>46</v>
      </c>
      <c r="C35" s="78">
        <v>189719193.58650389</v>
      </c>
      <c r="D35" s="79">
        <v>0.26240000000000002</v>
      </c>
      <c r="E35" s="80">
        <f t="shared" si="1"/>
        <v>-7.1999999999999998E-3</v>
      </c>
      <c r="F35" s="81">
        <f t="shared" si="0"/>
        <v>-1365978</v>
      </c>
    </row>
    <row r="36" spans="1:6">
      <c r="A36" s="77">
        <v>210051</v>
      </c>
      <c r="B36" s="77" t="s">
        <v>47</v>
      </c>
      <c r="C36" s="78">
        <v>180962137.96314165</v>
      </c>
      <c r="D36" s="79">
        <v>0.16919999999999999</v>
      </c>
      <c r="E36" s="80">
        <f t="shared" si="1"/>
        <v>-1.17E-2</v>
      </c>
      <c r="F36" s="81">
        <f t="shared" si="0"/>
        <v>-2117257</v>
      </c>
    </row>
    <row r="37" spans="1:6">
      <c r="A37" s="77">
        <v>210056</v>
      </c>
      <c r="B37" s="77" t="s">
        <v>118</v>
      </c>
      <c r="C37" s="78">
        <v>185901046.41531754</v>
      </c>
      <c r="D37" s="79">
        <v>0.23419999999999999</v>
      </c>
      <c r="E37" s="80">
        <f t="shared" si="1"/>
        <v>-8.6E-3</v>
      </c>
      <c r="F37" s="81">
        <f t="shared" si="0"/>
        <v>-1598749</v>
      </c>
    </row>
    <row r="38" spans="1:6">
      <c r="A38" s="77">
        <v>210057</v>
      </c>
      <c r="B38" s="77" t="s">
        <v>119</v>
      </c>
      <c r="C38" s="78">
        <v>317446406.37621063</v>
      </c>
      <c r="D38" s="79">
        <v>0.1077</v>
      </c>
      <c r="E38" s="80">
        <f t="shared" si="1"/>
        <v>-1.47E-2</v>
      </c>
      <c r="F38" s="81">
        <f t="shared" si="0"/>
        <v>-4666462</v>
      </c>
    </row>
    <row r="39" spans="1:6">
      <c r="A39" s="77">
        <v>210060</v>
      </c>
      <c r="B39" s="77" t="s">
        <v>48</v>
      </c>
      <c r="C39" s="78">
        <v>29662990.1900758</v>
      </c>
      <c r="D39" s="79">
        <v>0.105</v>
      </c>
      <c r="E39" s="80">
        <f t="shared" si="1"/>
        <v>-1.49E-2</v>
      </c>
      <c r="F39" s="81">
        <f t="shared" si="0"/>
        <v>-441979</v>
      </c>
    </row>
    <row r="40" spans="1:6">
      <c r="A40" s="77">
        <v>210061</v>
      </c>
      <c r="B40" s="77" t="s">
        <v>49</v>
      </c>
      <c r="C40" s="78">
        <v>44449448.916606866</v>
      </c>
      <c r="D40" s="79">
        <v>0.18640000000000001</v>
      </c>
      <c r="E40" s="80" cm="1">
        <f t="array" ref="E40">ROUND(IF(D40&gt;=QBR_Highest_Score,QBR_Max_Reward,IF(D40&lt;=QBR_Lowest_Score,QBR_Max_Penalty,IF(D40&gt;=QBR__Threshold,QBR_Max_Reward*(D40-QBR__Threshold)/(QBR_Highest_Score-QBR__Threshold),QBR_Max_Penalty*((D40-QBR__Threshold)/(QBR_Lowest_Score-QBR__Threshold))))),4)</f>
        <v>-1.09E-2</v>
      </c>
      <c r="F40" s="81">
        <f t="shared" si="0"/>
        <v>-484499</v>
      </c>
    </row>
    <row r="41" spans="1:6">
      <c r="A41" s="77">
        <v>210062</v>
      </c>
      <c r="B41" s="77" t="s">
        <v>50</v>
      </c>
      <c r="C41" s="78">
        <v>189090938.60508713</v>
      </c>
      <c r="D41" s="79">
        <v>0.25359999999999999</v>
      </c>
      <c r="E41" s="80">
        <f t="shared" si="1"/>
        <v>-7.6E-3</v>
      </c>
      <c r="F41" s="81">
        <f t="shared" si="0"/>
        <v>-1437091</v>
      </c>
    </row>
    <row r="42" spans="1:6" ht="15.65" customHeight="1">
      <c r="A42" s="77">
        <v>210063</v>
      </c>
      <c r="B42" s="77" t="s">
        <v>51</v>
      </c>
      <c r="C42" s="78">
        <v>267964845.88307279</v>
      </c>
      <c r="D42" s="79">
        <v>0.51449999999999996</v>
      </c>
      <c r="E42" s="80">
        <f t="shared" si="1"/>
        <v>5.4000000000000003E-3</v>
      </c>
      <c r="F42" s="81">
        <f t="shared" si="0"/>
        <v>1447010</v>
      </c>
    </row>
    <row r="43" spans="1:6" ht="21" customHeight="1">
      <c r="A43" s="77">
        <v>210065</v>
      </c>
      <c r="B43" s="77" t="s">
        <v>83</v>
      </c>
      <c r="C43" s="78">
        <v>74788277.035090461</v>
      </c>
      <c r="D43" s="79">
        <v>0.1295</v>
      </c>
      <c r="E43" s="80" cm="1">
        <f t="array" ref="E43">ROUND(IF(D43&gt;=QBR_Highest_Score,QBR_Max_Reward,IF(D43&lt;=QBR_Lowest_Score,QBR_Max_Penalty,IF(D43&gt;=QBR__Threshold,QBR_Max_Reward*(D43-QBR__Threshold)/(QBR_Highest_Score-QBR__Threshold),QBR_Max_Penalty*((D43-QBR__Threshold)/(QBR_Lowest_Score-QBR__Threshold))))),4)</f>
        <v>-1.37E-2</v>
      </c>
      <c r="F43" s="81">
        <f t="shared" si="0"/>
        <v>-1024599</v>
      </c>
    </row>
    <row r="44" spans="1:6" ht="21" customHeight="1">
      <c r="A44" s="77"/>
      <c r="B44" s="77"/>
      <c r="C44" s="78"/>
      <c r="D44" s="79"/>
      <c r="E44" s="80"/>
      <c r="F44" s="81"/>
    </row>
    <row r="45" spans="1:6" ht="21" customHeight="1">
      <c r="A45" s="83"/>
      <c r="B45" s="83"/>
      <c r="C45" s="78"/>
      <c r="D45" s="84"/>
      <c r="E45" s="85"/>
      <c r="F45" s="85"/>
    </row>
    <row r="46" spans="1:6" ht="25.4" customHeight="1">
      <c r="A46" s="86"/>
      <c r="B46" s="87" t="s">
        <v>84</v>
      </c>
      <c r="C46" s="88">
        <f>SUM(C3:C44)</f>
        <v>10726664512.68092</v>
      </c>
      <c r="D46" s="89"/>
      <c r="E46" s="90"/>
      <c r="F46" s="91">
        <f>SUM(F3:F43)</f>
        <v>-97039876</v>
      </c>
    </row>
    <row r="47" spans="1:6">
      <c r="A47" s="92"/>
      <c r="B47" s="93"/>
      <c r="C47" s="94" t="s">
        <v>85</v>
      </c>
      <c r="D47" s="95">
        <f>AVERAGE(D3:D44)</f>
        <v>0.22684878048780488</v>
      </c>
      <c r="E47" s="73"/>
      <c r="F47" s="96">
        <f>F46/C46</f>
        <v>-9.0466030596259208E-3</v>
      </c>
    </row>
    <row r="48" spans="1:6">
      <c r="A48" s="97"/>
      <c r="B48" s="97"/>
      <c r="C48" s="98"/>
      <c r="D48" s="99"/>
      <c r="E48" s="73"/>
      <c r="F48" s="73"/>
    </row>
    <row r="49" spans="1:6">
      <c r="A49" s="97"/>
      <c r="B49" s="100" t="s">
        <v>86</v>
      </c>
      <c r="C49" s="100" t="s">
        <v>87</v>
      </c>
      <c r="E49" s="102" t="s">
        <v>88</v>
      </c>
      <c r="F49" s="103">
        <f>SUMIF(F3:F43,"&lt;0")</f>
        <v>-98545253</v>
      </c>
    </row>
    <row r="50" spans="1:6">
      <c r="A50" s="97"/>
      <c r="B50" s="104" t="s">
        <v>89</v>
      </c>
      <c r="C50" s="104">
        <v>0</v>
      </c>
      <c r="E50" s="105" t="s">
        <v>90</v>
      </c>
      <c r="F50" s="106">
        <f>F49/$C$46</f>
        <v>-9.1869427708400047E-3</v>
      </c>
    </row>
    <row r="51" spans="1:6">
      <c r="A51" s="97"/>
      <c r="B51" s="104" t="s">
        <v>91</v>
      </c>
      <c r="C51" s="104">
        <v>-0.02</v>
      </c>
      <c r="E51" s="102" t="s">
        <v>92</v>
      </c>
      <c r="F51" s="103">
        <f>SUMIF(F3:F43,"&gt;0")</f>
        <v>1505377</v>
      </c>
    </row>
    <row r="52" spans="1:6">
      <c r="A52" s="97"/>
      <c r="B52" s="104" t="s">
        <v>93</v>
      </c>
      <c r="C52" s="104">
        <v>0.8</v>
      </c>
      <c r="E52" s="107" t="s">
        <v>94</v>
      </c>
      <c r="F52" s="108">
        <f>F51/$C$46</f>
        <v>1.4033971121408368E-4</v>
      </c>
    </row>
    <row r="53" spans="1:6">
      <c r="A53" s="97"/>
      <c r="B53" s="104" t="s">
        <v>95</v>
      </c>
      <c r="C53" s="104">
        <v>0.02</v>
      </c>
      <c r="D53" s="109"/>
      <c r="E53" s="73"/>
      <c r="F53" s="73"/>
    </row>
    <row r="54" spans="1:6">
      <c r="A54" s="97"/>
      <c r="B54" s="104" t="s">
        <v>96</v>
      </c>
      <c r="C54" s="153">
        <v>0.41</v>
      </c>
      <c r="D54" s="109"/>
      <c r="E54" s="73"/>
      <c r="F54" s="73"/>
    </row>
    <row r="55" spans="1:6">
      <c r="A55" s="97"/>
      <c r="B55" s="97"/>
      <c r="C55" s="97"/>
      <c r="D55" s="109"/>
      <c r="E55" s="73"/>
      <c r="F55" s="73"/>
    </row>
    <row r="56" spans="1:6">
      <c r="A56" s="97"/>
      <c r="D56" s="109"/>
      <c r="E56" s="73"/>
      <c r="F56" s="73"/>
    </row>
    <row r="57" spans="1:6">
      <c r="A57" s="97"/>
      <c r="D57" s="109"/>
      <c r="E57" s="73"/>
      <c r="F57" s="73"/>
    </row>
    <row r="58" spans="1:6">
      <c r="A58" s="97"/>
      <c r="D58" s="109"/>
      <c r="E58" s="73"/>
      <c r="F58" s="73"/>
    </row>
    <row r="59" spans="1:6">
      <c r="A59" s="97"/>
      <c r="D59" s="109"/>
      <c r="E59" s="73"/>
      <c r="F59" s="73"/>
    </row>
    <row r="60" spans="1:6">
      <c r="A60" s="97"/>
      <c r="D60" s="109"/>
      <c r="E60" s="73"/>
      <c r="F60" s="73"/>
    </row>
    <row r="61" spans="1:6">
      <c r="A61" s="97"/>
      <c r="D61" s="109"/>
      <c r="E61" s="73"/>
      <c r="F61" s="73"/>
    </row>
  </sheetData>
  <conditionalFormatting sqref="F3:F44">
    <cfRule type="colorScale" priority="16">
      <colorScale>
        <cfvo type="min"/>
        <cfvo type="num" val="0"/>
        <cfvo type="max"/>
        <color rgb="FFF8696B"/>
        <color theme="0"/>
        <color rgb="FF63BE7B"/>
      </colorScale>
    </cfRule>
  </conditionalFormatting>
  <conditionalFormatting sqref="E3:E44">
    <cfRule type="colorScale" priority="18">
      <colorScale>
        <cfvo type="min"/>
        <cfvo type="num" val="0"/>
        <cfvo type="max"/>
        <color rgb="FFF8696B"/>
        <color theme="0"/>
        <color rgb="FF63BE7B"/>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8D60B-1664-4CC3-B5F4-111C230D5149}">
  <dimension ref="A1:H61"/>
  <sheetViews>
    <sheetView workbookViewId="0">
      <pane xSplit="3" ySplit="2" topLeftCell="D32" activePane="bottomRight" state="frozen"/>
      <selection pane="topRight" activeCell="D1" sqref="D1"/>
      <selection pane="bottomLeft" activeCell="A3" sqref="A3"/>
      <selection pane="bottomRight" activeCell="C55" sqref="C55"/>
    </sheetView>
  </sheetViews>
  <sheetFormatPr defaultColWidth="8.81640625" defaultRowHeight="15.5"/>
  <cols>
    <col min="1" max="1" width="10.26953125" style="110" customWidth="1"/>
    <col min="2" max="2" width="35.81640625" style="110" bestFit="1" customWidth="1"/>
    <col min="3" max="3" width="21.81640625" style="110" customWidth="1"/>
    <col min="4" max="4" width="17.1796875" style="101" customWidth="1"/>
    <col min="5" max="6" width="21" style="25" customWidth="1"/>
    <col min="7" max="230" width="8.81640625" style="25"/>
    <col min="231" max="231" width="20.7265625" style="25" customWidth="1"/>
    <col min="232" max="232" width="48.453125" style="25" customWidth="1"/>
    <col min="233" max="233" width="25.26953125" style="25" customWidth="1"/>
    <col min="234" max="234" width="20" style="25" customWidth="1"/>
    <col min="235" max="235" width="15" style="25" customWidth="1"/>
    <col min="236" max="236" width="17.453125" style="25" customWidth="1"/>
    <col min="237" max="237" width="24" style="25" customWidth="1"/>
    <col min="238" max="238" width="25.26953125" style="25" customWidth="1"/>
    <col min="239" max="239" width="18.7265625" style="25" customWidth="1"/>
    <col min="240" max="486" width="8.81640625" style="25"/>
    <col min="487" max="487" width="20.7265625" style="25" customWidth="1"/>
    <col min="488" max="488" width="48.453125" style="25" customWidth="1"/>
    <col min="489" max="489" width="25.26953125" style="25" customWidth="1"/>
    <col min="490" max="490" width="20" style="25" customWidth="1"/>
    <col min="491" max="491" width="15" style="25" customWidth="1"/>
    <col min="492" max="492" width="17.453125" style="25" customWidth="1"/>
    <col min="493" max="493" width="24" style="25" customWidth="1"/>
    <col min="494" max="494" width="25.26953125" style="25" customWidth="1"/>
    <col min="495" max="495" width="18.7265625" style="25" customWidth="1"/>
    <col min="496" max="742" width="8.81640625" style="25"/>
    <col min="743" max="743" width="20.7265625" style="25" customWidth="1"/>
    <col min="744" max="744" width="48.453125" style="25" customWidth="1"/>
    <col min="745" max="745" width="25.26953125" style="25" customWidth="1"/>
    <col min="746" max="746" width="20" style="25" customWidth="1"/>
    <col min="747" max="747" width="15" style="25" customWidth="1"/>
    <col min="748" max="748" width="17.453125" style="25" customWidth="1"/>
    <col min="749" max="749" width="24" style="25" customWidth="1"/>
    <col min="750" max="750" width="25.26953125" style="25" customWidth="1"/>
    <col min="751" max="751" width="18.7265625" style="25" customWidth="1"/>
    <col min="752" max="998" width="8.81640625" style="25"/>
    <col min="999" max="999" width="20.7265625" style="25" customWidth="1"/>
    <col min="1000" max="1000" width="48.453125" style="25" customWidth="1"/>
    <col min="1001" max="1001" width="25.26953125" style="25" customWidth="1"/>
    <col min="1002" max="1002" width="20" style="25" customWidth="1"/>
    <col min="1003" max="1003" width="15" style="25" customWidth="1"/>
    <col min="1004" max="1004" width="17.453125" style="25" customWidth="1"/>
    <col min="1005" max="1005" width="24" style="25" customWidth="1"/>
    <col min="1006" max="1006" width="25.26953125" style="25" customWidth="1"/>
    <col min="1007" max="1007" width="18.7265625" style="25" customWidth="1"/>
    <col min="1008" max="1254" width="8.81640625" style="25"/>
    <col min="1255" max="1255" width="20.7265625" style="25" customWidth="1"/>
    <col min="1256" max="1256" width="48.453125" style="25" customWidth="1"/>
    <col min="1257" max="1257" width="25.26953125" style="25" customWidth="1"/>
    <col min="1258" max="1258" width="20" style="25" customWidth="1"/>
    <col min="1259" max="1259" width="15" style="25" customWidth="1"/>
    <col min="1260" max="1260" width="17.453125" style="25" customWidth="1"/>
    <col min="1261" max="1261" width="24" style="25" customWidth="1"/>
    <col min="1262" max="1262" width="25.26953125" style="25" customWidth="1"/>
    <col min="1263" max="1263" width="18.7265625" style="25" customWidth="1"/>
    <col min="1264" max="1510" width="8.81640625" style="25"/>
    <col min="1511" max="1511" width="20.7265625" style="25" customWidth="1"/>
    <col min="1512" max="1512" width="48.453125" style="25" customWidth="1"/>
    <col min="1513" max="1513" width="25.26953125" style="25" customWidth="1"/>
    <col min="1514" max="1514" width="20" style="25" customWidth="1"/>
    <col min="1515" max="1515" width="15" style="25" customWidth="1"/>
    <col min="1516" max="1516" width="17.453125" style="25" customWidth="1"/>
    <col min="1517" max="1517" width="24" style="25" customWidth="1"/>
    <col min="1518" max="1518" width="25.26953125" style="25" customWidth="1"/>
    <col min="1519" max="1519" width="18.7265625" style="25" customWidth="1"/>
    <col min="1520" max="1766" width="8.81640625" style="25"/>
    <col min="1767" max="1767" width="20.7265625" style="25" customWidth="1"/>
    <col min="1768" max="1768" width="48.453125" style="25" customWidth="1"/>
    <col min="1769" max="1769" width="25.26953125" style="25" customWidth="1"/>
    <col min="1770" max="1770" width="20" style="25" customWidth="1"/>
    <col min="1771" max="1771" width="15" style="25" customWidth="1"/>
    <col min="1772" max="1772" width="17.453125" style="25" customWidth="1"/>
    <col min="1773" max="1773" width="24" style="25" customWidth="1"/>
    <col min="1774" max="1774" width="25.26953125" style="25" customWidth="1"/>
    <col min="1775" max="1775" width="18.7265625" style="25" customWidth="1"/>
    <col min="1776" max="2022" width="8.81640625" style="25"/>
    <col min="2023" max="2023" width="20.7265625" style="25" customWidth="1"/>
    <col min="2024" max="2024" width="48.453125" style="25" customWidth="1"/>
    <col min="2025" max="2025" width="25.26953125" style="25" customWidth="1"/>
    <col min="2026" max="2026" width="20" style="25" customWidth="1"/>
    <col min="2027" max="2027" width="15" style="25" customWidth="1"/>
    <col min="2028" max="2028" width="17.453125" style="25" customWidth="1"/>
    <col min="2029" max="2029" width="24" style="25" customWidth="1"/>
    <col min="2030" max="2030" width="25.26953125" style="25" customWidth="1"/>
    <col min="2031" max="2031" width="18.7265625" style="25" customWidth="1"/>
    <col min="2032" max="2278" width="8.81640625" style="25"/>
    <col min="2279" max="2279" width="20.7265625" style="25" customWidth="1"/>
    <col min="2280" max="2280" width="48.453125" style="25" customWidth="1"/>
    <col min="2281" max="2281" width="25.26953125" style="25" customWidth="1"/>
    <col min="2282" max="2282" width="20" style="25" customWidth="1"/>
    <col min="2283" max="2283" width="15" style="25" customWidth="1"/>
    <col min="2284" max="2284" width="17.453125" style="25" customWidth="1"/>
    <col min="2285" max="2285" width="24" style="25" customWidth="1"/>
    <col min="2286" max="2286" width="25.26953125" style="25" customWidth="1"/>
    <col min="2287" max="2287" width="18.7265625" style="25" customWidth="1"/>
    <col min="2288" max="2534" width="8.81640625" style="25"/>
    <col min="2535" max="2535" width="20.7265625" style="25" customWidth="1"/>
    <col min="2536" max="2536" width="48.453125" style="25" customWidth="1"/>
    <col min="2537" max="2537" width="25.26953125" style="25" customWidth="1"/>
    <col min="2538" max="2538" width="20" style="25" customWidth="1"/>
    <col min="2539" max="2539" width="15" style="25" customWidth="1"/>
    <col min="2540" max="2540" width="17.453125" style="25" customWidth="1"/>
    <col min="2541" max="2541" width="24" style="25" customWidth="1"/>
    <col min="2542" max="2542" width="25.26953125" style="25" customWidth="1"/>
    <col min="2543" max="2543" width="18.7265625" style="25" customWidth="1"/>
    <col min="2544" max="2790" width="8.81640625" style="25"/>
    <col min="2791" max="2791" width="20.7265625" style="25" customWidth="1"/>
    <col min="2792" max="2792" width="48.453125" style="25" customWidth="1"/>
    <col min="2793" max="2793" width="25.26953125" style="25" customWidth="1"/>
    <col min="2794" max="2794" width="20" style="25" customWidth="1"/>
    <col min="2795" max="2795" width="15" style="25" customWidth="1"/>
    <col min="2796" max="2796" width="17.453125" style="25" customWidth="1"/>
    <col min="2797" max="2797" width="24" style="25" customWidth="1"/>
    <col min="2798" max="2798" width="25.26953125" style="25" customWidth="1"/>
    <col min="2799" max="2799" width="18.7265625" style="25" customWidth="1"/>
    <col min="2800" max="3046" width="8.81640625" style="25"/>
    <col min="3047" max="3047" width="20.7265625" style="25" customWidth="1"/>
    <col min="3048" max="3048" width="48.453125" style="25" customWidth="1"/>
    <col min="3049" max="3049" width="25.26953125" style="25" customWidth="1"/>
    <col min="3050" max="3050" width="20" style="25" customWidth="1"/>
    <col min="3051" max="3051" width="15" style="25" customWidth="1"/>
    <col min="3052" max="3052" width="17.453125" style="25" customWidth="1"/>
    <col min="3053" max="3053" width="24" style="25" customWidth="1"/>
    <col min="3054" max="3054" width="25.26953125" style="25" customWidth="1"/>
    <col min="3055" max="3055" width="18.7265625" style="25" customWidth="1"/>
    <col min="3056" max="3302" width="8.81640625" style="25"/>
    <col min="3303" max="3303" width="20.7265625" style="25" customWidth="1"/>
    <col min="3304" max="3304" width="48.453125" style="25" customWidth="1"/>
    <col min="3305" max="3305" width="25.26953125" style="25" customWidth="1"/>
    <col min="3306" max="3306" width="20" style="25" customWidth="1"/>
    <col min="3307" max="3307" width="15" style="25" customWidth="1"/>
    <col min="3308" max="3308" width="17.453125" style="25" customWidth="1"/>
    <col min="3309" max="3309" width="24" style="25" customWidth="1"/>
    <col min="3310" max="3310" width="25.26953125" style="25" customWidth="1"/>
    <col min="3311" max="3311" width="18.7265625" style="25" customWidth="1"/>
    <col min="3312" max="3558" width="8.81640625" style="25"/>
    <col min="3559" max="3559" width="20.7265625" style="25" customWidth="1"/>
    <col min="3560" max="3560" width="48.453125" style="25" customWidth="1"/>
    <col min="3561" max="3561" width="25.26953125" style="25" customWidth="1"/>
    <col min="3562" max="3562" width="20" style="25" customWidth="1"/>
    <col min="3563" max="3563" width="15" style="25" customWidth="1"/>
    <col min="3564" max="3564" width="17.453125" style="25" customWidth="1"/>
    <col min="3565" max="3565" width="24" style="25" customWidth="1"/>
    <col min="3566" max="3566" width="25.26953125" style="25" customWidth="1"/>
    <col min="3567" max="3567" width="18.7265625" style="25" customWidth="1"/>
    <col min="3568" max="3814" width="8.81640625" style="25"/>
    <col min="3815" max="3815" width="20.7265625" style="25" customWidth="1"/>
    <col min="3816" max="3816" width="48.453125" style="25" customWidth="1"/>
    <col min="3817" max="3817" width="25.26953125" style="25" customWidth="1"/>
    <col min="3818" max="3818" width="20" style="25" customWidth="1"/>
    <col min="3819" max="3819" width="15" style="25" customWidth="1"/>
    <col min="3820" max="3820" width="17.453125" style="25" customWidth="1"/>
    <col min="3821" max="3821" width="24" style="25" customWidth="1"/>
    <col min="3822" max="3822" width="25.26953125" style="25" customWidth="1"/>
    <col min="3823" max="3823" width="18.7265625" style="25" customWidth="1"/>
    <col min="3824" max="4070" width="8.81640625" style="25"/>
    <col min="4071" max="4071" width="20.7265625" style="25" customWidth="1"/>
    <col min="4072" max="4072" width="48.453125" style="25" customWidth="1"/>
    <col min="4073" max="4073" width="25.26953125" style="25" customWidth="1"/>
    <col min="4074" max="4074" width="20" style="25" customWidth="1"/>
    <col min="4075" max="4075" width="15" style="25" customWidth="1"/>
    <col min="4076" max="4076" width="17.453125" style="25" customWidth="1"/>
    <col min="4077" max="4077" width="24" style="25" customWidth="1"/>
    <col min="4078" max="4078" width="25.26953125" style="25" customWidth="1"/>
    <col min="4079" max="4079" width="18.7265625" style="25" customWidth="1"/>
    <col min="4080" max="4326" width="8.81640625" style="25"/>
    <col min="4327" max="4327" width="20.7265625" style="25" customWidth="1"/>
    <col min="4328" max="4328" width="48.453125" style="25" customWidth="1"/>
    <col min="4329" max="4329" width="25.26953125" style="25" customWidth="1"/>
    <col min="4330" max="4330" width="20" style="25" customWidth="1"/>
    <col min="4331" max="4331" width="15" style="25" customWidth="1"/>
    <col min="4332" max="4332" width="17.453125" style="25" customWidth="1"/>
    <col min="4333" max="4333" width="24" style="25" customWidth="1"/>
    <col min="4334" max="4334" width="25.26953125" style="25" customWidth="1"/>
    <col min="4335" max="4335" width="18.7265625" style="25" customWidth="1"/>
    <col min="4336" max="4582" width="8.81640625" style="25"/>
    <col min="4583" max="4583" width="20.7265625" style="25" customWidth="1"/>
    <col min="4584" max="4584" width="48.453125" style="25" customWidth="1"/>
    <col min="4585" max="4585" width="25.26953125" style="25" customWidth="1"/>
    <col min="4586" max="4586" width="20" style="25" customWidth="1"/>
    <col min="4587" max="4587" width="15" style="25" customWidth="1"/>
    <col min="4588" max="4588" width="17.453125" style="25" customWidth="1"/>
    <col min="4589" max="4589" width="24" style="25" customWidth="1"/>
    <col min="4590" max="4590" width="25.26953125" style="25" customWidth="1"/>
    <col min="4591" max="4591" width="18.7265625" style="25" customWidth="1"/>
    <col min="4592" max="4838" width="8.81640625" style="25"/>
    <col min="4839" max="4839" width="20.7265625" style="25" customWidth="1"/>
    <col min="4840" max="4840" width="48.453125" style="25" customWidth="1"/>
    <col min="4841" max="4841" width="25.26953125" style="25" customWidth="1"/>
    <col min="4842" max="4842" width="20" style="25" customWidth="1"/>
    <col min="4843" max="4843" width="15" style="25" customWidth="1"/>
    <col min="4844" max="4844" width="17.453125" style="25" customWidth="1"/>
    <col min="4845" max="4845" width="24" style="25" customWidth="1"/>
    <col min="4846" max="4846" width="25.26953125" style="25" customWidth="1"/>
    <col min="4847" max="4847" width="18.7265625" style="25" customWidth="1"/>
    <col min="4848" max="5094" width="8.81640625" style="25"/>
    <col min="5095" max="5095" width="20.7265625" style="25" customWidth="1"/>
    <col min="5096" max="5096" width="48.453125" style="25" customWidth="1"/>
    <col min="5097" max="5097" width="25.26953125" style="25" customWidth="1"/>
    <col min="5098" max="5098" width="20" style="25" customWidth="1"/>
    <col min="5099" max="5099" width="15" style="25" customWidth="1"/>
    <col min="5100" max="5100" width="17.453125" style="25" customWidth="1"/>
    <col min="5101" max="5101" width="24" style="25" customWidth="1"/>
    <col min="5102" max="5102" width="25.26953125" style="25" customWidth="1"/>
    <col min="5103" max="5103" width="18.7265625" style="25" customWidth="1"/>
    <col min="5104" max="5350" width="8.81640625" style="25"/>
    <col min="5351" max="5351" width="20.7265625" style="25" customWidth="1"/>
    <col min="5352" max="5352" width="48.453125" style="25" customWidth="1"/>
    <col min="5353" max="5353" width="25.26953125" style="25" customWidth="1"/>
    <col min="5354" max="5354" width="20" style="25" customWidth="1"/>
    <col min="5355" max="5355" width="15" style="25" customWidth="1"/>
    <col min="5356" max="5356" width="17.453125" style="25" customWidth="1"/>
    <col min="5357" max="5357" width="24" style="25" customWidth="1"/>
    <col min="5358" max="5358" width="25.26953125" style="25" customWidth="1"/>
    <col min="5359" max="5359" width="18.7265625" style="25" customWidth="1"/>
    <col min="5360" max="5606" width="8.81640625" style="25"/>
    <col min="5607" max="5607" width="20.7265625" style="25" customWidth="1"/>
    <col min="5608" max="5608" width="48.453125" style="25" customWidth="1"/>
    <col min="5609" max="5609" width="25.26953125" style="25" customWidth="1"/>
    <col min="5610" max="5610" width="20" style="25" customWidth="1"/>
    <col min="5611" max="5611" width="15" style="25" customWidth="1"/>
    <col min="5612" max="5612" width="17.453125" style="25" customWidth="1"/>
    <col min="5613" max="5613" width="24" style="25" customWidth="1"/>
    <col min="5614" max="5614" width="25.26953125" style="25" customWidth="1"/>
    <col min="5615" max="5615" width="18.7265625" style="25" customWidth="1"/>
    <col min="5616" max="5862" width="8.81640625" style="25"/>
    <col min="5863" max="5863" width="20.7265625" style="25" customWidth="1"/>
    <col min="5864" max="5864" width="48.453125" style="25" customWidth="1"/>
    <col min="5865" max="5865" width="25.26953125" style="25" customWidth="1"/>
    <col min="5866" max="5866" width="20" style="25" customWidth="1"/>
    <col min="5867" max="5867" width="15" style="25" customWidth="1"/>
    <col min="5868" max="5868" width="17.453125" style="25" customWidth="1"/>
    <col min="5869" max="5869" width="24" style="25" customWidth="1"/>
    <col min="5870" max="5870" width="25.26953125" style="25" customWidth="1"/>
    <col min="5871" max="5871" width="18.7265625" style="25" customWidth="1"/>
    <col min="5872" max="6118" width="8.81640625" style="25"/>
    <col min="6119" max="6119" width="20.7265625" style="25" customWidth="1"/>
    <col min="6120" max="6120" width="48.453125" style="25" customWidth="1"/>
    <col min="6121" max="6121" width="25.26953125" style="25" customWidth="1"/>
    <col min="6122" max="6122" width="20" style="25" customWidth="1"/>
    <col min="6123" max="6123" width="15" style="25" customWidth="1"/>
    <col min="6124" max="6124" width="17.453125" style="25" customWidth="1"/>
    <col min="6125" max="6125" width="24" style="25" customWidth="1"/>
    <col min="6126" max="6126" width="25.26953125" style="25" customWidth="1"/>
    <col min="6127" max="6127" width="18.7265625" style="25" customWidth="1"/>
    <col min="6128" max="6374" width="8.81640625" style="25"/>
    <col min="6375" max="6375" width="20.7265625" style="25" customWidth="1"/>
    <col min="6376" max="6376" width="48.453125" style="25" customWidth="1"/>
    <col min="6377" max="6377" width="25.26953125" style="25" customWidth="1"/>
    <col min="6378" max="6378" width="20" style="25" customWidth="1"/>
    <col min="6379" max="6379" width="15" style="25" customWidth="1"/>
    <col min="6380" max="6380" width="17.453125" style="25" customWidth="1"/>
    <col min="6381" max="6381" width="24" style="25" customWidth="1"/>
    <col min="6382" max="6382" width="25.26953125" style="25" customWidth="1"/>
    <col min="6383" max="6383" width="18.7265625" style="25" customWidth="1"/>
    <col min="6384" max="6630" width="8.81640625" style="25"/>
    <col min="6631" max="6631" width="20.7265625" style="25" customWidth="1"/>
    <col min="6632" max="6632" width="48.453125" style="25" customWidth="1"/>
    <col min="6633" max="6633" width="25.26953125" style="25" customWidth="1"/>
    <col min="6634" max="6634" width="20" style="25" customWidth="1"/>
    <col min="6635" max="6635" width="15" style="25" customWidth="1"/>
    <col min="6636" max="6636" width="17.453125" style="25" customWidth="1"/>
    <col min="6637" max="6637" width="24" style="25" customWidth="1"/>
    <col min="6638" max="6638" width="25.26953125" style="25" customWidth="1"/>
    <col min="6639" max="6639" width="18.7265625" style="25" customWidth="1"/>
    <col min="6640" max="6886" width="8.81640625" style="25"/>
    <col min="6887" max="6887" width="20.7265625" style="25" customWidth="1"/>
    <col min="6888" max="6888" width="48.453125" style="25" customWidth="1"/>
    <col min="6889" max="6889" width="25.26953125" style="25" customWidth="1"/>
    <col min="6890" max="6890" width="20" style="25" customWidth="1"/>
    <col min="6891" max="6891" width="15" style="25" customWidth="1"/>
    <col min="6892" max="6892" width="17.453125" style="25" customWidth="1"/>
    <col min="6893" max="6893" width="24" style="25" customWidth="1"/>
    <col min="6894" max="6894" width="25.26953125" style="25" customWidth="1"/>
    <col min="6895" max="6895" width="18.7265625" style="25" customWidth="1"/>
    <col min="6896" max="7142" width="8.81640625" style="25"/>
    <col min="7143" max="7143" width="20.7265625" style="25" customWidth="1"/>
    <col min="7144" max="7144" width="48.453125" style="25" customWidth="1"/>
    <col min="7145" max="7145" width="25.26953125" style="25" customWidth="1"/>
    <col min="7146" max="7146" width="20" style="25" customWidth="1"/>
    <col min="7147" max="7147" width="15" style="25" customWidth="1"/>
    <col min="7148" max="7148" width="17.453125" style="25" customWidth="1"/>
    <col min="7149" max="7149" width="24" style="25" customWidth="1"/>
    <col min="7150" max="7150" width="25.26953125" style="25" customWidth="1"/>
    <col min="7151" max="7151" width="18.7265625" style="25" customWidth="1"/>
    <col min="7152" max="7398" width="8.81640625" style="25"/>
    <col min="7399" max="7399" width="20.7265625" style="25" customWidth="1"/>
    <col min="7400" max="7400" width="48.453125" style="25" customWidth="1"/>
    <col min="7401" max="7401" width="25.26953125" style="25" customWidth="1"/>
    <col min="7402" max="7402" width="20" style="25" customWidth="1"/>
    <col min="7403" max="7403" width="15" style="25" customWidth="1"/>
    <col min="7404" max="7404" width="17.453125" style="25" customWidth="1"/>
    <col min="7405" max="7405" width="24" style="25" customWidth="1"/>
    <col min="7406" max="7406" width="25.26953125" style="25" customWidth="1"/>
    <col min="7407" max="7407" width="18.7265625" style="25" customWidth="1"/>
    <col min="7408" max="7654" width="8.81640625" style="25"/>
    <col min="7655" max="7655" width="20.7265625" style="25" customWidth="1"/>
    <col min="7656" max="7656" width="48.453125" style="25" customWidth="1"/>
    <col min="7657" max="7657" width="25.26953125" style="25" customWidth="1"/>
    <col min="7658" max="7658" width="20" style="25" customWidth="1"/>
    <col min="7659" max="7659" width="15" style="25" customWidth="1"/>
    <col min="7660" max="7660" width="17.453125" style="25" customWidth="1"/>
    <col min="7661" max="7661" width="24" style="25" customWidth="1"/>
    <col min="7662" max="7662" width="25.26953125" style="25" customWidth="1"/>
    <col min="7663" max="7663" width="18.7265625" style="25" customWidth="1"/>
    <col min="7664" max="7910" width="8.81640625" style="25"/>
    <col min="7911" max="7911" width="20.7265625" style="25" customWidth="1"/>
    <col min="7912" max="7912" width="48.453125" style="25" customWidth="1"/>
    <col min="7913" max="7913" width="25.26953125" style="25" customWidth="1"/>
    <col min="7914" max="7914" width="20" style="25" customWidth="1"/>
    <col min="7915" max="7915" width="15" style="25" customWidth="1"/>
    <col min="7916" max="7916" width="17.453125" style="25" customWidth="1"/>
    <col min="7917" max="7917" width="24" style="25" customWidth="1"/>
    <col min="7918" max="7918" width="25.26953125" style="25" customWidth="1"/>
    <col min="7919" max="7919" width="18.7265625" style="25" customWidth="1"/>
    <col min="7920" max="8166" width="8.81640625" style="25"/>
    <col min="8167" max="8167" width="20.7265625" style="25" customWidth="1"/>
    <col min="8168" max="8168" width="48.453125" style="25" customWidth="1"/>
    <col min="8169" max="8169" width="25.26953125" style="25" customWidth="1"/>
    <col min="8170" max="8170" width="20" style="25" customWidth="1"/>
    <col min="8171" max="8171" width="15" style="25" customWidth="1"/>
    <col min="8172" max="8172" width="17.453125" style="25" customWidth="1"/>
    <col min="8173" max="8173" width="24" style="25" customWidth="1"/>
    <col min="8174" max="8174" width="25.26953125" style="25" customWidth="1"/>
    <col min="8175" max="8175" width="18.7265625" style="25" customWidth="1"/>
    <col min="8176" max="8422" width="8.81640625" style="25"/>
    <col min="8423" max="8423" width="20.7265625" style="25" customWidth="1"/>
    <col min="8424" max="8424" width="48.453125" style="25" customWidth="1"/>
    <col min="8425" max="8425" width="25.26953125" style="25" customWidth="1"/>
    <col min="8426" max="8426" width="20" style="25" customWidth="1"/>
    <col min="8427" max="8427" width="15" style="25" customWidth="1"/>
    <col min="8428" max="8428" width="17.453125" style="25" customWidth="1"/>
    <col min="8429" max="8429" width="24" style="25" customWidth="1"/>
    <col min="8430" max="8430" width="25.26953125" style="25" customWidth="1"/>
    <col min="8431" max="8431" width="18.7265625" style="25" customWidth="1"/>
    <col min="8432" max="8678" width="8.81640625" style="25"/>
    <col min="8679" max="8679" width="20.7265625" style="25" customWidth="1"/>
    <col min="8680" max="8680" width="48.453125" style="25" customWidth="1"/>
    <col min="8681" max="8681" width="25.26953125" style="25" customWidth="1"/>
    <col min="8682" max="8682" width="20" style="25" customWidth="1"/>
    <col min="8683" max="8683" width="15" style="25" customWidth="1"/>
    <col min="8684" max="8684" width="17.453125" style="25" customWidth="1"/>
    <col min="8685" max="8685" width="24" style="25" customWidth="1"/>
    <col min="8686" max="8686" width="25.26953125" style="25" customWidth="1"/>
    <col min="8687" max="8687" width="18.7265625" style="25" customWidth="1"/>
    <col min="8688" max="8934" width="8.81640625" style="25"/>
    <col min="8935" max="8935" width="20.7265625" style="25" customWidth="1"/>
    <col min="8936" max="8936" width="48.453125" style="25" customWidth="1"/>
    <col min="8937" max="8937" width="25.26953125" style="25" customWidth="1"/>
    <col min="8938" max="8938" width="20" style="25" customWidth="1"/>
    <col min="8939" max="8939" width="15" style="25" customWidth="1"/>
    <col min="8940" max="8940" width="17.453125" style="25" customWidth="1"/>
    <col min="8941" max="8941" width="24" style="25" customWidth="1"/>
    <col min="8942" max="8942" width="25.26953125" style="25" customWidth="1"/>
    <col min="8943" max="8943" width="18.7265625" style="25" customWidth="1"/>
    <col min="8944" max="9190" width="8.81640625" style="25"/>
    <col min="9191" max="9191" width="20.7265625" style="25" customWidth="1"/>
    <col min="9192" max="9192" width="48.453125" style="25" customWidth="1"/>
    <col min="9193" max="9193" width="25.26953125" style="25" customWidth="1"/>
    <col min="9194" max="9194" width="20" style="25" customWidth="1"/>
    <col min="9195" max="9195" width="15" style="25" customWidth="1"/>
    <col min="9196" max="9196" width="17.453125" style="25" customWidth="1"/>
    <col min="9197" max="9197" width="24" style="25" customWidth="1"/>
    <col min="9198" max="9198" width="25.26953125" style="25" customWidth="1"/>
    <col min="9199" max="9199" width="18.7265625" style="25" customWidth="1"/>
    <col min="9200" max="9446" width="8.81640625" style="25"/>
    <col min="9447" max="9447" width="20.7265625" style="25" customWidth="1"/>
    <col min="9448" max="9448" width="48.453125" style="25" customWidth="1"/>
    <col min="9449" max="9449" width="25.26953125" style="25" customWidth="1"/>
    <col min="9450" max="9450" width="20" style="25" customWidth="1"/>
    <col min="9451" max="9451" width="15" style="25" customWidth="1"/>
    <col min="9452" max="9452" width="17.453125" style="25" customWidth="1"/>
    <col min="9453" max="9453" width="24" style="25" customWidth="1"/>
    <col min="9454" max="9454" width="25.26953125" style="25" customWidth="1"/>
    <col min="9455" max="9455" width="18.7265625" style="25" customWidth="1"/>
    <col min="9456" max="9702" width="8.81640625" style="25"/>
    <col min="9703" max="9703" width="20.7265625" style="25" customWidth="1"/>
    <col min="9704" max="9704" width="48.453125" style="25" customWidth="1"/>
    <col min="9705" max="9705" width="25.26953125" style="25" customWidth="1"/>
    <col min="9706" max="9706" width="20" style="25" customWidth="1"/>
    <col min="9707" max="9707" width="15" style="25" customWidth="1"/>
    <col min="9708" max="9708" width="17.453125" style="25" customWidth="1"/>
    <col min="9709" max="9709" width="24" style="25" customWidth="1"/>
    <col min="9710" max="9710" width="25.26953125" style="25" customWidth="1"/>
    <col min="9711" max="9711" width="18.7265625" style="25" customWidth="1"/>
    <col min="9712" max="9958" width="8.81640625" style="25"/>
    <col min="9959" max="9959" width="20.7265625" style="25" customWidth="1"/>
    <col min="9960" max="9960" width="48.453125" style="25" customWidth="1"/>
    <col min="9961" max="9961" width="25.26953125" style="25" customWidth="1"/>
    <col min="9962" max="9962" width="20" style="25" customWidth="1"/>
    <col min="9963" max="9963" width="15" style="25" customWidth="1"/>
    <col min="9964" max="9964" width="17.453125" style="25" customWidth="1"/>
    <col min="9965" max="9965" width="24" style="25" customWidth="1"/>
    <col min="9966" max="9966" width="25.26953125" style="25" customWidth="1"/>
    <col min="9967" max="9967" width="18.7265625" style="25" customWidth="1"/>
    <col min="9968" max="10214" width="8.81640625" style="25"/>
    <col min="10215" max="10215" width="20.7265625" style="25" customWidth="1"/>
    <col min="10216" max="10216" width="48.453125" style="25" customWidth="1"/>
    <col min="10217" max="10217" width="25.26953125" style="25" customWidth="1"/>
    <col min="10218" max="10218" width="20" style="25" customWidth="1"/>
    <col min="10219" max="10219" width="15" style="25" customWidth="1"/>
    <col min="10220" max="10220" width="17.453125" style="25" customWidth="1"/>
    <col min="10221" max="10221" width="24" style="25" customWidth="1"/>
    <col min="10222" max="10222" width="25.26953125" style="25" customWidth="1"/>
    <col min="10223" max="10223" width="18.7265625" style="25" customWidth="1"/>
    <col min="10224" max="10470" width="8.81640625" style="25"/>
    <col min="10471" max="10471" width="20.7265625" style="25" customWidth="1"/>
    <col min="10472" max="10472" width="48.453125" style="25" customWidth="1"/>
    <col min="10473" max="10473" width="25.26953125" style="25" customWidth="1"/>
    <col min="10474" max="10474" width="20" style="25" customWidth="1"/>
    <col min="10475" max="10475" width="15" style="25" customWidth="1"/>
    <col min="10476" max="10476" width="17.453125" style="25" customWidth="1"/>
    <col min="10477" max="10477" width="24" style="25" customWidth="1"/>
    <col min="10478" max="10478" width="25.26953125" style="25" customWidth="1"/>
    <col min="10479" max="10479" width="18.7265625" style="25" customWidth="1"/>
    <col min="10480" max="10726" width="8.81640625" style="25"/>
    <col min="10727" max="10727" width="20.7265625" style="25" customWidth="1"/>
    <col min="10728" max="10728" width="48.453125" style="25" customWidth="1"/>
    <col min="10729" max="10729" width="25.26953125" style="25" customWidth="1"/>
    <col min="10730" max="10730" width="20" style="25" customWidth="1"/>
    <col min="10731" max="10731" width="15" style="25" customWidth="1"/>
    <col min="10732" max="10732" width="17.453125" style="25" customWidth="1"/>
    <col min="10733" max="10733" width="24" style="25" customWidth="1"/>
    <col min="10734" max="10734" width="25.26953125" style="25" customWidth="1"/>
    <col min="10735" max="10735" width="18.7265625" style="25" customWidth="1"/>
    <col min="10736" max="10982" width="8.81640625" style="25"/>
    <col min="10983" max="10983" width="20.7265625" style="25" customWidth="1"/>
    <col min="10984" max="10984" width="48.453125" style="25" customWidth="1"/>
    <col min="10985" max="10985" width="25.26953125" style="25" customWidth="1"/>
    <col min="10986" max="10986" width="20" style="25" customWidth="1"/>
    <col min="10987" max="10987" width="15" style="25" customWidth="1"/>
    <col min="10988" max="10988" width="17.453125" style="25" customWidth="1"/>
    <col min="10989" max="10989" width="24" style="25" customWidth="1"/>
    <col min="10990" max="10990" width="25.26953125" style="25" customWidth="1"/>
    <col min="10991" max="10991" width="18.7265625" style="25" customWidth="1"/>
    <col min="10992" max="11238" width="8.81640625" style="25"/>
    <col min="11239" max="11239" width="20.7265625" style="25" customWidth="1"/>
    <col min="11240" max="11240" width="48.453125" style="25" customWidth="1"/>
    <col min="11241" max="11241" width="25.26953125" style="25" customWidth="1"/>
    <col min="11242" max="11242" width="20" style="25" customWidth="1"/>
    <col min="11243" max="11243" width="15" style="25" customWidth="1"/>
    <col min="11244" max="11244" width="17.453125" style="25" customWidth="1"/>
    <col min="11245" max="11245" width="24" style="25" customWidth="1"/>
    <col min="11246" max="11246" width="25.26953125" style="25" customWidth="1"/>
    <col min="11247" max="11247" width="18.7265625" style="25" customWidth="1"/>
    <col min="11248" max="11494" width="8.81640625" style="25"/>
    <col min="11495" max="11495" width="20.7265625" style="25" customWidth="1"/>
    <col min="11496" max="11496" width="48.453125" style="25" customWidth="1"/>
    <col min="11497" max="11497" width="25.26953125" style="25" customWidth="1"/>
    <col min="11498" max="11498" width="20" style="25" customWidth="1"/>
    <col min="11499" max="11499" width="15" style="25" customWidth="1"/>
    <col min="11500" max="11500" width="17.453125" style="25" customWidth="1"/>
    <col min="11501" max="11501" width="24" style="25" customWidth="1"/>
    <col min="11502" max="11502" width="25.26953125" style="25" customWidth="1"/>
    <col min="11503" max="11503" width="18.7265625" style="25" customWidth="1"/>
    <col min="11504" max="11750" width="8.81640625" style="25"/>
    <col min="11751" max="11751" width="20.7265625" style="25" customWidth="1"/>
    <col min="11752" max="11752" width="48.453125" style="25" customWidth="1"/>
    <col min="11753" max="11753" width="25.26953125" style="25" customWidth="1"/>
    <col min="11754" max="11754" width="20" style="25" customWidth="1"/>
    <col min="11755" max="11755" width="15" style="25" customWidth="1"/>
    <col min="11756" max="11756" width="17.453125" style="25" customWidth="1"/>
    <col min="11757" max="11757" width="24" style="25" customWidth="1"/>
    <col min="11758" max="11758" width="25.26953125" style="25" customWidth="1"/>
    <col min="11759" max="11759" width="18.7265625" style="25" customWidth="1"/>
    <col min="11760" max="12006" width="8.81640625" style="25"/>
    <col min="12007" max="12007" width="20.7265625" style="25" customWidth="1"/>
    <col min="12008" max="12008" width="48.453125" style="25" customWidth="1"/>
    <col min="12009" max="12009" width="25.26953125" style="25" customWidth="1"/>
    <col min="12010" max="12010" width="20" style="25" customWidth="1"/>
    <col min="12011" max="12011" width="15" style="25" customWidth="1"/>
    <col min="12012" max="12012" width="17.453125" style="25" customWidth="1"/>
    <col min="12013" max="12013" width="24" style="25" customWidth="1"/>
    <col min="12014" max="12014" width="25.26953125" style="25" customWidth="1"/>
    <col min="12015" max="12015" width="18.7265625" style="25" customWidth="1"/>
    <col min="12016" max="12262" width="8.81640625" style="25"/>
    <col min="12263" max="12263" width="20.7265625" style="25" customWidth="1"/>
    <col min="12264" max="12264" width="48.453125" style="25" customWidth="1"/>
    <col min="12265" max="12265" width="25.26953125" style="25" customWidth="1"/>
    <col min="12266" max="12266" width="20" style="25" customWidth="1"/>
    <col min="12267" max="12267" width="15" style="25" customWidth="1"/>
    <col min="12268" max="12268" width="17.453125" style="25" customWidth="1"/>
    <col min="12269" max="12269" width="24" style="25" customWidth="1"/>
    <col min="12270" max="12270" width="25.26953125" style="25" customWidth="1"/>
    <col min="12271" max="12271" width="18.7265625" style="25" customWidth="1"/>
    <col min="12272" max="12518" width="8.81640625" style="25"/>
    <col min="12519" max="12519" width="20.7265625" style="25" customWidth="1"/>
    <col min="12520" max="12520" width="48.453125" style="25" customWidth="1"/>
    <col min="12521" max="12521" width="25.26953125" style="25" customWidth="1"/>
    <col min="12522" max="12522" width="20" style="25" customWidth="1"/>
    <col min="12523" max="12523" width="15" style="25" customWidth="1"/>
    <col min="12524" max="12524" width="17.453125" style="25" customWidth="1"/>
    <col min="12525" max="12525" width="24" style="25" customWidth="1"/>
    <col min="12526" max="12526" width="25.26953125" style="25" customWidth="1"/>
    <col min="12527" max="12527" width="18.7265625" style="25" customWidth="1"/>
    <col min="12528" max="12774" width="8.81640625" style="25"/>
    <col min="12775" max="12775" width="20.7265625" style="25" customWidth="1"/>
    <col min="12776" max="12776" width="48.453125" style="25" customWidth="1"/>
    <col min="12777" max="12777" width="25.26953125" style="25" customWidth="1"/>
    <col min="12778" max="12778" width="20" style="25" customWidth="1"/>
    <col min="12779" max="12779" width="15" style="25" customWidth="1"/>
    <col min="12780" max="12780" width="17.453125" style="25" customWidth="1"/>
    <col min="12781" max="12781" width="24" style="25" customWidth="1"/>
    <col min="12782" max="12782" width="25.26953125" style="25" customWidth="1"/>
    <col min="12783" max="12783" width="18.7265625" style="25" customWidth="1"/>
    <col min="12784" max="13030" width="8.81640625" style="25"/>
    <col min="13031" max="13031" width="20.7265625" style="25" customWidth="1"/>
    <col min="13032" max="13032" width="48.453125" style="25" customWidth="1"/>
    <col min="13033" max="13033" width="25.26953125" style="25" customWidth="1"/>
    <col min="13034" max="13034" width="20" style="25" customWidth="1"/>
    <col min="13035" max="13035" width="15" style="25" customWidth="1"/>
    <col min="13036" max="13036" width="17.453125" style="25" customWidth="1"/>
    <col min="13037" max="13037" width="24" style="25" customWidth="1"/>
    <col min="13038" max="13038" width="25.26953125" style="25" customWidth="1"/>
    <col min="13039" max="13039" width="18.7265625" style="25" customWidth="1"/>
    <col min="13040" max="13286" width="8.81640625" style="25"/>
    <col min="13287" max="13287" width="20.7265625" style="25" customWidth="1"/>
    <col min="13288" max="13288" width="48.453125" style="25" customWidth="1"/>
    <col min="13289" max="13289" width="25.26953125" style="25" customWidth="1"/>
    <col min="13290" max="13290" width="20" style="25" customWidth="1"/>
    <col min="13291" max="13291" width="15" style="25" customWidth="1"/>
    <col min="13292" max="13292" width="17.453125" style="25" customWidth="1"/>
    <col min="13293" max="13293" width="24" style="25" customWidth="1"/>
    <col min="13294" max="13294" width="25.26953125" style="25" customWidth="1"/>
    <col min="13295" max="13295" width="18.7265625" style="25" customWidth="1"/>
    <col min="13296" max="13542" width="8.81640625" style="25"/>
    <col min="13543" max="13543" width="20.7265625" style="25" customWidth="1"/>
    <col min="13544" max="13544" width="48.453125" style="25" customWidth="1"/>
    <col min="13545" max="13545" width="25.26953125" style="25" customWidth="1"/>
    <col min="13546" max="13546" width="20" style="25" customWidth="1"/>
    <col min="13547" max="13547" width="15" style="25" customWidth="1"/>
    <col min="13548" max="13548" width="17.453125" style="25" customWidth="1"/>
    <col min="13549" max="13549" width="24" style="25" customWidth="1"/>
    <col min="13550" max="13550" width="25.26953125" style="25" customWidth="1"/>
    <col min="13551" max="13551" width="18.7265625" style="25" customWidth="1"/>
    <col min="13552" max="13798" width="8.81640625" style="25"/>
    <col min="13799" max="13799" width="20.7265625" style="25" customWidth="1"/>
    <col min="13800" max="13800" width="48.453125" style="25" customWidth="1"/>
    <col min="13801" max="13801" width="25.26953125" style="25" customWidth="1"/>
    <col min="13802" max="13802" width="20" style="25" customWidth="1"/>
    <col min="13803" max="13803" width="15" style="25" customWidth="1"/>
    <col min="13804" max="13804" width="17.453125" style="25" customWidth="1"/>
    <col min="13805" max="13805" width="24" style="25" customWidth="1"/>
    <col min="13806" max="13806" width="25.26953125" style="25" customWidth="1"/>
    <col min="13807" max="13807" width="18.7265625" style="25" customWidth="1"/>
    <col min="13808" max="14054" width="8.81640625" style="25"/>
    <col min="14055" max="14055" width="20.7265625" style="25" customWidth="1"/>
    <col min="14056" max="14056" width="48.453125" style="25" customWidth="1"/>
    <col min="14057" max="14057" width="25.26953125" style="25" customWidth="1"/>
    <col min="14058" max="14058" width="20" style="25" customWidth="1"/>
    <col min="14059" max="14059" width="15" style="25" customWidth="1"/>
    <col min="14060" max="14060" width="17.453125" style="25" customWidth="1"/>
    <col min="14061" max="14061" width="24" style="25" customWidth="1"/>
    <col min="14062" max="14062" width="25.26953125" style="25" customWidth="1"/>
    <col min="14063" max="14063" width="18.7265625" style="25" customWidth="1"/>
    <col min="14064" max="14310" width="8.81640625" style="25"/>
    <col min="14311" max="14311" width="20.7265625" style="25" customWidth="1"/>
    <col min="14312" max="14312" width="48.453125" style="25" customWidth="1"/>
    <col min="14313" max="14313" width="25.26953125" style="25" customWidth="1"/>
    <col min="14314" max="14314" width="20" style="25" customWidth="1"/>
    <col min="14315" max="14315" width="15" style="25" customWidth="1"/>
    <col min="14316" max="14316" width="17.453125" style="25" customWidth="1"/>
    <col min="14317" max="14317" width="24" style="25" customWidth="1"/>
    <col min="14318" max="14318" width="25.26953125" style="25" customWidth="1"/>
    <col min="14319" max="14319" width="18.7265625" style="25" customWidth="1"/>
    <col min="14320" max="14566" width="8.81640625" style="25"/>
    <col min="14567" max="14567" width="20.7265625" style="25" customWidth="1"/>
    <col min="14568" max="14568" width="48.453125" style="25" customWidth="1"/>
    <col min="14569" max="14569" width="25.26953125" style="25" customWidth="1"/>
    <col min="14570" max="14570" width="20" style="25" customWidth="1"/>
    <col min="14571" max="14571" width="15" style="25" customWidth="1"/>
    <col min="14572" max="14572" width="17.453125" style="25" customWidth="1"/>
    <col min="14573" max="14573" width="24" style="25" customWidth="1"/>
    <col min="14574" max="14574" width="25.26953125" style="25" customWidth="1"/>
    <col min="14575" max="14575" width="18.7265625" style="25" customWidth="1"/>
    <col min="14576" max="14822" width="8.81640625" style="25"/>
    <col min="14823" max="14823" width="20.7265625" style="25" customWidth="1"/>
    <col min="14824" max="14824" width="48.453125" style="25" customWidth="1"/>
    <col min="14825" max="14825" width="25.26953125" style="25" customWidth="1"/>
    <col min="14826" max="14826" width="20" style="25" customWidth="1"/>
    <col min="14827" max="14827" width="15" style="25" customWidth="1"/>
    <col min="14828" max="14828" width="17.453125" style="25" customWidth="1"/>
    <col min="14829" max="14829" width="24" style="25" customWidth="1"/>
    <col min="14830" max="14830" width="25.26953125" style="25" customWidth="1"/>
    <col min="14831" max="14831" width="18.7265625" style="25" customWidth="1"/>
    <col min="14832" max="15078" width="8.81640625" style="25"/>
    <col min="15079" max="15079" width="20.7265625" style="25" customWidth="1"/>
    <col min="15080" max="15080" width="48.453125" style="25" customWidth="1"/>
    <col min="15081" max="15081" width="25.26953125" style="25" customWidth="1"/>
    <col min="15082" max="15082" width="20" style="25" customWidth="1"/>
    <col min="15083" max="15083" width="15" style="25" customWidth="1"/>
    <col min="15084" max="15084" width="17.453125" style="25" customWidth="1"/>
    <col min="15085" max="15085" width="24" style="25" customWidth="1"/>
    <col min="15086" max="15086" width="25.26953125" style="25" customWidth="1"/>
    <col min="15087" max="15087" width="18.7265625" style="25" customWidth="1"/>
    <col min="15088" max="15334" width="8.81640625" style="25"/>
    <col min="15335" max="15335" width="20.7265625" style="25" customWidth="1"/>
    <col min="15336" max="15336" width="48.453125" style="25" customWidth="1"/>
    <col min="15337" max="15337" width="25.26953125" style="25" customWidth="1"/>
    <col min="15338" max="15338" width="20" style="25" customWidth="1"/>
    <col min="15339" max="15339" width="15" style="25" customWidth="1"/>
    <col min="15340" max="15340" width="17.453125" style="25" customWidth="1"/>
    <col min="15341" max="15341" width="24" style="25" customWidth="1"/>
    <col min="15342" max="15342" width="25.26953125" style="25" customWidth="1"/>
    <col min="15343" max="15343" width="18.7265625" style="25" customWidth="1"/>
    <col min="15344" max="15590" width="8.81640625" style="25"/>
    <col min="15591" max="15591" width="20.7265625" style="25" customWidth="1"/>
    <col min="15592" max="15592" width="48.453125" style="25" customWidth="1"/>
    <col min="15593" max="15593" width="25.26953125" style="25" customWidth="1"/>
    <col min="15594" max="15594" width="20" style="25" customWidth="1"/>
    <col min="15595" max="15595" width="15" style="25" customWidth="1"/>
    <col min="15596" max="15596" width="17.453125" style="25" customWidth="1"/>
    <col min="15597" max="15597" width="24" style="25" customWidth="1"/>
    <col min="15598" max="15598" width="25.26953125" style="25" customWidth="1"/>
    <col min="15599" max="15599" width="18.7265625" style="25" customWidth="1"/>
    <col min="15600" max="15846" width="8.81640625" style="25"/>
    <col min="15847" max="15847" width="20.7265625" style="25" customWidth="1"/>
    <col min="15848" max="15848" width="48.453125" style="25" customWidth="1"/>
    <col min="15849" max="15849" width="25.26953125" style="25" customWidth="1"/>
    <col min="15850" max="15850" width="20" style="25" customWidth="1"/>
    <col min="15851" max="15851" width="15" style="25" customWidth="1"/>
    <col min="15852" max="15852" width="17.453125" style="25" customWidth="1"/>
    <col min="15853" max="15853" width="24" style="25" customWidth="1"/>
    <col min="15854" max="15854" width="25.26953125" style="25" customWidth="1"/>
    <col min="15855" max="15855" width="18.7265625" style="25" customWidth="1"/>
    <col min="15856" max="16102" width="8.81640625" style="25"/>
    <col min="16103" max="16103" width="20.7265625" style="25" customWidth="1"/>
    <col min="16104" max="16104" width="48.453125" style="25" customWidth="1"/>
    <col min="16105" max="16105" width="25.26953125" style="25" customWidth="1"/>
    <col min="16106" max="16106" width="20" style="25" customWidth="1"/>
    <col min="16107" max="16107" width="15" style="25" customWidth="1"/>
    <col min="16108" max="16108" width="17.453125" style="25" customWidth="1"/>
    <col min="16109" max="16109" width="24" style="25" customWidth="1"/>
    <col min="16110" max="16110" width="25.26953125" style="25" customWidth="1"/>
    <col min="16111" max="16111" width="18.7265625" style="25" customWidth="1"/>
    <col min="16112" max="16361" width="8.81640625" style="25"/>
    <col min="16362" max="16384" width="8.7265625" style="25" customWidth="1"/>
  </cols>
  <sheetData>
    <row r="1" spans="1:8" ht="23">
      <c r="A1" s="118" t="s">
        <v>108</v>
      </c>
      <c r="B1" s="118"/>
      <c r="C1" s="119"/>
      <c r="D1" s="120"/>
      <c r="E1" s="73"/>
      <c r="F1" s="73"/>
    </row>
    <row r="2" spans="1:8" ht="49.5" customHeight="1">
      <c r="A2" s="74" t="s">
        <v>77</v>
      </c>
      <c r="B2" s="75" t="s">
        <v>4</v>
      </c>
      <c r="C2" s="76" t="s">
        <v>98</v>
      </c>
      <c r="D2" s="74" t="s">
        <v>97</v>
      </c>
      <c r="E2" s="74" t="s">
        <v>78</v>
      </c>
      <c r="F2" s="74" t="s">
        <v>79</v>
      </c>
      <c r="H2" s="25" t="s">
        <v>99</v>
      </c>
    </row>
    <row r="3" spans="1:8">
      <c r="A3" s="77">
        <v>210001</v>
      </c>
      <c r="B3" s="77" t="s">
        <v>13</v>
      </c>
      <c r="C3" s="78">
        <v>233209898.29280609</v>
      </c>
      <c r="D3" s="79">
        <v>0.2238</v>
      </c>
      <c r="E3" s="154">
        <f t="shared" ref="E3:E43" si="0">ROUND(IF(D3&gt;=QBR_Highest_Score2,QBR_Max_Reward2,IF(D3&lt;=QBR_Lowest_Score2,QBR_Max_Penalty2,IF(D3&gt;=QBR__Threshold2,QBR_Max_Reward2*(D3-QBR__Threshold2)/(QBR_Highest_Score2-QBR__Threshold2),QBR_Max_Penalty2*((D3-QBR__Threshold2)/(QBR_Lowest_Score2-QBR__Threshold2))))),4)</f>
        <v>-6.0000000000000001E-3</v>
      </c>
      <c r="F3" s="81">
        <f t="shared" ref="F3:F43" si="1">ROUND(E3*C3,0)</f>
        <v>-1399259</v>
      </c>
      <c r="H3" s="82"/>
    </row>
    <row r="4" spans="1:8">
      <c r="A4" s="77">
        <v>210002</v>
      </c>
      <c r="B4" s="77" t="s">
        <v>14</v>
      </c>
      <c r="C4" s="78">
        <v>1169777419.1025653</v>
      </c>
      <c r="D4" s="79">
        <v>0.20399999999999999</v>
      </c>
      <c r="E4" s="154">
        <f t="shared" si="0"/>
        <v>-7.3000000000000001E-3</v>
      </c>
      <c r="F4" s="81">
        <f t="shared" si="1"/>
        <v>-8539375</v>
      </c>
    </row>
    <row r="5" spans="1:8">
      <c r="A5" s="77">
        <v>210003</v>
      </c>
      <c r="B5" s="77" t="s">
        <v>15</v>
      </c>
      <c r="C5" s="78">
        <v>272737060.9453848</v>
      </c>
      <c r="D5" s="79">
        <v>0.19089999999999999</v>
      </c>
      <c r="E5" s="154">
        <f t="shared" si="0"/>
        <v>-8.0999999999999996E-3</v>
      </c>
      <c r="F5" s="81">
        <f t="shared" si="1"/>
        <v>-2209170</v>
      </c>
    </row>
    <row r="6" spans="1:8">
      <c r="A6" s="77">
        <v>210004</v>
      </c>
      <c r="B6" s="77" t="s">
        <v>16</v>
      </c>
      <c r="C6" s="78">
        <v>395179292.24487001</v>
      </c>
      <c r="D6" s="79">
        <v>9.2200000000000004E-2</v>
      </c>
      <c r="E6" s="154">
        <f t="shared" si="0"/>
        <v>-1.4200000000000001E-2</v>
      </c>
      <c r="F6" s="81">
        <f t="shared" si="1"/>
        <v>-5611546</v>
      </c>
    </row>
    <row r="7" spans="1:8">
      <c r="A7" s="77">
        <v>210005</v>
      </c>
      <c r="B7" s="77" t="s">
        <v>17</v>
      </c>
      <c r="C7" s="78">
        <v>245875328.80849966</v>
      </c>
      <c r="D7" s="79">
        <v>0.1598</v>
      </c>
      <c r="E7" s="154">
        <f t="shared" si="0"/>
        <v>-0.01</v>
      </c>
      <c r="F7" s="81">
        <f t="shared" si="1"/>
        <v>-2458753</v>
      </c>
    </row>
    <row r="8" spans="1:8">
      <c r="A8" s="77">
        <v>210006</v>
      </c>
      <c r="B8" s="77" t="s">
        <v>18</v>
      </c>
      <c r="C8" s="78">
        <v>67709798.545058176</v>
      </c>
      <c r="D8" s="79">
        <v>0.1757</v>
      </c>
      <c r="E8" s="154">
        <f t="shared" si="0"/>
        <v>-8.9999999999999993E-3</v>
      </c>
      <c r="F8" s="81">
        <f t="shared" si="1"/>
        <v>-609388</v>
      </c>
    </row>
    <row r="9" spans="1:8">
      <c r="A9" s="77">
        <v>210008</v>
      </c>
      <c r="B9" s="77" t="s">
        <v>19</v>
      </c>
      <c r="C9" s="78">
        <v>231085559.56053197</v>
      </c>
      <c r="D9" s="79">
        <v>0.24460000000000001</v>
      </c>
      <c r="E9" s="154">
        <f t="shared" si="0"/>
        <v>-4.7000000000000002E-3</v>
      </c>
      <c r="F9" s="81">
        <f t="shared" si="1"/>
        <v>-1086102</v>
      </c>
    </row>
    <row r="10" spans="1:8">
      <c r="A10" s="83">
        <v>210009</v>
      </c>
      <c r="B10" s="77" t="s">
        <v>20</v>
      </c>
      <c r="C10" s="78">
        <v>1689351200.3065054</v>
      </c>
      <c r="D10" s="79">
        <v>0.27110000000000001</v>
      </c>
      <c r="E10" s="154">
        <f t="shared" si="0"/>
        <v>-3.0999999999999999E-3</v>
      </c>
      <c r="F10" s="81">
        <f t="shared" si="1"/>
        <v>-5236989</v>
      </c>
    </row>
    <row r="11" spans="1:8">
      <c r="A11" s="77">
        <v>210011</v>
      </c>
      <c r="B11" s="77" t="s">
        <v>21</v>
      </c>
      <c r="C11" s="78">
        <v>243049519.64796227</v>
      </c>
      <c r="D11" s="79">
        <v>0.1323</v>
      </c>
      <c r="E11" s="154">
        <f t="shared" si="0"/>
        <v>-1.17E-2</v>
      </c>
      <c r="F11" s="81">
        <f t="shared" si="1"/>
        <v>-2843679</v>
      </c>
    </row>
    <row r="12" spans="1:8">
      <c r="A12" s="77">
        <v>210012</v>
      </c>
      <c r="B12" s="77" t="s">
        <v>22</v>
      </c>
      <c r="C12" s="78">
        <v>499177175.30070233</v>
      </c>
      <c r="D12" s="79">
        <v>0.13789999999999999</v>
      </c>
      <c r="E12" s="154">
        <f t="shared" si="0"/>
        <v>-1.14E-2</v>
      </c>
      <c r="F12" s="81">
        <f t="shared" si="1"/>
        <v>-5690620</v>
      </c>
    </row>
    <row r="13" spans="1:8">
      <c r="A13" s="77">
        <v>210015</v>
      </c>
      <c r="B13" s="77" t="s">
        <v>23</v>
      </c>
      <c r="C13" s="78">
        <v>325444692.32110155</v>
      </c>
      <c r="D13" s="79">
        <v>0.12740000000000001</v>
      </c>
      <c r="E13" s="154">
        <f t="shared" si="0"/>
        <v>-1.2E-2</v>
      </c>
      <c r="F13" s="81">
        <f t="shared" si="1"/>
        <v>-3905336</v>
      </c>
    </row>
    <row r="14" spans="1:8">
      <c r="A14" s="77">
        <v>210016</v>
      </c>
      <c r="B14" s="77" t="s">
        <v>24</v>
      </c>
      <c r="C14" s="78">
        <v>206054276.81773111</v>
      </c>
      <c r="D14" s="79">
        <v>0.2442</v>
      </c>
      <c r="E14" s="154">
        <f t="shared" si="0"/>
        <v>-4.7000000000000002E-3</v>
      </c>
      <c r="F14" s="81">
        <f t="shared" si="1"/>
        <v>-968455</v>
      </c>
    </row>
    <row r="15" spans="1:8">
      <c r="A15" s="77">
        <v>210017</v>
      </c>
      <c r="B15" s="77" t="s">
        <v>25</v>
      </c>
      <c r="C15" s="78">
        <v>22448741.860533666</v>
      </c>
      <c r="D15" s="79">
        <v>0.46</v>
      </c>
      <c r="E15" s="154">
        <f t="shared" si="0"/>
        <v>5.7999999999999996E-3</v>
      </c>
      <c r="F15" s="81">
        <f t="shared" si="1"/>
        <v>130203</v>
      </c>
    </row>
    <row r="16" spans="1:8">
      <c r="A16" s="77">
        <v>210018</v>
      </c>
      <c r="B16" s="77" t="s">
        <v>26</v>
      </c>
      <c r="C16" s="78">
        <v>86911104.151931316</v>
      </c>
      <c r="D16" s="79">
        <v>0.26390000000000002</v>
      </c>
      <c r="E16" s="154">
        <f t="shared" si="0"/>
        <v>-3.5000000000000001E-3</v>
      </c>
      <c r="F16" s="81">
        <f t="shared" si="1"/>
        <v>-304189</v>
      </c>
    </row>
    <row r="17" spans="1:6">
      <c r="A17" s="77">
        <v>210019</v>
      </c>
      <c r="B17" s="77" t="s">
        <v>71</v>
      </c>
      <c r="C17" s="78">
        <v>273261892.18496162</v>
      </c>
      <c r="D17" s="79">
        <v>0.30109999999999998</v>
      </c>
      <c r="E17" s="154">
        <f t="shared" si="0"/>
        <v>-1.1999999999999999E-3</v>
      </c>
      <c r="F17" s="81">
        <f t="shared" si="1"/>
        <v>-327914</v>
      </c>
    </row>
    <row r="18" spans="1:6">
      <c r="A18" s="77">
        <v>210022</v>
      </c>
      <c r="B18" s="77" t="s">
        <v>28</v>
      </c>
      <c r="C18" s="78">
        <v>234289464.42853409</v>
      </c>
      <c r="D18" s="79">
        <v>0.2185</v>
      </c>
      <c r="E18" s="154">
        <f t="shared" si="0"/>
        <v>-6.3E-3</v>
      </c>
      <c r="F18" s="81">
        <f t="shared" si="1"/>
        <v>-1476024</v>
      </c>
    </row>
    <row r="19" spans="1:6">
      <c r="A19" s="77">
        <v>210023</v>
      </c>
      <c r="B19" s="77" t="s">
        <v>29</v>
      </c>
      <c r="C19" s="78">
        <v>378319646.6993916</v>
      </c>
      <c r="D19" s="79">
        <v>0.30570000000000003</v>
      </c>
      <c r="E19" s="154">
        <f t="shared" si="0"/>
        <v>-8.9999999999999998E-4</v>
      </c>
      <c r="F19" s="81">
        <f t="shared" si="1"/>
        <v>-340488</v>
      </c>
    </row>
    <row r="20" spans="1:6">
      <c r="A20" s="77">
        <v>210024</v>
      </c>
      <c r="B20" s="77" t="s">
        <v>30</v>
      </c>
      <c r="C20" s="78">
        <v>274240267.41213882</v>
      </c>
      <c r="D20" s="79">
        <v>0.35630000000000001</v>
      </c>
      <c r="E20" s="154">
        <f t="shared" si="0"/>
        <v>1.5E-3</v>
      </c>
      <c r="F20" s="81">
        <f t="shared" si="1"/>
        <v>411360</v>
      </c>
    </row>
    <row r="21" spans="1:6">
      <c r="A21" s="77">
        <v>210027</v>
      </c>
      <c r="B21" s="77" t="s">
        <v>80</v>
      </c>
      <c r="C21" s="78">
        <v>177776317.14814913</v>
      </c>
      <c r="D21" s="79">
        <v>0.1246</v>
      </c>
      <c r="E21" s="154">
        <f t="shared" si="0"/>
        <v>-1.2200000000000001E-2</v>
      </c>
      <c r="F21" s="81">
        <f t="shared" si="1"/>
        <v>-2168871</v>
      </c>
    </row>
    <row r="22" spans="1:6">
      <c r="A22" s="77">
        <v>210028</v>
      </c>
      <c r="B22" s="77" t="s">
        <v>32</v>
      </c>
      <c r="C22" s="78">
        <v>91631804.258244663</v>
      </c>
      <c r="D22" s="79">
        <v>0.40610000000000002</v>
      </c>
      <c r="E22" s="154">
        <f t="shared" si="0"/>
        <v>3.5999999999999999E-3</v>
      </c>
      <c r="F22" s="81">
        <f t="shared" si="1"/>
        <v>329874</v>
      </c>
    </row>
    <row r="23" spans="1:6">
      <c r="A23" s="77">
        <v>210029</v>
      </c>
      <c r="B23" s="77" t="s">
        <v>33</v>
      </c>
      <c r="C23" s="78">
        <v>446329672.23355418</v>
      </c>
      <c r="D23" s="79">
        <v>0.17449999999999999</v>
      </c>
      <c r="E23" s="154">
        <f t="shared" si="0"/>
        <v>-9.1000000000000004E-3</v>
      </c>
      <c r="F23" s="81">
        <f t="shared" si="1"/>
        <v>-4061600</v>
      </c>
    </row>
    <row r="24" spans="1:6">
      <c r="A24" s="77">
        <v>210032</v>
      </c>
      <c r="B24" s="77" t="s">
        <v>81</v>
      </c>
      <c r="C24" s="78">
        <v>74867815.898296461</v>
      </c>
      <c r="D24" s="79">
        <v>0.3024</v>
      </c>
      <c r="E24" s="154">
        <f t="shared" si="0"/>
        <v>-1.1000000000000001E-3</v>
      </c>
      <c r="F24" s="81">
        <f t="shared" si="1"/>
        <v>-82355</v>
      </c>
    </row>
    <row r="25" spans="1:6">
      <c r="A25" s="77">
        <v>210033</v>
      </c>
      <c r="B25" s="77" t="s">
        <v>36</v>
      </c>
      <c r="C25" s="78">
        <v>146579134.30840614</v>
      </c>
      <c r="D25" s="79">
        <v>0.2261</v>
      </c>
      <c r="E25" s="154">
        <f t="shared" si="0"/>
        <v>-5.8999999999999999E-3</v>
      </c>
      <c r="F25" s="81">
        <f t="shared" si="1"/>
        <v>-864817</v>
      </c>
    </row>
    <row r="26" spans="1:6">
      <c r="A26" s="77">
        <v>210034</v>
      </c>
      <c r="B26" s="77" t="s">
        <v>37</v>
      </c>
      <c r="C26" s="78">
        <v>130460757.98273204</v>
      </c>
      <c r="D26" s="79">
        <v>0.1186</v>
      </c>
      <c r="E26" s="154">
        <f t="shared" si="0"/>
        <v>-1.26E-2</v>
      </c>
      <c r="F26" s="81">
        <f t="shared" si="1"/>
        <v>-1643806</v>
      </c>
    </row>
    <row r="27" spans="1:6">
      <c r="A27" s="77">
        <v>210035</v>
      </c>
      <c r="B27" s="77" t="s">
        <v>38</v>
      </c>
      <c r="C27" s="78">
        <v>95179409.927647993</v>
      </c>
      <c r="D27" s="79">
        <v>0.21729999999999999</v>
      </c>
      <c r="E27" s="154">
        <f t="shared" si="0"/>
        <v>-6.4000000000000003E-3</v>
      </c>
      <c r="F27" s="81">
        <f t="shared" si="1"/>
        <v>-609148</v>
      </c>
    </row>
    <row r="28" spans="1:6" ht="18.75" customHeight="1">
      <c r="A28" s="77">
        <v>210037</v>
      </c>
      <c r="B28" s="77" t="s">
        <v>39</v>
      </c>
      <c r="C28" s="78">
        <v>117255633.45625928</v>
      </c>
      <c r="D28" s="79">
        <v>0.2611</v>
      </c>
      <c r="E28" s="154">
        <f t="shared" si="0"/>
        <v>-3.7000000000000002E-3</v>
      </c>
      <c r="F28" s="81">
        <f t="shared" si="1"/>
        <v>-433846</v>
      </c>
    </row>
    <row r="29" spans="1:6">
      <c r="A29" s="77">
        <v>210038</v>
      </c>
      <c r="B29" s="77" t="s">
        <v>40</v>
      </c>
      <c r="C29" s="78">
        <v>128795219.33140594</v>
      </c>
      <c r="D29" s="79">
        <v>0.13850000000000001</v>
      </c>
      <c r="E29" s="154">
        <f t="shared" si="0"/>
        <v>-1.1299999999999999E-2</v>
      </c>
      <c r="F29" s="81">
        <f t="shared" si="1"/>
        <v>-1455386</v>
      </c>
    </row>
    <row r="30" spans="1:6">
      <c r="A30" s="77">
        <v>210039</v>
      </c>
      <c r="B30" s="77" t="s">
        <v>41</v>
      </c>
      <c r="C30" s="78">
        <v>82050333.022346303</v>
      </c>
      <c r="D30" s="79">
        <v>0.34189999999999998</v>
      </c>
      <c r="E30" s="154">
        <f t="shared" si="0"/>
        <v>8.9999999999999998E-4</v>
      </c>
      <c r="F30" s="81">
        <f t="shared" si="1"/>
        <v>73845</v>
      </c>
    </row>
    <row r="31" spans="1:6">
      <c r="A31" s="77">
        <v>210040</v>
      </c>
      <c r="B31" s="77" t="s">
        <v>42</v>
      </c>
      <c r="C31" s="78">
        <v>151174669.60064766</v>
      </c>
      <c r="D31" s="79">
        <v>0.1192</v>
      </c>
      <c r="E31" s="154">
        <f t="shared" si="0"/>
        <v>-1.26E-2</v>
      </c>
      <c r="F31" s="81">
        <f t="shared" si="1"/>
        <v>-1904801</v>
      </c>
    </row>
    <row r="32" spans="1:6">
      <c r="A32" s="77">
        <v>210043</v>
      </c>
      <c r="B32" s="77" t="s">
        <v>82</v>
      </c>
      <c r="C32" s="78">
        <v>310629291.55806202</v>
      </c>
      <c r="D32" s="79">
        <v>0.2306</v>
      </c>
      <c r="E32" s="154">
        <f t="shared" si="0"/>
        <v>-5.5999999999999999E-3</v>
      </c>
      <c r="F32" s="81">
        <f t="shared" si="1"/>
        <v>-1739524</v>
      </c>
    </row>
    <row r="33" spans="1:6">
      <c r="A33" s="77">
        <v>210044</v>
      </c>
      <c r="B33" s="77" t="s">
        <v>44</v>
      </c>
      <c r="C33" s="78">
        <v>234417802.74342716</v>
      </c>
      <c r="D33" s="79">
        <v>0.33529999999999999</v>
      </c>
      <c r="E33" s="154">
        <f t="shared" si="0"/>
        <v>5.9999999999999995E-4</v>
      </c>
      <c r="F33" s="81">
        <f t="shared" si="1"/>
        <v>140651</v>
      </c>
    </row>
    <row r="34" spans="1:6">
      <c r="A34" s="77">
        <v>210048</v>
      </c>
      <c r="B34" s="77" t="s">
        <v>45</v>
      </c>
      <c r="C34" s="78">
        <v>211409027.60942188</v>
      </c>
      <c r="D34" s="79">
        <v>0.23269999999999999</v>
      </c>
      <c r="E34" s="154">
        <f t="shared" si="0"/>
        <v>-5.4999999999999997E-3</v>
      </c>
      <c r="F34" s="81">
        <f t="shared" si="1"/>
        <v>-1162750</v>
      </c>
    </row>
    <row r="35" spans="1:6">
      <c r="A35" s="77">
        <v>210049</v>
      </c>
      <c r="B35" s="77" t="s">
        <v>46</v>
      </c>
      <c r="C35" s="78">
        <v>189719193.58650389</v>
      </c>
      <c r="D35" s="79">
        <v>0.26240000000000002</v>
      </c>
      <c r="E35" s="154">
        <f t="shared" si="0"/>
        <v>-3.5999999999999999E-3</v>
      </c>
      <c r="F35" s="81">
        <f t="shared" si="1"/>
        <v>-682989</v>
      </c>
    </row>
    <row r="36" spans="1:6">
      <c r="A36" s="77">
        <v>210051</v>
      </c>
      <c r="B36" s="77" t="s">
        <v>47</v>
      </c>
      <c r="C36" s="78">
        <v>180962137.96314165</v>
      </c>
      <c r="D36" s="79">
        <v>0.16919999999999999</v>
      </c>
      <c r="E36" s="154">
        <f t="shared" si="0"/>
        <v>-9.4000000000000004E-3</v>
      </c>
      <c r="F36" s="81">
        <f t="shared" si="1"/>
        <v>-1701044</v>
      </c>
    </row>
    <row r="37" spans="1:6">
      <c r="A37" s="77">
        <v>210056</v>
      </c>
      <c r="B37" s="77" t="s">
        <v>118</v>
      </c>
      <c r="C37" s="78">
        <v>185901046.41531754</v>
      </c>
      <c r="D37" s="79">
        <v>0.23419999999999999</v>
      </c>
      <c r="E37" s="154">
        <f t="shared" si="0"/>
        <v>-5.4000000000000003E-3</v>
      </c>
      <c r="F37" s="81">
        <f t="shared" si="1"/>
        <v>-1003866</v>
      </c>
    </row>
    <row r="38" spans="1:6">
      <c r="A38" s="77">
        <v>210057</v>
      </c>
      <c r="B38" s="77" t="s">
        <v>119</v>
      </c>
      <c r="C38" s="78">
        <v>317446406.37621063</v>
      </c>
      <c r="D38" s="79">
        <v>0.1077</v>
      </c>
      <c r="E38" s="154">
        <f t="shared" si="0"/>
        <v>-1.3299999999999999E-2</v>
      </c>
      <c r="F38" s="81">
        <f t="shared" si="1"/>
        <v>-4222037</v>
      </c>
    </row>
    <row r="39" spans="1:6">
      <c r="A39" s="77">
        <v>210060</v>
      </c>
      <c r="B39" s="77" t="s">
        <v>48</v>
      </c>
      <c r="C39" s="78">
        <v>29662990.1900758</v>
      </c>
      <c r="D39" s="79">
        <v>0.105</v>
      </c>
      <c r="E39" s="154">
        <f t="shared" si="0"/>
        <v>-1.34E-2</v>
      </c>
      <c r="F39" s="81">
        <f t="shared" si="1"/>
        <v>-397484</v>
      </c>
    </row>
    <row r="40" spans="1:6">
      <c r="A40" s="77">
        <v>210061</v>
      </c>
      <c r="B40" s="77" t="s">
        <v>49</v>
      </c>
      <c r="C40" s="78">
        <v>44449448.916606866</v>
      </c>
      <c r="D40" s="79">
        <v>0.18640000000000001</v>
      </c>
      <c r="E40" s="154">
        <f t="shared" si="0"/>
        <v>-8.3999999999999995E-3</v>
      </c>
      <c r="F40" s="81">
        <f t="shared" si="1"/>
        <v>-373375</v>
      </c>
    </row>
    <row r="41" spans="1:6">
      <c r="A41" s="77">
        <v>210062</v>
      </c>
      <c r="B41" s="77" t="s">
        <v>50</v>
      </c>
      <c r="C41" s="78">
        <v>189090938.60508713</v>
      </c>
      <c r="D41" s="79">
        <v>0.25359999999999999</v>
      </c>
      <c r="E41" s="154">
        <f t="shared" si="0"/>
        <v>-4.1999999999999997E-3</v>
      </c>
      <c r="F41" s="81">
        <f t="shared" si="1"/>
        <v>-794182</v>
      </c>
    </row>
    <row r="42" spans="1:6" ht="15.65" customHeight="1">
      <c r="A42" s="77">
        <v>210063</v>
      </c>
      <c r="B42" s="77" t="s">
        <v>51</v>
      </c>
      <c r="C42" s="78">
        <v>267964845.88307279</v>
      </c>
      <c r="D42" s="79">
        <v>0.51449999999999996</v>
      </c>
      <c r="E42" s="154">
        <f t="shared" si="0"/>
        <v>8.0999999999999996E-3</v>
      </c>
      <c r="F42" s="81">
        <f t="shared" si="1"/>
        <v>2170515</v>
      </c>
    </row>
    <row r="43" spans="1:6" ht="21" customHeight="1">
      <c r="A43" s="77">
        <v>210065</v>
      </c>
      <c r="B43" s="77" t="s">
        <v>83</v>
      </c>
      <c r="C43" s="78">
        <v>74788277.035090461</v>
      </c>
      <c r="D43" s="79">
        <v>0.1295</v>
      </c>
      <c r="E43" s="154">
        <f t="shared" si="0"/>
        <v>-1.1900000000000001E-2</v>
      </c>
      <c r="F43" s="81">
        <f t="shared" si="1"/>
        <v>-889980</v>
      </c>
    </row>
    <row r="44" spans="1:6" ht="21" customHeight="1">
      <c r="A44" s="77"/>
      <c r="B44" s="77"/>
      <c r="C44" s="78"/>
      <c r="D44" s="79"/>
      <c r="E44" s="80"/>
      <c r="F44" s="81"/>
    </row>
    <row r="45" spans="1:6" ht="21" customHeight="1">
      <c r="A45" s="83"/>
      <c r="B45" s="83"/>
      <c r="C45" s="78"/>
      <c r="D45" s="84"/>
      <c r="E45" s="85"/>
      <c r="F45" s="85"/>
    </row>
    <row r="46" spans="1:6" ht="25.4" customHeight="1">
      <c r="A46" s="86"/>
      <c r="B46" s="87" t="s">
        <v>84</v>
      </c>
      <c r="C46" s="88">
        <f>SUM(C3:C44)</f>
        <v>10726664512.68092</v>
      </c>
      <c r="D46" s="89"/>
      <c r="E46" s="90"/>
      <c r="F46" s="91">
        <f>SUM(F3:F44)</f>
        <v>-65942700</v>
      </c>
    </row>
    <row r="47" spans="1:6">
      <c r="A47" s="92"/>
      <c r="B47" s="93"/>
      <c r="C47" s="94" t="s">
        <v>85</v>
      </c>
      <c r="D47" s="95">
        <f>AVERAGE(D3:D44)</f>
        <v>0.22684878048780488</v>
      </c>
      <c r="E47" s="73"/>
      <c r="F47" s="96">
        <f>F46/C46</f>
        <v>-6.1475494010317395E-3</v>
      </c>
    </row>
    <row r="48" spans="1:6">
      <c r="A48" s="97"/>
      <c r="B48" s="97"/>
      <c r="C48" s="98"/>
      <c r="D48" s="99"/>
      <c r="E48" s="73"/>
      <c r="F48" s="73"/>
    </row>
    <row r="49" spans="1:6">
      <c r="A49" s="97"/>
      <c r="B49" s="100" t="s">
        <v>86</v>
      </c>
      <c r="C49" s="100" t="s">
        <v>87</v>
      </c>
      <c r="E49" s="102" t="s">
        <v>88</v>
      </c>
      <c r="F49" s="103">
        <f>SUMIF(F3:F43,"&lt;0")</f>
        <v>-69199148</v>
      </c>
    </row>
    <row r="50" spans="1:6">
      <c r="A50" s="97"/>
      <c r="B50" s="104" t="s">
        <v>89</v>
      </c>
      <c r="C50" s="104">
        <v>0</v>
      </c>
      <c r="E50" s="105" t="s">
        <v>90</v>
      </c>
      <c r="F50" s="106">
        <f>F49/$C$46</f>
        <v>-6.4511338000916955E-3</v>
      </c>
    </row>
    <row r="51" spans="1:6">
      <c r="A51" s="97"/>
      <c r="B51" s="104" t="s">
        <v>91</v>
      </c>
      <c r="C51" s="104">
        <v>-0.02</v>
      </c>
      <c r="E51" s="102" t="s">
        <v>92</v>
      </c>
      <c r="F51" s="103">
        <f>SUMIF(F3:F43,"&gt;0")</f>
        <v>3256448</v>
      </c>
    </row>
    <row r="52" spans="1:6">
      <c r="A52" s="97"/>
      <c r="B52" s="104" t="s">
        <v>93</v>
      </c>
      <c r="C52" s="104">
        <v>0.8</v>
      </c>
      <c r="E52" s="107" t="s">
        <v>94</v>
      </c>
      <c r="F52" s="108">
        <f>F51/$C$46</f>
        <v>3.0358439905995666E-4</v>
      </c>
    </row>
    <row r="53" spans="1:6">
      <c r="A53" s="97"/>
      <c r="B53" s="104" t="s">
        <v>95</v>
      </c>
      <c r="C53" s="104">
        <v>0.02</v>
      </c>
      <c r="D53" s="109"/>
      <c r="E53" s="73"/>
      <c r="F53" s="73"/>
    </row>
    <row r="54" spans="1:6">
      <c r="A54" s="97"/>
      <c r="B54" s="104" t="s">
        <v>96</v>
      </c>
      <c r="C54" s="153">
        <v>0.32</v>
      </c>
      <c r="D54" s="109"/>
      <c r="E54" s="73"/>
      <c r="F54" s="73"/>
    </row>
    <row r="55" spans="1:6">
      <c r="A55" s="97"/>
      <c r="B55" s="97"/>
      <c r="C55" s="97"/>
      <c r="D55" s="109"/>
      <c r="E55" s="73"/>
      <c r="F55" s="73"/>
    </row>
    <row r="56" spans="1:6">
      <c r="A56" s="97"/>
      <c r="D56" s="109"/>
      <c r="E56" s="73"/>
      <c r="F56" s="73"/>
    </row>
    <row r="57" spans="1:6">
      <c r="A57" s="97"/>
      <c r="D57" s="109"/>
      <c r="E57" s="73"/>
      <c r="F57" s="73"/>
    </row>
    <row r="58" spans="1:6">
      <c r="A58" s="97"/>
      <c r="D58" s="109"/>
      <c r="E58" s="73"/>
      <c r="F58" s="73"/>
    </row>
    <row r="59" spans="1:6">
      <c r="A59" s="97"/>
      <c r="D59" s="109"/>
      <c r="E59" s="73"/>
      <c r="F59" s="73"/>
    </row>
    <row r="60" spans="1:6">
      <c r="A60" s="97"/>
      <c r="D60" s="109"/>
      <c r="E60" s="73"/>
      <c r="F60" s="73"/>
    </row>
    <row r="61" spans="1:6">
      <c r="A61" s="97"/>
      <c r="D61" s="109"/>
      <c r="E61" s="73"/>
      <c r="F61" s="73"/>
    </row>
  </sheetData>
  <conditionalFormatting sqref="F3:F44">
    <cfRule type="colorScale" priority="3">
      <colorScale>
        <cfvo type="min"/>
        <cfvo type="num" val="0"/>
        <cfvo type="max"/>
        <color rgb="FFF8696B"/>
        <color theme="0"/>
        <color rgb="FF63BE7B"/>
      </colorScale>
    </cfRule>
  </conditionalFormatting>
  <conditionalFormatting sqref="E44">
    <cfRule type="colorScale" priority="4">
      <colorScale>
        <cfvo type="min"/>
        <cfvo type="num" val="0"/>
        <cfvo type="max"/>
        <color rgb="FFF8696B"/>
        <color theme="0"/>
        <color rgb="FF63BE7B"/>
      </colorScale>
    </cfRule>
  </conditionalFormatting>
  <conditionalFormatting sqref="E3:E43">
    <cfRule type="colorScale" priority="1">
      <colorScale>
        <cfvo type="min"/>
        <cfvo type="percentile" val="50"/>
        <cfvo type="max"/>
        <color rgb="FFF8696B"/>
        <color rgb="FFFCFCFF"/>
        <color rgb="FF63BE7B"/>
      </colorScale>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2242C41-A0D2-45A0-9277-B11E847FA0B9}"/>
</file>

<file path=customXml/itemProps2.xml><?xml version="1.0" encoding="utf-8"?>
<ds:datastoreItem xmlns:ds="http://schemas.openxmlformats.org/officeDocument/2006/customXml" ds:itemID="{E7CFDC28-084D-40E2-8F47-4CDD65A53175}"/>
</file>

<file path=customXml/itemProps3.xml><?xml version="1.0" encoding="utf-8"?>
<ds:datastoreItem xmlns:ds="http://schemas.openxmlformats.org/officeDocument/2006/customXml" ds:itemID="{81FFB0DC-2BFD-4D3B-8DE6-68FE781B62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30</vt:i4>
      </vt:variant>
    </vt:vector>
  </HeadingPairs>
  <TitlesOfParts>
    <vt:vector size="38" baseType="lpstr">
      <vt:lpstr>Cover Sheet</vt:lpstr>
      <vt:lpstr>Model Summaries</vt:lpstr>
      <vt:lpstr> MHAC Prelim Rev Adj M1</vt:lpstr>
      <vt:lpstr>MHAC Prelim Rev Adj M2</vt:lpstr>
      <vt:lpstr>RRIP Prelim Rev Adj M1</vt:lpstr>
      <vt:lpstr>RRIP Prelim Rev Adj M2</vt:lpstr>
      <vt:lpstr>QBR Prelim CURRENT Scale</vt:lpstr>
      <vt:lpstr>QBR Prelim ADJUSTED Scale</vt:lpstr>
      <vt:lpstr>AttMaxPenaltyScore</vt:lpstr>
      <vt:lpstr>AttMaxRewardScore</vt:lpstr>
      <vt:lpstr>AttTarget</vt:lpstr>
      <vt:lpstr>ImpMaxPenaltyScore</vt:lpstr>
      <vt:lpstr>ImpMaxRewardScore</vt:lpstr>
      <vt:lpstr>ImpTarget</vt:lpstr>
      <vt:lpstr>MaxPenalty</vt:lpstr>
      <vt:lpstr>MaxReward</vt:lpstr>
      <vt:lpstr>MHAC_Highest_Score</vt:lpstr>
      <vt:lpstr>MHAC_Highest_Score2</vt:lpstr>
      <vt:lpstr>MHAC_Lowest_Score</vt:lpstr>
      <vt:lpstr>MHAC_Lowest_Score2</vt:lpstr>
      <vt:lpstr>MHAC_Max_Penalty</vt:lpstr>
      <vt:lpstr>MHAC_Max_Penalty2</vt:lpstr>
      <vt:lpstr>MHAC_Max_Reward</vt:lpstr>
      <vt:lpstr>MHAC_Max_Reward2</vt:lpstr>
      <vt:lpstr>MHAC_Penalty_Threshold</vt:lpstr>
      <vt:lpstr>MHAC_Penalty_Threshold2</vt:lpstr>
      <vt:lpstr>MHAC_Reward_Threshold</vt:lpstr>
      <vt:lpstr>MHAC_Reward_Threshold2</vt:lpstr>
      <vt:lpstr>QBR__Threshold</vt:lpstr>
      <vt:lpstr>QBR__Threshold2</vt:lpstr>
      <vt:lpstr>QBR_Highest_Score</vt:lpstr>
      <vt:lpstr>QBR_Highest_Score2</vt:lpstr>
      <vt:lpstr>QBR_Lowest_Score</vt:lpstr>
      <vt:lpstr>QBR_Lowest_Score2</vt:lpstr>
      <vt:lpstr>QBR_Max_Penalty</vt:lpstr>
      <vt:lpstr>QBR_Max_Penalty2</vt:lpstr>
      <vt:lpstr>QBR_Max_Reward</vt:lpstr>
      <vt:lpstr>QBR_Max_Reward2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Princess Collins</dc:creator>
  <cp:lastModifiedBy>Dianne Feeney</cp:lastModifiedBy>
  <dcterms:created xsi:type="dcterms:W3CDTF">2022-03-10T15:44:33Z</dcterms:created>
  <dcterms:modified xsi:type="dcterms:W3CDTF">2022-03-15T21:09:22Z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