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KHOA INPUTS FY 2017\"/>
    </mc:Choice>
  </mc:AlternateContent>
  <bookViews>
    <workbookView xWindow="0" yWindow="0" windowWidth="23040" windowHeight="10260" activeTab="4"/>
  </bookViews>
  <sheets>
    <sheet name="Master Sheet" sheetId="12" r:id="rId1"/>
    <sheet name="1. Initial Review Scores" sheetId="11" r:id="rId2"/>
    <sheet name="2. Finalists Review Scores" sheetId="8" r:id="rId3"/>
    <sheet name="3. Final Award Request" sheetId="13" r:id="rId4"/>
    <sheet name="4. Financial Analysis" sheetId="9" r:id="rId5"/>
    <sheet name="Rev and PAU" sheetId="3" r:id="rId6"/>
    <sheet name="Hospital Total Req %" sheetId="5" r:id="rId7"/>
    <sheet name="Sheet1" sheetId="4" r:id="rId8"/>
  </sheets>
  <externalReferences>
    <externalReference r:id="rId9"/>
    <externalReference r:id="rId10"/>
  </externalReferences>
  <definedNames>
    <definedName name="_xlnm._FilterDatabase" localSheetId="4" hidden="1">'4. Financial Analysis'!$A$3:$G$3</definedName>
    <definedName name="_xlnm.Print_Area" localSheetId="1">'1. Initial Review Scores'!$A$1:$N$25</definedName>
    <definedName name="_xlnm.Print_Area" localSheetId="4">'4. Financial Analysis'!$A$1:$K$30</definedName>
    <definedName name="Reg_grossptrev_1">[1]Summary!$AQ$42</definedName>
    <definedName name="reg_grossptrev_10">[1]Summary!$AQ$282</definedName>
    <definedName name="reg_grossptrev_11">[1]Summary!$AQ$312</definedName>
    <definedName name="reg_grossptrev_12">[1]Summary!$AQ$342</definedName>
    <definedName name="reg_grossptrev_13">[1]Summary!$AQ$372</definedName>
    <definedName name="reg_grossptrev_15">[1]Summary!$AQ$402</definedName>
    <definedName name="reg_grossptrev_16">[1]Summary!$AQ$432</definedName>
    <definedName name="reg_grossptrev_17">[1]Summary!$AQ$462</definedName>
    <definedName name="reg_grossptrev_18">[1]Summary!$AQ$492</definedName>
    <definedName name="reg_grossptrev_19">[1]Summary!$AQ$522</definedName>
    <definedName name="reg_grossptrev_2">[1]Summary!$AQ$72</definedName>
    <definedName name="reg_grossptrev_2001">[1]Summary!$AQ$1392</definedName>
    <definedName name="reg_grossptrev_2004">[1]Summary!$AQ$1422</definedName>
    <definedName name="reg_grossptrev_22">[1]Summary!$AQ$552</definedName>
    <definedName name="reg_grossptrev_23">[1]Summary!$AQ$582</definedName>
    <definedName name="reg_grossptrev_24">[1]Summary!$AQ$612</definedName>
    <definedName name="reg_grossptrev_27">[1]Summary!$AQ$642</definedName>
    <definedName name="reg_grossptrev_28">[1]Summary!$AQ$672</definedName>
    <definedName name="reg_grossptrev_29">[1]Summary!$AQ$702</definedName>
    <definedName name="reg_grossptrev_3">[1]Summary!$AQ$102</definedName>
    <definedName name="reg_grossptrev_30">[1]Summary!$AQ$732</definedName>
    <definedName name="reg_grossptrev_32">[1]Summary!$AQ$762</definedName>
    <definedName name="reg_grossptrev_33">[1]Summary!$AQ$792</definedName>
    <definedName name="reg_grossptrev_34">[1]Summary!$AQ$822</definedName>
    <definedName name="reg_grossptrev_35">[1]Summary!$AQ$852</definedName>
    <definedName name="reg_grossptrev_37">[1]Summary!$AQ$882</definedName>
    <definedName name="reg_grossptrev_38">[1]Summary!$AQ$912</definedName>
    <definedName name="reg_grossptrev_39">[1]Summary!$AQ$942</definedName>
    <definedName name="reg_grossptrev_4">[1]Summary!$AQ$132</definedName>
    <definedName name="reg_grossptrev_40">[1]Summary!$AQ$972</definedName>
    <definedName name="reg_grossptrev_43">[1]Summary!$AQ$1002</definedName>
    <definedName name="reg_grossptrev_44">[1]Summary!$AQ$1032</definedName>
    <definedName name="reg_grossptrev_45">[1]Summary!$AQ$1062</definedName>
    <definedName name="reg_grossptrev_48">[1]Summary!$AQ$1092</definedName>
    <definedName name="reg_grossptrev_49">[1]Summary!$AQ$1122</definedName>
    <definedName name="reg_grossptrev_5">[1]Summary!$AQ$162</definedName>
    <definedName name="reg_grossptrev_5050">[1]Summary!$AQ$1452</definedName>
    <definedName name="reg_grossptrev_51">[1]Summary!$AQ$1152</definedName>
    <definedName name="reg_grossptrev_55">[1]Summary!$AQ$1182</definedName>
    <definedName name="reg_grossptrev_6">[1]Summary!$AQ$192</definedName>
    <definedName name="reg_grossptrev_60">[1]Summary!$AQ$1212</definedName>
    <definedName name="reg_grossptrev_61">[1]Summary!$AQ$1242</definedName>
    <definedName name="reg_grossptrev_62">[1]Summary!$AQ$1272</definedName>
    <definedName name="reg_grossptrev_63">[1]Summary!$AQ$1302</definedName>
    <definedName name="reg_grossptrev_64">[1]Summary!$AQ$1332</definedName>
    <definedName name="reg_grossptrev_65">[1]Summary!$AQ$1362</definedName>
    <definedName name="reg_grossptrev_8">[1]Summary!$AQ$222</definedName>
    <definedName name="reg_grossptrev_8992">[1]Summary!$AQ$1482</definedName>
    <definedName name="reg_grossptrev_9">[1]Summary!$AQ$252</definedName>
    <definedName name="reg_net_op_rev_01">[1]Summary!$AQ$57</definedName>
    <definedName name="reg_net_op_rev_02">[1]Summary!$AQ$87</definedName>
    <definedName name="reg_net_op_rev_03">[1]Summary!$AQ$117</definedName>
    <definedName name="reg_net_op_rev_04">[1]Summary!$AQ$147</definedName>
    <definedName name="reg_net_op_rev_05">[1]Summary!$AQ$177</definedName>
    <definedName name="reg_net_op_rev_06">[1]Summary!$AQ$207</definedName>
    <definedName name="reg_net_op_rev_08">[1]Summary!$AQ$237</definedName>
    <definedName name="reg_net_op_rev_09">[1]Summary!$AQ$267</definedName>
    <definedName name="reg_net_op_rev_10">[1]Summary!$AQ$297</definedName>
    <definedName name="reg_net_op_rev_11">[1]Summary!$AQ$327</definedName>
    <definedName name="reg_net_op_rev_12">[1]Summary!$AQ$357</definedName>
    <definedName name="reg_net_op_rev_13">[1]Summary!$AQ$387</definedName>
    <definedName name="reg_net_op_rev_15">[1]Summary!$AQ$417</definedName>
    <definedName name="reg_net_op_rev_16">[1]Summary!$AQ$447</definedName>
    <definedName name="reg_net_op_rev_17">[1]Summary!$AQ$477</definedName>
    <definedName name="reg_net_op_rev_18">[1]Summary!$AQ$507</definedName>
    <definedName name="reg_net_op_rev_19">[1]Summary!$AQ$537</definedName>
    <definedName name="reg_net_op_rev_2001">[1]Summary!$AQ$1407</definedName>
    <definedName name="reg_net_op_rev_2004">[1]Summary!$AQ$1437</definedName>
    <definedName name="reg_net_op_rev_22">[1]Summary!$AQ$567</definedName>
    <definedName name="reg_net_op_rev_23">[1]Summary!$AQ$597</definedName>
    <definedName name="reg_net_op_rev_24">[1]Summary!$AQ$627</definedName>
    <definedName name="reg_net_op_rev_27">[1]Summary!$AQ$657</definedName>
    <definedName name="reg_net_op_rev_28">[1]Summary!$AQ$687</definedName>
    <definedName name="reg_net_op_rev_29">[1]Summary!$AQ$717</definedName>
    <definedName name="reg_net_op_rev_30">[1]Summary!$AQ$747</definedName>
    <definedName name="reg_net_op_rev_32">[1]Summary!$AQ$777</definedName>
    <definedName name="reg_net_op_rev_33">[1]Summary!$AQ$807</definedName>
    <definedName name="reg_net_op_rev_34">[1]Summary!$AQ$837</definedName>
    <definedName name="reg_net_op_rev_35">[1]Summary!$AQ$867</definedName>
    <definedName name="reg_net_op_rev_37">[1]Summary!$AQ$897</definedName>
    <definedName name="reg_net_op_rev_38">[1]Summary!$AQ$927</definedName>
    <definedName name="reg_net_op_rev_39">[1]Summary!$AQ$957</definedName>
    <definedName name="reg_net_op_rev_40">[1]Summary!$AQ$987</definedName>
    <definedName name="reg_net_op_rev_43">[1]Summary!$AQ$1017</definedName>
    <definedName name="reg_net_op_rev_44">[1]Summary!$AQ$1047</definedName>
    <definedName name="reg_net_op_rev_45">[1]Summary!$AQ$1077</definedName>
    <definedName name="reg_net_op_rev_48">[1]Summary!$AQ$1107</definedName>
    <definedName name="reg_net_op_rev_49">[1]Summary!$AQ$1137</definedName>
    <definedName name="reg_net_op_rev_5050">[1]Summary!$AQ$1467</definedName>
    <definedName name="reg_net_op_rev_51">[1]Summary!$AQ$1167</definedName>
    <definedName name="reg_net_op_rev_55">[1]Summary!$AQ$1197</definedName>
    <definedName name="reg_net_op_rev_60">[1]Summary!$AQ$1227</definedName>
    <definedName name="reg_net_op_rev_61">[1]Summary!$AQ$1257</definedName>
    <definedName name="reg_net_op_rev_62">[1]Summary!$AQ$1287</definedName>
    <definedName name="reg_net_op_rev_63">[1]Summary!$AQ$1317</definedName>
    <definedName name="reg_net_op_rev_64">[1]Summary!$AQ$1347</definedName>
    <definedName name="reg_net_op_rev_65">[1]Summary!$AQ$1377</definedName>
    <definedName name="reg_net_op_rev_8992">[1]Summary!$AQ$1497</definedName>
    <definedName name="reg_op_profit_01">[1]Summary!$AQ$65</definedName>
    <definedName name="reg_op_profit_02">[1]Summary!$AQ$95</definedName>
    <definedName name="reg_op_profit_03">[1]Summary!$AQ$125</definedName>
    <definedName name="reg_op_profit_04">[1]Summary!$AQ$155</definedName>
    <definedName name="reg_op_profit_05">[1]Summary!$AQ$185</definedName>
    <definedName name="reg_op_profit_06">[1]Summary!$AQ$215</definedName>
    <definedName name="reg_op_profit_08">[1]Summary!$AQ$245</definedName>
    <definedName name="reg_op_profit_09">[1]Summary!$AQ$275</definedName>
    <definedName name="reg_op_profit_10">[1]Summary!$AQ$305</definedName>
    <definedName name="reg_op_profit_11">[1]Summary!$AQ$335</definedName>
    <definedName name="reg_op_profit_12">[1]Summary!$AQ$365</definedName>
    <definedName name="reg_op_profit_13">[1]Summary!$AQ$395</definedName>
    <definedName name="reg_op_profit_15">[1]Summary!$AQ$425</definedName>
    <definedName name="reg_op_profit_16">[1]Summary!$AQ$455</definedName>
    <definedName name="reg_op_profit_17">[1]Summary!$AQ$485</definedName>
    <definedName name="reg_op_profit_18">[1]Summary!$AQ$515</definedName>
    <definedName name="reg_op_profit_19">[1]Summary!$AQ$545</definedName>
    <definedName name="reg_op_profit_2001">[1]Summary!$AQ$1415</definedName>
    <definedName name="reg_op_profit_2004">[1]Summary!$AQ$1445</definedName>
    <definedName name="reg_op_profit_22">[1]Summary!$AQ$575</definedName>
    <definedName name="reg_op_profit_23">[1]Summary!$AQ$605</definedName>
    <definedName name="reg_op_profit_24">[1]Summary!$AQ$635</definedName>
    <definedName name="reg_op_profit_27">[1]Summary!$AQ$665</definedName>
    <definedName name="reg_op_profit_28">[1]Summary!$AQ$695</definedName>
    <definedName name="reg_op_profit_29">[1]Summary!$AQ$725</definedName>
    <definedName name="reg_op_profit_30">[1]Summary!$AQ$755</definedName>
    <definedName name="reg_op_profit_32">[1]Summary!$AQ$785</definedName>
    <definedName name="reg_op_profit_33">[1]Summary!$AQ$815</definedName>
    <definedName name="reg_op_profit_34">[1]Summary!$AQ$845</definedName>
    <definedName name="reg_op_profit_35">[1]Summary!$AQ$875</definedName>
    <definedName name="reg_op_profit_37">[1]Summary!$AQ$905</definedName>
    <definedName name="reg_op_profit_38">[1]Summary!$AQ$935</definedName>
    <definedName name="reg_op_profit_39">[1]Summary!$AQ$965</definedName>
    <definedName name="reg_op_profit_40">[1]Summary!$AQ$995</definedName>
    <definedName name="reg_op_profit_43">[1]Summary!$AQ$1025</definedName>
    <definedName name="reg_op_profit_44">[1]Summary!$AQ$1055</definedName>
    <definedName name="reg_op_profit_45">[1]Summary!$AQ$1085</definedName>
    <definedName name="reg_op_profit_48">[1]Summary!$AQ$1115</definedName>
    <definedName name="reg_op_profit_49">[1]Summary!$AQ$1145</definedName>
    <definedName name="reg_op_profit_5050">[1]Summary!$AQ$1475</definedName>
    <definedName name="reg_op_profit_51">[1]Summary!$AQ$1175</definedName>
    <definedName name="reg_op_profit_55">[1]Summary!$AQ$1205</definedName>
    <definedName name="reg_op_profit_60">[1]Summary!$AQ$1235</definedName>
    <definedName name="reg_op_profit_61">[1]Summary!$AQ$1265</definedName>
    <definedName name="reg_op_profit_62">[1]Summary!$AQ$1295</definedName>
    <definedName name="reg_op_profit_63">[1]Summary!$AQ$1325</definedName>
    <definedName name="reg_op_profit_64">[1]Summary!$AQ$1355</definedName>
    <definedName name="reg_op_profit_65">[1]Summary!$AQ$1385</definedName>
    <definedName name="reg_op_profit_8992">[1]Summary!$AQ$1505</definedName>
    <definedName name="REGUCC">[1]Summary!$AQ$9:$AQ$12</definedName>
    <definedName name="REGUCCH1">[1]Summary!$AQ$43:$AQ$46</definedName>
    <definedName name="REGUCCH10">[1]Summary!$AQ$283:$AQ$286</definedName>
    <definedName name="REGUCCH11">[1]Summary!$AQ$313:$AQ$316</definedName>
    <definedName name="REGUCCH12">[1]Summary!$AQ$343:$AQ$346</definedName>
    <definedName name="REGUCCH13">[1]Summary!$AQ$373:$AQ$376</definedName>
    <definedName name="REGUCCH15">[1]Summary!$AQ$403:$AQ$406</definedName>
    <definedName name="REGUCCH16">[1]Summary!$AQ$433:$AQ$436</definedName>
    <definedName name="REGUCCH17">[1]Summary!$AQ$463:$AQ$466</definedName>
    <definedName name="REGUCCH18">[1]Summary!$AQ$493:$AQ$496</definedName>
    <definedName name="REGUCCH19">[1]Summary!$AQ$523:$AQ$526</definedName>
    <definedName name="REGUCCH2">[1]Summary!$AQ$73:$AQ$76</definedName>
    <definedName name="REGUCCH2001">[1]Summary!$AQ$1393:$AQ$1396</definedName>
    <definedName name="REGUCCH2004">[1]Summary!$AQ$1423:$AQ$1426</definedName>
    <definedName name="REGUCCH22">[1]Summary!$AQ$553:$AQ$556</definedName>
    <definedName name="REGUCCH23">[1]Summary!$AQ$583:$AQ$586</definedName>
    <definedName name="REGUCCH24">[1]Summary!$AQ$613:$AQ$616</definedName>
    <definedName name="REGUCCH27">[1]Summary!$AQ$643:$AQ$646</definedName>
    <definedName name="REGUCCH28">[1]Summary!$AQ$673:$AQ$676</definedName>
    <definedName name="REGUCCH29">[1]Summary!$AQ$703:$AQ$706</definedName>
    <definedName name="REGUCCH3">[1]Summary!$AQ$103:$AQ$106</definedName>
    <definedName name="REGUCCH30">[1]Summary!$AQ$733:$AQ$736</definedName>
    <definedName name="REGUCCH32">[1]Summary!$AQ$763:$AQ$766</definedName>
    <definedName name="REGUCCH33">[1]Summary!$AQ$793:$AQ$796</definedName>
    <definedName name="REGUCCH34">[1]Summary!$AQ$823:$AQ$826</definedName>
    <definedName name="REGUCCH35">[1]Summary!$AQ$853:$AQ$856</definedName>
    <definedName name="REGUCCH37">[1]Summary!$AQ$883:$AQ$886</definedName>
    <definedName name="REGUCCH38">[1]Summary!$AQ$913:$AQ$916</definedName>
    <definedName name="REGUCCH39">[1]Summary!$AQ$943:$AQ$946</definedName>
    <definedName name="REGUCCH4">[1]Summary!$AQ$133:$AQ$136</definedName>
    <definedName name="REGUCCH40">[1]Summary!$AQ$973:$AQ$976</definedName>
    <definedName name="REGUCCH43">[1]Summary!$AQ$1003:$AQ$1006</definedName>
    <definedName name="REGUCCH44">[1]Summary!$AQ$1033:$AQ$1036</definedName>
    <definedName name="REGUCCH45">[1]Summary!$AQ$1063:$AQ$1066</definedName>
    <definedName name="REGUCCH48">[1]Summary!$AQ$1093:$AQ$1096</definedName>
    <definedName name="REGUCCH49">[1]Summary!$AQ$1123:$AQ$1126</definedName>
    <definedName name="REGUCCH5">[1]Summary!$AQ$163:$AQ$166</definedName>
    <definedName name="REGUCCH5050">[1]Summary!$AQ$1453:$AQ$1456</definedName>
    <definedName name="REGUCCH51">[1]Summary!$AQ$1153:$AQ$1156</definedName>
    <definedName name="REGUCCH55">[1]Summary!$AQ$1183:$AQ$1186</definedName>
    <definedName name="REGUCCH6">[1]Summary!$AQ$193:$AQ$196</definedName>
    <definedName name="REGUCCH60">[1]Summary!$AQ$1213:$AQ$1216</definedName>
    <definedName name="REGUCCH61">[1]Summary!$AQ$1243:$AQ$1246</definedName>
    <definedName name="REGUCCH62">[1]Summary!$AQ$1273:$AQ$1276</definedName>
    <definedName name="REGUCCH63">[1]Summary!$AQ$1303:$AQ$1306</definedName>
    <definedName name="REGUCCH64">[1]Summary!$AQ$1333:$AQ$1336</definedName>
    <definedName name="REGUCCH65">[1]Summary!$AQ$1363:$AQ$1366</definedName>
    <definedName name="REGUCCH8">[1]Summary!$AQ$223:$AQ$226</definedName>
    <definedName name="REGUCCH8992">[1]Summary!$AQ$1483:$AQ$1486</definedName>
    <definedName name="REGUCCH9">[1]Summary!$AQ$253:$AQ$256</definedName>
    <definedName name="Tot_grossptrev_1">[1]Summary!$AS$42</definedName>
    <definedName name="tot_grossptrev_10">[1]Summary!$AS$282</definedName>
    <definedName name="tot_grossptrev_11">[1]Summary!$AS$312</definedName>
    <definedName name="tot_grossptrev_12">[1]Summary!$AS$342</definedName>
    <definedName name="tot_grossptrev_13">[1]Summary!$AS$372</definedName>
    <definedName name="tot_grossptrev_15">[1]Summary!$AS$402</definedName>
    <definedName name="tot_grossptrev_16">[1]Summary!$AS$432</definedName>
    <definedName name="tot_grossptrev_17">[1]Summary!$AS$462</definedName>
    <definedName name="tot_grossptrev_18">[1]Summary!$AS$492</definedName>
    <definedName name="tot_grossptrev_19">[1]Summary!$AS$522</definedName>
    <definedName name="tot_grossptrev_2">[1]Summary!$AS$72</definedName>
    <definedName name="tot_grossptrev_2001">[1]Summary!$AS$1392</definedName>
    <definedName name="tot_grossptrev_2004">[1]Summary!$AS$1422</definedName>
    <definedName name="tot_grossptrev_22">[1]Summary!$AS$552</definedName>
    <definedName name="tot_grossptrev_23">[1]Summary!$AS$582</definedName>
    <definedName name="tot_grossptrev_24">[1]Summary!$AS$612</definedName>
    <definedName name="tot_grossptrev_27">[1]Summary!$AS$642</definedName>
    <definedName name="tot_grossptrev_28">[1]Summary!$AS$672</definedName>
    <definedName name="tot_grossptrev_29">[1]Summary!$AS$702</definedName>
    <definedName name="tot_grossptrev_3">[1]Summary!$AS$102</definedName>
    <definedName name="tot_grossptrev_30">[1]Summary!$AS$732</definedName>
    <definedName name="tot_grossptrev_32">[1]Summary!$AS$762</definedName>
    <definedName name="tot_grossptrev_33">[1]Summary!$AS$792</definedName>
    <definedName name="tot_grossptrev_34">[1]Summary!$AS$822</definedName>
    <definedName name="tot_grossptrev_35">[1]Summary!$AS$852</definedName>
    <definedName name="tot_grossptrev_37">[1]Summary!$AS$882</definedName>
    <definedName name="tot_grossptrev_38">[1]Summary!$AS$912</definedName>
    <definedName name="tot_grossptrev_39">[1]Summary!$AS$942</definedName>
    <definedName name="tot_grossptrev_4">[1]Summary!$AS$132</definedName>
    <definedName name="tot_grossptrev_40">[1]Summary!$AS$972</definedName>
    <definedName name="Tot_grossptrev_43">[1]Summary!$AS$1002</definedName>
    <definedName name="tot_grossptrev_44">[1]Summary!$AS$1032</definedName>
    <definedName name="tot_grossptrev_45">[1]Summary!$AS$1062</definedName>
    <definedName name="tot_grossptrev_48">[1]Summary!$AS$1092</definedName>
    <definedName name="tot_grossptrev_49">[1]Summary!$AS$1122</definedName>
    <definedName name="tot_grossptrev_5">[1]Summary!$AS$162</definedName>
    <definedName name="tot_grossptrev_5050">[1]Summary!$AS$1452</definedName>
    <definedName name="tot_grossptrev_51">[1]Summary!$AS$1152</definedName>
    <definedName name="tot_grossptrev_55">[1]Summary!$AS$1182</definedName>
    <definedName name="tot_grossptrev_6">[1]Summary!$AS$192</definedName>
    <definedName name="tot_grossptrev_60">[1]Summary!$AS$1212</definedName>
    <definedName name="tot_grossptrev_61">[1]Summary!$AS$1242</definedName>
    <definedName name="tot_grossptrev_62">[1]Summary!$AS$1272</definedName>
    <definedName name="tot_grossptrev_63">[1]Summary!$AS$1302</definedName>
    <definedName name="tot_grossptrev_64">[1]Summary!$AS$1332</definedName>
    <definedName name="tot_grossptrev_65">[1]Summary!$AS$1362</definedName>
    <definedName name="tot_grossptrev_8">[1]Summary!$AS$222</definedName>
    <definedName name="tot_grossptrev_8992">[1]Summary!$AS$1482</definedName>
    <definedName name="tot_grossptrev_9">[1]Summary!$AS$252</definedName>
    <definedName name="total_net_op_rev_01">[1]Summary!$AS$57</definedName>
    <definedName name="Total_net_op_rev_02">[1]Summary!$AS$87</definedName>
    <definedName name="Total_net_op_rev_03">[1]Summary!$AS$117</definedName>
    <definedName name="Total_net_op_rev_04">[1]Summary!$AS$147</definedName>
    <definedName name="Total_net_op_rev_05">[1]Summary!$AS$177</definedName>
    <definedName name="Total_net_op_rev_06">[1]Summary!$AS$207</definedName>
    <definedName name="Total_net_op_rev_08">[1]Summary!$AS$237</definedName>
    <definedName name="Total_net_op_rev_09">[1]Summary!$AS$267</definedName>
    <definedName name="Total_net_op_rev_10">[1]Summary!$AS$297</definedName>
    <definedName name="Total_net_op_rev_11">[1]Summary!$AS$327</definedName>
    <definedName name="Total_net_op_rev_12">[1]Summary!$AS$357</definedName>
    <definedName name="Total_net_op_rev_13">[1]Summary!$AS$387</definedName>
    <definedName name="Total_net_op_rev_15">[1]Summary!$AS$417</definedName>
    <definedName name="Total_net_op_rev_16">[1]Summary!$AS$447</definedName>
    <definedName name="Total_net_op_rev_17">[1]Summary!$AS$477</definedName>
    <definedName name="Total_net_op_rev_18">[1]Summary!$AS$507</definedName>
    <definedName name="Total_net_op_rev_19">[1]Summary!$AS$537</definedName>
    <definedName name="Total_net_op_rev_2001">[1]Summary!$AS$1407</definedName>
    <definedName name="Total_net_op_rev_2004">[1]Summary!$AS$1437</definedName>
    <definedName name="Total_net_op_rev_22">[1]Summary!$AS$567</definedName>
    <definedName name="Total_net_op_rev_23">[1]Summary!$AS$597</definedName>
    <definedName name="Total_net_op_rev_24">[1]Summary!$AS$627</definedName>
    <definedName name="Total_net_op_rev_27">[1]Summary!$AS$657</definedName>
    <definedName name="Total_net_op_rev_28">[1]Summary!$AS$687</definedName>
    <definedName name="Total_net_op_rev_29">[1]Summary!$AS$717</definedName>
    <definedName name="Total_net_op_rev_30">[1]Summary!$AS$747</definedName>
    <definedName name="Total_net_op_rev_32">[1]Summary!$AS$777</definedName>
    <definedName name="Total_net_op_rev_33">[1]Summary!$AS$807</definedName>
    <definedName name="Total_net_op_rev_34">[1]Summary!$AS$837</definedName>
    <definedName name="Total_net_op_rev_35">[1]Summary!$AS$867</definedName>
    <definedName name="Total_net_op_rev_37">[1]Summary!$AS$897</definedName>
    <definedName name="Total_net_op_rev_38">[1]Summary!$AS$927</definedName>
    <definedName name="Total_net_op_rev_39">[1]Summary!$AS$957</definedName>
    <definedName name="Total_net_op_rev_40">[1]Summary!$AS$987</definedName>
    <definedName name="Total_net_op_rev_43">[1]Summary!$AS$1017</definedName>
    <definedName name="Total_net_op_rev_44">[1]Summary!$AS$1047</definedName>
    <definedName name="Total_net_op_rev_45">[1]Summary!$AS$1077</definedName>
    <definedName name="Total_net_op_rev_48">[1]Summary!$AS$1107</definedName>
    <definedName name="Total_net_op_rev_49">[1]Summary!$AS$1137</definedName>
    <definedName name="Total_net_op_rev_5050">[1]Summary!$AS$1467</definedName>
    <definedName name="Total_net_op_rev_51">[1]Summary!$AS$1167</definedName>
    <definedName name="Total_net_op_rev_55">[1]Summary!$AS$1197</definedName>
    <definedName name="Total_net_op_rev_60">[1]Summary!$AS$1227</definedName>
    <definedName name="Total_net_op_rev_61">[1]Summary!$AS$1257</definedName>
    <definedName name="Total_net_op_rev_62">[1]Summary!$AS$1287</definedName>
    <definedName name="total_net_op_rev_63">[1]Summary!$AS$1317</definedName>
    <definedName name="total_net_op_rev_64">[1]Summary!$AS$1347</definedName>
    <definedName name="total_net_op_rev_65">[1]Summary!$AS$1377</definedName>
    <definedName name="Total_net_op_rev_8992">[1]Summary!$AS$1497</definedName>
    <definedName name="Total_op_profit_01">[1]Summary!$AS$65</definedName>
    <definedName name="Total_op_profit_02">[1]Summary!$AS$95</definedName>
    <definedName name="Total_op_profit_03">[1]Summary!$AS$125</definedName>
    <definedName name="Total_op_profit_04">[1]Summary!$AS$155</definedName>
    <definedName name="Total_op_profit_05">[1]Summary!$AS$185</definedName>
    <definedName name="Total_op_profit_06">[1]Summary!$AS$215</definedName>
    <definedName name="total_op_profit_07" localSheetId="3">[1]Summary!#REF!</definedName>
    <definedName name="total_op_profit_07">[1]Summary!#REF!</definedName>
    <definedName name="Total_op_profit_08">[1]Summary!$AS$245</definedName>
    <definedName name="Total_op_profit_09">[1]Summary!$AS$275</definedName>
    <definedName name="Total_op_profit_10">[1]Summary!$AS$305</definedName>
    <definedName name="Total_op_profit_11">[1]Summary!$AS$335</definedName>
    <definedName name="Total_op_profit_12">[1]Summary!$AS$365</definedName>
    <definedName name="Total_op_profit_13">[1]Summary!$AS$395</definedName>
    <definedName name="Total_op_profit_15">[1]Summary!$AS$425</definedName>
    <definedName name="Total_op_profit_16">[1]Summary!$AS$455</definedName>
    <definedName name="Total_op_profit_17">[1]Summary!$AS$485</definedName>
    <definedName name="Total_op_profit_18">[1]Summary!$AS$515</definedName>
    <definedName name="Total_op_profit_19">[1]Summary!$AS$545</definedName>
    <definedName name="Total_op_profit_2001">[1]Summary!$AS$1415</definedName>
    <definedName name="Total_op_profit_2004">[1]Summary!$AS$1445</definedName>
    <definedName name="Total_op_profit_22">[1]Summary!$AS$575</definedName>
    <definedName name="Total_op_profit_23">[1]Summary!$AS$605</definedName>
    <definedName name="Total_op_profit_24">[1]Summary!$AS$635</definedName>
    <definedName name="Total_op_profit_27">[1]Summary!$AS$665</definedName>
    <definedName name="Total_op_profit_28">[1]Summary!$AS$695</definedName>
    <definedName name="Total_op_profit_29">[1]Summary!$AS$725</definedName>
    <definedName name="Total_op_profit_30">[1]Summary!$AS$755</definedName>
    <definedName name="total_op_profit_32">[1]Summary!$AS$785</definedName>
    <definedName name="Total_op_profit_33">[1]Summary!$AS$815</definedName>
    <definedName name="Total_op_profit_333" localSheetId="3">[1]Summary!#REF!</definedName>
    <definedName name="Total_op_profit_333">[1]Summary!#REF!</definedName>
    <definedName name="Total_op_profit_34">[1]Summary!$AS$845</definedName>
    <definedName name="Total_op_profit_35">[1]Summary!$AS$875</definedName>
    <definedName name="Total_op_profit_37">[1]Summary!$AS$905</definedName>
    <definedName name="Total_op_profit_38">[1]Summary!$AS$935</definedName>
    <definedName name="Total_op_profit_39">[1]Summary!$AS$965</definedName>
    <definedName name="Total_op_profit_40">[1]Summary!$AS$995</definedName>
    <definedName name="Total_op_profit_43">[1]Summary!$AS$1025</definedName>
    <definedName name="Total_op_profit_44">[1]Summary!$AS$1055</definedName>
    <definedName name="Total_op_profit_45">[1]Summary!$AS$1085</definedName>
    <definedName name="Total_op_profit_48">[1]Summary!$AS$1115</definedName>
    <definedName name="Total_op_profit_49">[1]Summary!$AS$1145</definedName>
    <definedName name="Total_op_profit_5050">[1]Summary!$AS$1475</definedName>
    <definedName name="Total_op_profit_51">[1]Summary!$AS$1175</definedName>
    <definedName name="Total_op_profit_55">[1]Summary!$AS$1205</definedName>
    <definedName name="Total_op_profit_60">[1]Summary!$AS$1235</definedName>
    <definedName name="Total_op_profit_61">[1]Summary!$AS$1265</definedName>
    <definedName name="Total_op_profit_62">[1]Summary!$AS$1295</definedName>
    <definedName name="Total_op_profit_63">[1]Summary!$AS$1325</definedName>
    <definedName name="Total_op_profit_64">[1]Summary!$AS$1355</definedName>
    <definedName name="Total_op_profit_65">[1]Summary!$AS$1385</definedName>
    <definedName name="Total_op_profit_8992">[1]Summary!$AS$1505</definedName>
    <definedName name="UCCA">[1]Summary!$AS$9:$AS$12</definedName>
    <definedName name="UCCh1">[1]Summary!$AS$43:$AS$46</definedName>
    <definedName name="UCCH10">[1]Summary!$AS$283:$AS$286</definedName>
    <definedName name="UCCH11">[1]Summary!$AS$313:$AS$316</definedName>
    <definedName name="UCCH12">[1]Summary!$AS$343:$AS$346</definedName>
    <definedName name="UCCH13">[1]Summary!$AS$373:$AS$376</definedName>
    <definedName name="UCCH15">[1]Summary!$AS$403:$AS$406</definedName>
    <definedName name="UCCH16">[1]Summary!$AS$433:$AS$436</definedName>
    <definedName name="UCCH17">[1]Summary!$AS$463:$AS$466</definedName>
    <definedName name="UCCH18">[1]Summary!$AS$493:$AS$496</definedName>
    <definedName name="UCCH19">[1]Summary!$AS$523:$AS$526</definedName>
    <definedName name="UCCh2">[1]Summary!$AS$73:$AS$76</definedName>
    <definedName name="UCCH2001">[1]Summary!$AS$1393:$AS$1396</definedName>
    <definedName name="UCCH2004">[1]Summary!$AS$1423:$AS$1426</definedName>
    <definedName name="UCCH22">[1]Summary!$AS$553:$AS$556</definedName>
    <definedName name="UCCH23">[1]Summary!$AS$583:$AS$586</definedName>
    <definedName name="UCCH24">[1]Summary!$AS$613:$AS$616</definedName>
    <definedName name="UCCH27">[1]Summary!$AS$643:$AS$646</definedName>
    <definedName name="UCCH28">[1]Summary!$AS$673:$AS$676</definedName>
    <definedName name="UCCH29">[1]Summary!$AS$703:$AS$706</definedName>
    <definedName name="UCCH3">[1]Summary!$AS$103:$AS$106</definedName>
    <definedName name="UCCH30">[1]Summary!$AS$733:$AS$736</definedName>
    <definedName name="UCCH32">[1]Summary!$AS$763:$AS$766</definedName>
    <definedName name="UCCH33">[1]Summary!$AS$793:$AS$796</definedName>
    <definedName name="UCCH34">[1]Summary!$AS$823:$AS$826</definedName>
    <definedName name="UCCH35">[1]Summary!$AS$853:$AS$856</definedName>
    <definedName name="UCCH37">[1]Summary!$AS$883:$AS$886</definedName>
    <definedName name="UCCH38">[1]Summary!$AS$913:$AS$916</definedName>
    <definedName name="UCCH39">[1]Summary!$AS$943:$AS$946</definedName>
    <definedName name="UCCH4">[1]Summary!$AS$133:$AS$136</definedName>
    <definedName name="UCCH40">[1]Summary!$AS$973:$AS$976</definedName>
    <definedName name="UCCH43">[1]Summary!$AS$1003:$AS$1006</definedName>
    <definedName name="UCCH44">[1]Summary!$AS$1033:$AS$1036</definedName>
    <definedName name="UCCH45">[1]Summary!$AS$1063:$AS$1066</definedName>
    <definedName name="UCCH48">[1]Summary!$AS$1093:$AS$1096</definedName>
    <definedName name="UCCH49">[1]Summary!$AS$1123:$AS$1126</definedName>
    <definedName name="UCCH5">[1]Summary!$AS$163:$AS$166</definedName>
    <definedName name="UCCH5050">[1]Summary!$AS$1453:$AS$1456</definedName>
    <definedName name="UCCH51">[1]Summary!$AS$1153:$AS$1156</definedName>
    <definedName name="UCCH55">[1]Summary!$AS$1183:$AS$1186</definedName>
    <definedName name="UCCH6">[1]Summary!$AS$193:$AS$196</definedName>
    <definedName name="UCCH60">[1]Summary!$AS$1213:$AS$1216</definedName>
    <definedName name="UCCH61">[1]Summary!$AS$1243:$AS$1246</definedName>
    <definedName name="UCCH62">[1]Summary!$AS$1273:$AS$1276</definedName>
    <definedName name="UCCH63">[1]Summary!$AS$1303:$AS$1306</definedName>
    <definedName name="UCCH64">[1]Summary!$AS$1333:$AS$1336</definedName>
    <definedName name="UCCH65">[1]Summary!$AS$1363:$AS$1366</definedName>
    <definedName name="UCCH8">[1]Summary!$AS$223:$AS$226</definedName>
    <definedName name="UCCH8992">[1]Summary!$AS$1483:$AS$1486</definedName>
    <definedName name="UCCH9">[1]Summary!$AS$253:$AS$256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9" l="1"/>
  <c r="B17" i="12"/>
  <c r="B39" i="12" s="1"/>
  <c r="R28" i="9"/>
  <c r="C15" i="12"/>
  <c r="C21" i="12" l="1"/>
  <c r="C22" i="12" s="1"/>
  <c r="G11" i="12"/>
  <c r="I28" i="9"/>
  <c r="Q27" i="9"/>
  <c r="Q28" i="9"/>
  <c r="Q26" i="9"/>
  <c r="N26" i="9"/>
  <c r="N22" i="9"/>
  <c r="N20" i="9"/>
  <c r="N14" i="9"/>
  <c r="N5" i="9"/>
  <c r="P15" i="9"/>
  <c r="O13" i="9" l="1"/>
  <c r="C65" i="13" l="1"/>
  <c r="G68" i="13"/>
  <c r="C61" i="13"/>
  <c r="G64" i="13"/>
  <c r="C57" i="13"/>
  <c r="G60" i="13"/>
  <c r="C52" i="13"/>
  <c r="G56" i="13"/>
  <c r="G51" i="13"/>
  <c r="C46" i="13" s="1"/>
  <c r="C31" i="13"/>
  <c r="E45" i="13"/>
  <c r="G45" i="13" s="1"/>
  <c r="C22" i="13"/>
  <c r="G30" i="13"/>
  <c r="E30" i="13"/>
  <c r="G29" i="13"/>
  <c r="C2" i="13"/>
  <c r="G15" i="13"/>
  <c r="C16" i="13"/>
  <c r="G21" i="13"/>
  <c r="E21" i="13"/>
  <c r="G20" i="13"/>
  <c r="E3" i="13"/>
  <c r="L10" i="9" l="1"/>
  <c r="K29" i="9" l="1"/>
  <c r="L5" i="9"/>
  <c r="L6" i="9"/>
  <c r="L7" i="9"/>
  <c r="L8" i="9"/>
  <c r="L9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4" i="9"/>
  <c r="E75" i="8"/>
  <c r="F75" i="8"/>
  <c r="G75" i="8"/>
  <c r="H75" i="8"/>
  <c r="I75" i="8"/>
  <c r="J75" i="8"/>
  <c r="D75" i="8"/>
  <c r="K19" i="9"/>
  <c r="K18" i="9"/>
  <c r="K17" i="9"/>
  <c r="K16" i="9"/>
  <c r="K15" i="9"/>
  <c r="K14" i="9"/>
  <c r="J29" i="9" l="1"/>
  <c r="J11" i="9"/>
  <c r="J9" i="9"/>
  <c r="J8" i="9"/>
  <c r="J6" i="9"/>
  <c r="J5" i="9"/>
  <c r="J7" i="9"/>
  <c r="J10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4" i="9"/>
  <c r="F10" i="12"/>
  <c r="F9" i="12"/>
  <c r="F8" i="12"/>
  <c r="F7" i="12"/>
  <c r="F6" i="12"/>
  <c r="F5" i="12"/>
  <c r="F4" i="12"/>
  <c r="F3" i="12"/>
  <c r="F2" i="12"/>
  <c r="E69" i="13"/>
  <c r="C69" i="13"/>
  <c r="E98" i="8" l="1"/>
  <c r="F98" i="8"/>
  <c r="G98" i="8"/>
  <c r="H98" i="8"/>
  <c r="I98" i="8"/>
  <c r="J98" i="8"/>
  <c r="D98" i="8"/>
  <c r="E86" i="8"/>
  <c r="F86" i="8"/>
  <c r="G86" i="8"/>
  <c r="H86" i="8"/>
  <c r="I86" i="8"/>
  <c r="J86" i="8"/>
  <c r="D86" i="8"/>
  <c r="E53" i="8"/>
  <c r="F53" i="8"/>
  <c r="G53" i="8"/>
  <c r="H53" i="8"/>
  <c r="I53" i="8"/>
  <c r="J53" i="8"/>
  <c r="D53" i="8"/>
  <c r="E19" i="8"/>
  <c r="F19" i="8"/>
  <c r="G19" i="8"/>
  <c r="H19" i="8"/>
  <c r="I19" i="8"/>
  <c r="J19" i="8"/>
  <c r="D19" i="8"/>
  <c r="E8" i="8"/>
  <c r="F8" i="8"/>
  <c r="G8" i="8"/>
  <c r="H8" i="8"/>
  <c r="I8" i="8"/>
  <c r="J8" i="8"/>
  <c r="D8" i="8"/>
  <c r="F11" i="12" l="1"/>
  <c r="E63" i="8"/>
  <c r="E65" i="8" s="1"/>
  <c r="F63" i="8"/>
  <c r="F65" i="8" s="1"/>
  <c r="G63" i="8"/>
  <c r="G65" i="8" s="1"/>
  <c r="H63" i="8"/>
  <c r="H65" i="8" s="1"/>
  <c r="I63" i="8"/>
  <c r="I65" i="8" s="1"/>
  <c r="J63" i="8"/>
  <c r="J65" i="8" s="1"/>
  <c r="D63" i="8"/>
  <c r="D65" i="8" s="1"/>
  <c r="K37" i="8"/>
  <c r="E77" i="8"/>
  <c r="D77" i="8"/>
  <c r="E21" i="8"/>
  <c r="F21" i="8"/>
  <c r="H21" i="8"/>
  <c r="I21" i="8"/>
  <c r="J21" i="8"/>
  <c r="G10" i="8"/>
  <c r="D10" i="8"/>
  <c r="K2" i="8"/>
  <c r="E31" i="8"/>
  <c r="E33" i="8" s="1"/>
  <c r="F31" i="8"/>
  <c r="F33" i="8" s="1"/>
  <c r="G31" i="8"/>
  <c r="G33" i="8" s="1"/>
  <c r="H31" i="8"/>
  <c r="H33" i="8" s="1"/>
  <c r="I31" i="8"/>
  <c r="I33" i="8" s="1"/>
  <c r="J31" i="8"/>
  <c r="J33" i="8" s="1"/>
  <c r="D31" i="8"/>
  <c r="D33" i="8" s="1"/>
  <c r="G21" i="8"/>
  <c r="D21" i="8"/>
  <c r="E42" i="8"/>
  <c r="E44" i="8" s="1"/>
  <c r="F42" i="8"/>
  <c r="F44" i="8" s="1"/>
  <c r="G42" i="8"/>
  <c r="G44" i="8" s="1"/>
  <c r="H42" i="8"/>
  <c r="H44" i="8" s="1"/>
  <c r="I42" i="8"/>
  <c r="I44" i="8" s="1"/>
  <c r="J42" i="8"/>
  <c r="J44" i="8" s="1"/>
  <c r="D42" i="8"/>
  <c r="D44" i="8" s="1"/>
  <c r="E88" i="8"/>
  <c r="F88" i="8"/>
  <c r="G88" i="8"/>
  <c r="H88" i="8"/>
  <c r="I88" i="8"/>
  <c r="J88" i="8"/>
  <c r="D88" i="8"/>
  <c r="E100" i="8"/>
  <c r="F100" i="8"/>
  <c r="G100" i="8"/>
  <c r="H100" i="8"/>
  <c r="I100" i="8"/>
  <c r="J100" i="8"/>
  <c r="D100" i="8"/>
  <c r="F77" i="8"/>
  <c r="G77" i="8"/>
  <c r="H77" i="8"/>
  <c r="I77" i="8"/>
  <c r="J77" i="8"/>
  <c r="E55" i="8"/>
  <c r="F55" i="8"/>
  <c r="G55" i="8"/>
  <c r="H55" i="8"/>
  <c r="I55" i="8"/>
  <c r="J55" i="8"/>
  <c r="D55" i="8"/>
  <c r="E10" i="8"/>
  <c r="F10" i="8"/>
  <c r="H10" i="8"/>
  <c r="I10" i="8"/>
  <c r="J10" i="8"/>
  <c r="K92" i="8"/>
  <c r="K93" i="8"/>
  <c r="K94" i="8"/>
  <c r="K95" i="8"/>
  <c r="K96" i="8"/>
  <c r="K97" i="8"/>
  <c r="K91" i="8"/>
  <c r="K81" i="8"/>
  <c r="K82" i="8"/>
  <c r="K83" i="8"/>
  <c r="K84" i="8"/>
  <c r="K85" i="8"/>
  <c r="K80" i="8"/>
  <c r="K69" i="8"/>
  <c r="K70" i="8"/>
  <c r="K71" i="8"/>
  <c r="K72" i="8"/>
  <c r="K73" i="8"/>
  <c r="K74" i="8"/>
  <c r="K68" i="8"/>
  <c r="K59" i="8"/>
  <c r="K60" i="8"/>
  <c r="K61" i="8"/>
  <c r="K62" i="8"/>
  <c r="K58" i="8"/>
  <c r="K48" i="8"/>
  <c r="K49" i="8"/>
  <c r="K50" i="8"/>
  <c r="K51" i="8"/>
  <c r="K52" i="8"/>
  <c r="K47" i="8"/>
  <c r="K36" i="8"/>
  <c r="K38" i="8"/>
  <c r="K39" i="8"/>
  <c r="K40" i="8"/>
  <c r="K41" i="8"/>
  <c r="K25" i="8"/>
  <c r="K26" i="8"/>
  <c r="K27" i="8"/>
  <c r="K28" i="8"/>
  <c r="K29" i="8"/>
  <c r="K30" i="8"/>
  <c r="K24" i="8"/>
  <c r="K14" i="8"/>
  <c r="K15" i="8"/>
  <c r="K16" i="8"/>
  <c r="K17" i="8"/>
  <c r="K18" i="8"/>
  <c r="K13" i="8"/>
  <c r="K4" i="8"/>
  <c r="K5" i="8"/>
  <c r="K6" i="8"/>
  <c r="K7" i="8"/>
  <c r="K3" i="8"/>
  <c r="M25" i="11"/>
  <c r="L25" i="11"/>
  <c r="K25" i="11"/>
  <c r="J25" i="11"/>
  <c r="I25" i="11"/>
  <c r="H25" i="11"/>
  <c r="G25" i="11"/>
  <c r="F25" i="11"/>
  <c r="E25" i="11"/>
  <c r="D25" i="11"/>
  <c r="C25" i="11"/>
  <c r="M24" i="11"/>
  <c r="L24" i="11"/>
  <c r="K24" i="11"/>
  <c r="J24" i="11"/>
  <c r="I24" i="11"/>
  <c r="H24" i="11"/>
  <c r="G24" i="11"/>
  <c r="F24" i="11"/>
  <c r="E24" i="11"/>
  <c r="D24" i="11"/>
  <c r="C24" i="11"/>
  <c r="M23" i="11"/>
  <c r="L23" i="11"/>
  <c r="K23" i="11"/>
  <c r="J23" i="11"/>
  <c r="I23" i="11"/>
  <c r="H23" i="11"/>
  <c r="G23" i="11"/>
  <c r="F23" i="11"/>
  <c r="E23" i="11"/>
  <c r="D23" i="11"/>
  <c r="C23" i="11"/>
  <c r="M22" i="11"/>
  <c r="L22" i="11"/>
  <c r="K22" i="11"/>
  <c r="J22" i="11"/>
  <c r="I22" i="11"/>
  <c r="H22" i="11"/>
  <c r="G22" i="11"/>
  <c r="F22" i="11"/>
  <c r="E22" i="11"/>
  <c r="D22" i="11"/>
  <c r="C22" i="11"/>
  <c r="M21" i="11"/>
  <c r="L21" i="11"/>
  <c r="K21" i="11"/>
  <c r="J21" i="11"/>
  <c r="I21" i="11"/>
  <c r="H21" i="11"/>
  <c r="G21" i="11"/>
  <c r="F21" i="11"/>
  <c r="E21" i="11"/>
  <c r="D21" i="11"/>
  <c r="C21" i="11"/>
  <c r="M20" i="11"/>
  <c r="L20" i="11"/>
  <c r="K20" i="11"/>
  <c r="J20" i="11"/>
  <c r="I20" i="11"/>
  <c r="H20" i="11"/>
  <c r="G20" i="11"/>
  <c r="F20" i="11"/>
  <c r="E20" i="11"/>
  <c r="D20" i="11"/>
  <c r="C20" i="11"/>
  <c r="M19" i="11"/>
  <c r="L19" i="11"/>
  <c r="K19" i="11"/>
  <c r="J19" i="11"/>
  <c r="I19" i="11"/>
  <c r="H19" i="11"/>
  <c r="G19" i="11"/>
  <c r="F19" i="11"/>
  <c r="E19" i="11"/>
  <c r="D19" i="11"/>
  <c r="C19" i="11"/>
  <c r="M18" i="11"/>
  <c r="L18" i="11"/>
  <c r="K18" i="11"/>
  <c r="J18" i="11"/>
  <c r="I18" i="11"/>
  <c r="H18" i="11"/>
  <c r="G18" i="11"/>
  <c r="F18" i="11"/>
  <c r="E18" i="11"/>
  <c r="D18" i="11"/>
  <c r="C18" i="11"/>
  <c r="M17" i="11"/>
  <c r="L17" i="11"/>
  <c r="K17" i="11"/>
  <c r="J17" i="11"/>
  <c r="I17" i="11"/>
  <c r="H17" i="11"/>
  <c r="G17" i="11"/>
  <c r="F17" i="11"/>
  <c r="E17" i="11"/>
  <c r="D17" i="11"/>
  <c r="C17" i="11"/>
  <c r="M16" i="11"/>
  <c r="L16" i="11"/>
  <c r="K16" i="11"/>
  <c r="J16" i="11"/>
  <c r="I16" i="11"/>
  <c r="H16" i="11"/>
  <c r="G16" i="11"/>
  <c r="F16" i="11"/>
  <c r="E16" i="11"/>
  <c r="D16" i="11"/>
  <c r="C16" i="11"/>
  <c r="M15" i="11"/>
  <c r="L15" i="11"/>
  <c r="K15" i="11"/>
  <c r="J15" i="11"/>
  <c r="I15" i="11"/>
  <c r="H15" i="11"/>
  <c r="G15" i="11"/>
  <c r="F15" i="11"/>
  <c r="E15" i="11"/>
  <c r="D15" i="11"/>
  <c r="C15" i="11"/>
  <c r="M14" i="11"/>
  <c r="L14" i="11"/>
  <c r="K14" i="11"/>
  <c r="J14" i="11"/>
  <c r="I14" i="11"/>
  <c r="H14" i="11"/>
  <c r="G14" i="11"/>
  <c r="F14" i="11"/>
  <c r="E14" i="11"/>
  <c r="D14" i="11"/>
  <c r="C14" i="11"/>
  <c r="M13" i="11"/>
  <c r="L13" i="11"/>
  <c r="K13" i="11"/>
  <c r="J13" i="11"/>
  <c r="I13" i="11"/>
  <c r="H13" i="11"/>
  <c r="G13" i="11"/>
  <c r="F13" i="11"/>
  <c r="E13" i="11"/>
  <c r="D13" i="11"/>
  <c r="C13" i="11"/>
  <c r="M12" i="11"/>
  <c r="L12" i="11"/>
  <c r="K12" i="11"/>
  <c r="J12" i="11"/>
  <c r="I12" i="11"/>
  <c r="H12" i="11"/>
  <c r="G12" i="11"/>
  <c r="F12" i="11"/>
  <c r="E12" i="11"/>
  <c r="D12" i="11"/>
  <c r="C12" i="11"/>
  <c r="M11" i="11"/>
  <c r="L11" i="11"/>
  <c r="K11" i="11"/>
  <c r="J11" i="11"/>
  <c r="I11" i="11"/>
  <c r="H11" i="11"/>
  <c r="G11" i="11"/>
  <c r="F11" i="11"/>
  <c r="E11" i="11"/>
  <c r="D11" i="11"/>
  <c r="C11" i="11"/>
  <c r="M10" i="11"/>
  <c r="L10" i="11"/>
  <c r="K10" i="11"/>
  <c r="J10" i="11"/>
  <c r="I10" i="11"/>
  <c r="H10" i="11"/>
  <c r="G10" i="11"/>
  <c r="F10" i="11"/>
  <c r="E10" i="11"/>
  <c r="D10" i="11"/>
  <c r="C10" i="11"/>
  <c r="M9" i="11"/>
  <c r="L9" i="11"/>
  <c r="K9" i="11"/>
  <c r="J9" i="11"/>
  <c r="I9" i="11"/>
  <c r="H9" i="11"/>
  <c r="G9" i="11"/>
  <c r="F9" i="11"/>
  <c r="E9" i="11"/>
  <c r="D9" i="11"/>
  <c r="C9" i="11"/>
  <c r="M8" i="11"/>
  <c r="L8" i="11"/>
  <c r="K8" i="11"/>
  <c r="J8" i="11"/>
  <c r="I8" i="11"/>
  <c r="H8" i="11"/>
  <c r="G8" i="11"/>
  <c r="F8" i="11"/>
  <c r="E8" i="11"/>
  <c r="D8" i="11"/>
  <c r="C8" i="11"/>
  <c r="M7" i="11"/>
  <c r="L7" i="11"/>
  <c r="K7" i="11"/>
  <c r="J7" i="11"/>
  <c r="I7" i="11"/>
  <c r="H7" i="11"/>
  <c r="F7" i="11"/>
  <c r="E7" i="11"/>
  <c r="D7" i="11"/>
  <c r="C7" i="11"/>
  <c r="M6" i="11"/>
  <c r="L6" i="11"/>
  <c r="K6" i="11"/>
  <c r="J6" i="11"/>
  <c r="I6" i="11"/>
  <c r="H6" i="11"/>
  <c r="G6" i="11"/>
  <c r="F6" i="11"/>
  <c r="E6" i="11"/>
  <c r="D6" i="11"/>
  <c r="C6" i="11"/>
  <c r="M5" i="11"/>
  <c r="L5" i="11"/>
  <c r="K5" i="11"/>
  <c r="J5" i="11"/>
  <c r="I5" i="11"/>
  <c r="H5" i="11"/>
  <c r="G5" i="11"/>
  <c r="F5" i="11"/>
  <c r="E5" i="11"/>
  <c r="D5" i="11"/>
  <c r="C5" i="11"/>
  <c r="N4" i="11"/>
  <c r="O4" i="11" s="1"/>
  <c r="D2" i="12" s="1"/>
  <c r="M4" i="11"/>
  <c r="L4" i="11"/>
  <c r="K4" i="11"/>
  <c r="J4" i="11"/>
  <c r="I4" i="11"/>
  <c r="H4" i="11"/>
  <c r="G4" i="11"/>
  <c r="F4" i="11"/>
  <c r="E4" i="11"/>
  <c r="D4" i="11"/>
  <c r="C4" i="11"/>
  <c r="K33" i="8" l="1"/>
  <c r="K34" i="8" s="1"/>
  <c r="E4" i="12" s="1"/>
  <c r="K44" i="8"/>
  <c r="K45" i="8" s="1"/>
  <c r="E5" i="12" s="1"/>
  <c r="K88" i="8"/>
  <c r="K89" i="8" s="1"/>
  <c r="E9" i="12" s="1"/>
  <c r="K77" i="8"/>
  <c r="K78" i="8" s="1"/>
  <c r="E8" i="12" s="1"/>
  <c r="K75" i="8"/>
  <c r="K55" i="8"/>
  <c r="K56" i="8" s="1"/>
  <c r="E6" i="12" s="1"/>
  <c r="K100" i="8"/>
  <c r="K101" i="8" s="1"/>
  <c r="E10" i="12" s="1"/>
  <c r="K53" i="8"/>
  <c r="K21" i="8"/>
  <c r="K22" i="8" s="1"/>
  <c r="E3" i="12" s="1"/>
  <c r="K10" i="8"/>
  <c r="K11" i="8" s="1"/>
  <c r="E2" i="12" s="1"/>
  <c r="K8" i="8"/>
  <c r="N7" i="11"/>
  <c r="O7" i="11" s="1"/>
  <c r="N10" i="11"/>
  <c r="O10" i="11" s="1"/>
  <c r="N14" i="11"/>
  <c r="O14" i="11" s="1"/>
  <c r="N18" i="11"/>
  <c r="O18" i="11" s="1"/>
  <c r="N22" i="11"/>
  <c r="O22" i="11" s="1"/>
  <c r="N9" i="11"/>
  <c r="O9" i="11" s="1"/>
  <c r="N11" i="11"/>
  <c r="O11" i="11" s="1"/>
  <c r="D3" i="12" s="1"/>
  <c r="N13" i="11"/>
  <c r="O13" i="11" s="1"/>
  <c r="D5" i="12" s="1"/>
  <c r="N15" i="11"/>
  <c r="O15" i="11" s="1"/>
  <c r="N17" i="11"/>
  <c r="O17" i="11" s="1"/>
  <c r="D6" i="12" s="1"/>
  <c r="N19" i="11"/>
  <c r="O19" i="11" s="1"/>
  <c r="N21" i="11"/>
  <c r="O21" i="11" s="1"/>
  <c r="N23" i="11"/>
  <c r="O23" i="11" s="1"/>
  <c r="N25" i="11"/>
  <c r="O25" i="11" s="1"/>
  <c r="N6" i="11"/>
  <c r="O6" i="11" s="1"/>
  <c r="N8" i="11"/>
  <c r="O8" i="11" s="1"/>
  <c r="N12" i="11"/>
  <c r="O12" i="11" s="1"/>
  <c r="D4" i="12" s="1"/>
  <c r="N16" i="11"/>
  <c r="O16" i="11" s="1"/>
  <c r="N20" i="11"/>
  <c r="O20" i="11" s="1"/>
  <c r="D7" i="12" s="1"/>
  <c r="N24" i="11"/>
  <c r="O24" i="11" s="1"/>
  <c r="D10" i="12" s="1"/>
  <c r="N5" i="11"/>
  <c r="O5" i="11" s="1"/>
  <c r="K65" i="8"/>
  <c r="K66" i="8" s="1"/>
  <c r="E7" i="12" s="1"/>
  <c r="K63" i="8"/>
  <c r="K31" i="8"/>
  <c r="K42" i="8"/>
  <c r="K86" i="8"/>
  <c r="K98" i="8"/>
  <c r="K19" i="8"/>
  <c r="E14" i="3" l="1"/>
  <c r="E57" i="3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2" i="5"/>
  <c r="H79" i="3"/>
  <c r="I78" i="3"/>
  <c r="F77" i="3"/>
  <c r="F76" i="3"/>
  <c r="F75" i="3"/>
  <c r="F74" i="3"/>
  <c r="Q5" i="4"/>
  <c r="Q6" i="4"/>
  <c r="Q7" i="4"/>
  <c r="Q4" i="4"/>
  <c r="P8" i="4"/>
  <c r="G78" i="3"/>
  <c r="H78" i="3"/>
  <c r="E78" i="3"/>
  <c r="G72" i="3"/>
  <c r="H72" i="3"/>
  <c r="F72" i="3"/>
  <c r="E72" i="3"/>
  <c r="I72" i="3"/>
  <c r="G68" i="3"/>
  <c r="F67" i="3"/>
  <c r="F66" i="3"/>
  <c r="N25" i="4"/>
  <c r="N26" i="4"/>
  <c r="N24" i="4"/>
  <c r="F65" i="3"/>
  <c r="M25" i="4"/>
  <c r="M26" i="4"/>
  <c r="M24" i="4"/>
  <c r="L27" i="4"/>
  <c r="H68" i="3"/>
  <c r="E68" i="3"/>
  <c r="I68" i="3"/>
  <c r="H64" i="3"/>
  <c r="F64" i="3"/>
  <c r="E64" i="3"/>
  <c r="G64" i="3" s="1"/>
  <c r="G55" i="3"/>
  <c r="F54" i="3"/>
  <c r="J28" i="4"/>
  <c r="J27" i="4"/>
  <c r="F53" i="3"/>
  <c r="I28" i="4"/>
  <c r="I27" i="4"/>
  <c r="H29" i="4"/>
  <c r="H55" i="3"/>
  <c r="F51" i="3"/>
  <c r="F50" i="3"/>
  <c r="F49" i="3"/>
  <c r="P18" i="4"/>
  <c r="P19" i="4"/>
  <c r="P17" i="4"/>
  <c r="O18" i="4"/>
  <c r="O19" i="4"/>
  <c r="O17" i="4"/>
  <c r="N20" i="4"/>
  <c r="F47" i="3"/>
  <c r="F46" i="3"/>
  <c r="F45" i="3"/>
  <c r="J18" i="4"/>
  <c r="J19" i="4"/>
  <c r="J17" i="4"/>
  <c r="I18" i="4"/>
  <c r="I19" i="4"/>
  <c r="I17" i="4"/>
  <c r="H20" i="4"/>
  <c r="H27" i="3"/>
  <c r="H25" i="3"/>
  <c r="H26" i="3"/>
  <c r="E19" i="4"/>
  <c r="E20" i="4"/>
  <c r="E18" i="4"/>
  <c r="D19" i="4"/>
  <c r="D20" i="4"/>
  <c r="D18" i="4"/>
  <c r="C21" i="4"/>
  <c r="H6" i="3"/>
  <c r="F6" i="3"/>
  <c r="H48" i="3"/>
  <c r="F39" i="3"/>
  <c r="F40" i="3"/>
  <c r="F41" i="3"/>
  <c r="F42" i="3"/>
  <c r="F43" i="3"/>
  <c r="F38" i="3"/>
  <c r="F79" i="3" s="1"/>
  <c r="L12" i="4"/>
  <c r="N5" i="4"/>
  <c r="N6" i="4"/>
  <c r="N7" i="4"/>
  <c r="N8" i="4"/>
  <c r="N9" i="4"/>
  <c r="N4" i="4"/>
  <c r="M5" i="4"/>
  <c r="M6" i="4"/>
  <c r="M7" i="4"/>
  <c r="M8" i="4"/>
  <c r="M9" i="4"/>
  <c r="M4" i="4"/>
  <c r="L10" i="4"/>
  <c r="H44" i="3"/>
  <c r="H37" i="3"/>
  <c r="H36" i="3"/>
  <c r="F36" i="3"/>
  <c r="H13" i="3"/>
  <c r="F13" i="3"/>
  <c r="F28" i="3"/>
  <c r="K24" i="3"/>
  <c r="L24" i="3"/>
  <c r="J24" i="3"/>
  <c r="H24" i="3"/>
  <c r="I64" i="3" l="1"/>
  <c r="E19" i="3"/>
  <c r="I20" i="3" l="1"/>
  <c r="I19" i="3"/>
  <c r="I21" i="3"/>
  <c r="I22" i="3"/>
  <c r="I23" i="3"/>
  <c r="G23" i="3"/>
  <c r="F22" i="3"/>
  <c r="G22" i="3" s="1"/>
  <c r="F10" i="4"/>
  <c r="F23" i="3"/>
  <c r="F21" i="3"/>
  <c r="G21" i="3" s="1"/>
  <c r="F20" i="3"/>
  <c r="F19" i="3"/>
  <c r="G19" i="3" s="1"/>
  <c r="F18" i="3"/>
  <c r="D10" i="4"/>
  <c r="D9" i="4"/>
  <c r="D8" i="4"/>
  <c r="D7" i="4"/>
  <c r="D6" i="4"/>
  <c r="D5" i="4"/>
  <c r="D4" i="4"/>
  <c r="C10" i="4"/>
  <c r="F24" i="3" l="1"/>
  <c r="G20" i="3"/>
  <c r="E47" i="3" l="1"/>
  <c r="E46" i="3"/>
  <c r="E77" i="3"/>
  <c r="I77" i="3" s="1"/>
  <c r="E76" i="3"/>
  <c r="E75" i="3"/>
  <c r="I75" i="3" s="1"/>
  <c r="G77" i="3" l="1"/>
  <c r="G75" i="3"/>
  <c r="G76" i="3"/>
  <c r="I76" i="3"/>
  <c r="G46" i="3"/>
  <c r="I46" i="3"/>
  <c r="G47" i="3"/>
  <c r="I47" i="3"/>
  <c r="E5" i="3"/>
  <c r="I5" i="3" s="1"/>
  <c r="E11" i="3" l="1"/>
  <c r="G11" i="3" l="1"/>
  <c r="I11" i="3"/>
  <c r="E50" i="3"/>
  <c r="E70" i="3"/>
  <c r="G70" i="3" l="1"/>
  <c r="I70" i="3"/>
  <c r="G50" i="3"/>
  <c r="I50" i="3"/>
  <c r="G5" i="3"/>
  <c r="E7" i="3" l="1"/>
  <c r="E8" i="3"/>
  <c r="E9" i="3"/>
  <c r="E10" i="3"/>
  <c r="E12" i="3"/>
  <c r="E15" i="3"/>
  <c r="E16" i="3"/>
  <c r="E17" i="3"/>
  <c r="E18" i="3"/>
  <c r="E24" i="3" s="1"/>
  <c r="E25" i="3"/>
  <c r="E26" i="3"/>
  <c r="E27" i="3"/>
  <c r="E29" i="3"/>
  <c r="E30" i="3"/>
  <c r="E31" i="3"/>
  <c r="I31" i="3" s="1"/>
  <c r="E32" i="3"/>
  <c r="E33" i="3"/>
  <c r="E34" i="3"/>
  <c r="E35" i="3"/>
  <c r="E37" i="3"/>
  <c r="E38" i="3"/>
  <c r="E39" i="3"/>
  <c r="E40" i="3"/>
  <c r="E41" i="3"/>
  <c r="E42" i="3"/>
  <c r="E43" i="3"/>
  <c r="E45" i="3"/>
  <c r="E48" i="3" s="1"/>
  <c r="E49" i="3"/>
  <c r="E51" i="3"/>
  <c r="E53" i="3"/>
  <c r="E54" i="3"/>
  <c r="E56" i="3"/>
  <c r="E58" i="3"/>
  <c r="E59" i="3"/>
  <c r="E60" i="3"/>
  <c r="E61" i="3"/>
  <c r="E62" i="3"/>
  <c r="E63" i="3"/>
  <c r="E65" i="3"/>
  <c r="E66" i="3"/>
  <c r="E67" i="3"/>
  <c r="E69" i="3"/>
  <c r="E71" i="3"/>
  <c r="E73" i="3"/>
  <c r="E74" i="3"/>
  <c r="E4" i="3"/>
  <c r="E6" i="3" s="1"/>
  <c r="E44" i="3" l="1"/>
  <c r="E36" i="3"/>
  <c r="I29" i="3"/>
  <c r="I24" i="3"/>
  <c r="G24" i="3"/>
  <c r="E52" i="3"/>
  <c r="G52" i="3" s="1"/>
  <c r="G48" i="3"/>
  <c r="I48" i="3"/>
  <c r="E13" i="3"/>
  <c r="I6" i="3"/>
  <c r="G6" i="3"/>
  <c r="E55" i="3"/>
  <c r="I55" i="3" s="1"/>
  <c r="E28" i="3"/>
  <c r="G73" i="3"/>
  <c r="I73" i="3"/>
  <c r="G66" i="3"/>
  <c r="I66" i="3"/>
  <c r="G61" i="3"/>
  <c r="I61" i="3"/>
  <c r="G56" i="3"/>
  <c r="I56" i="3"/>
  <c r="G49" i="3"/>
  <c r="I49" i="3"/>
  <c r="G41" i="3"/>
  <c r="I41" i="3"/>
  <c r="G37" i="3"/>
  <c r="I37" i="3"/>
  <c r="G32" i="3"/>
  <c r="I32" i="3"/>
  <c r="G27" i="3"/>
  <c r="I27" i="3"/>
  <c r="G17" i="3"/>
  <c r="I17" i="3"/>
  <c r="G12" i="3"/>
  <c r="I12" i="3"/>
  <c r="G7" i="3"/>
  <c r="I7" i="3"/>
  <c r="G71" i="3"/>
  <c r="I71" i="3"/>
  <c r="G65" i="3"/>
  <c r="I65" i="3"/>
  <c r="G60" i="3"/>
  <c r="I60" i="3"/>
  <c r="G54" i="3"/>
  <c r="I54" i="3"/>
  <c r="G45" i="3"/>
  <c r="I45" i="3"/>
  <c r="G40" i="3"/>
  <c r="I40" i="3"/>
  <c r="G35" i="3"/>
  <c r="I35" i="3"/>
  <c r="G31" i="3"/>
  <c r="G26" i="3"/>
  <c r="I26" i="3"/>
  <c r="G16" i="3"/>
  <c r="I16" i="3"/>
  <c r="G10" i="3"/>
  <c r="I10" i="3"/>
  <c r="G4" i="3"/>
  <c r="I4" i="3"/>
  <c r="G69" i="3"/>
  <c r="I69" i="3"/>
  <c r="G63" i="3"/>
  <c r="I63" i="3"/>
  <c r="G59" i="3"/>
  <c r="I59" i="3"/>
  <c r="G53" i="3"/>
  <c r="I53" i="3"/>
  <c r="G43" i="3"/>
  <c r="I43" i="3"/>
  <c r="G39" i="3"/>
  <c r="I39" i="3"/>
  <c r="G34" i="3"/>
  <c r="I34" i="3"/>
  <c r="G30" i="3"/>
  <c r="I30" i="3"/>
  <c r="G25" i="3"/>
  <c r="I25" i="3"/>
  <c r="G15" i="3"/>
  <c r="I15" i="3"/>
  <c r="G9" i="3"/>
  <c r="I9" i="3"/>
  <c r="G74" i="3"/>
  <c r="I74" i="3"/>
  <c r="G67" i="3"/>
  <c r="I67" i="3"/>
  <c r="G62" i="3"/>
  <c r="I62" i="3"/>
  <c r="G58" i="3"/>
  <c r="I58" i="3"/>
  <c r="G51" i="3"/>
  <c r="I51" i="3"/>
  <c r="G42" i="3"/>
  <c r="I42" i="3"/>
  <c r="G38" i="3"/>
  <c r="I38" i="3"/>
  <c r="G33" i="3"/>
  <c r="I33" i="3"/>
  <c r="G29" i="3"/>
  <c r="G18" i="3"/>
  <c r="I18" i="3"/>
  <c r="G14" i="3"/>
  <c r="I14" i="3"/>
  <c r="G8" i="3"/>
  <c r="I8" i="3"/>
  <c r="C16" i="3"/>
  <c r="I36" i="3" l="1"/>
  <c r="G36" i="3"/>
  <c r="I28" i="3"/>
  <c r="G28" i="3"/>
  <c r="I13" i="3"/>
  <c r="G13" i="3"/>
  <c r="G44" i="3"/>
  <c r="I44" i="3"/>
</calcChain>
</file>

<file path=xl/comments1.xml><?xml version="1.0" encoding="utf-8"?>
<comments xmlns="http://schemas.openxmlformats.org/spreadsheetml/2006/main">
  <authors>
    <author>Erin Schurmann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</rPr>
          <t>Erin Schurmann:</t>
        </r>
        <r>
          <rPr>
            <sz val="9"/>
            <color indexed="81"/>
            <rFont val="Tahoma"/>
            <family val="2"/>
          </rPr>
          <t xml:space="preserve">
Different values for all 4 years.  Year One falls within the 4 year range.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>Erin Schurmann:  Breakdown doesn't sum to full requested amount</t>
        </r>
      </text>
    </comment>
  </commentList>
</comments>
</file>

<file path=xl/sharedStrings.xml><?xml version="1.0" encoding="utf-8"?>
<sst xmlns="http://schemas.openxmlformats.org/spreadsheetml/2006/main" count="529" uniqueCount="310">
  <si>
    <t>Reviewer:</t>
  </si>
  <si>
    <t>Total (100)</t>
  </si>
  <si>
    <t>Applicant</t>
  </si>
  <si>
    <t>NexusMontgomery</t>
  </si>
  <si>
    <t>Bay Area Transformation Partnership</t>
  </si>
  <si>
    <t>Calvert Memorial</t>
  </si>
  <si>
    <t>Charles Regional</t>
  </si>
  <si>
    <t>DCH Breast Center</t>
  </si>
  <si>
    <t>Dimensions</t>
  </si>
  <si>
    <t>Fort Washington</t>
  </si>
  <si>
    <t>Garrett Regional</t>
  </si>
  <si>
    <t>GBMC</t>
  </si>
  <si>
    <t>Howard County Regional Partnership</t>
  </si>
  <si>
    <t>JHH - Community Health Partnership</t>
  </si>
  <si>
    <t>Lifebridge</t>
  </si>
  <si>
    <t>Medicare FFS Care Mgmt</t>
  </si>
  <si>
    <t>Mercy</t>
  </si>
  <si>
    <t>Penninsula Regional</t>
  </si>
  <si>
    <t>Shore Regional</t>
  </si>
  <si>
    <t>Total Eldercare Collaborative</t>
  </si>
  <si>
    <t>Totally Linking Care - Southern MD</t>
  </si>
  <si>
    <t>Trivergent Alliance</t>
  </si>
  <si>
    <t>UM Upper Chesapeake</t>
  </si>
  <si>
    <t>UM-St. Joseph</t>
  </si>
  <si>
    <t>West Baltimore Collaborative</t>
  </si>
  <si>
    <t>UM Upper Ches. and Union of Cecil Partnership</t>
  </si>
  <si>
    <t>1. Target Population  (10)</t>
  </si>
  <si>
    <t>3. Consistency with All-Payer Model (10)</t>
  </si>
  <si>
    <t>4. Consistency with STPs (10)</t>
  </si>
  <si>
    <t>5. Efficacy of Previous Investments (5)</t>
  </si>
  <si>
    <t>6. Complement existing Resouces (5)</t>
  </si>
  <si>
    <t>7. Use of IT (5)</t>
  </si>
  <si>
    <t>8. Patient-Centeredness  (10)</t>
  </si>
  <si>
    <t>9. Feasibility of ROI and Payer savings (10)</t>
  </si>
  <si>
    <t>10. Implementation Plan (10)</t>
  </si>
  <si>
    <t>11. Budget (10)</t>
  </si>
  <si>
    <t>FY Net Patient Rev.</t>
  </si>
  <si>
    <t>Anne Arundel Med Center</t>
  </si>
  <si>
    <t>Baltimore Washington</t>
  </si>
  <si>
    <t>Charles Regional Medical Center</t>
  </si>
  <si>
    <t>Doctor's Community Hospital</t>
  </si>
  <si>
    <t xml:space="preserve">Prince George's </t>
  </si>
  <si>
    <t>Laurel Regional</t>
  </si>
  <si>
    <t>Garrett</t>
  </si>
  <si>
    <t>Howard County General</t>
  </si>
  <si>
    <t>Johns Hopkins Hospital</t>
  </si>
  <si>
    <t>Sinai</t>
  </si>
  <si>
    <t>Carroll</t>
  </si>
  <si>
    <t>Northwest</t>
  </si>
  <si>
    <t>Franklin Square</t>
  </si>
  <si>
    <t>Good Samaritan</t>
  </si>
  <si>
    <t>Harbor</t>
  </si>
  <si>
    <t>Montgomery</t>
  </si>
  <si>
    <t>Southern Maryland</t>
  </si>
  <si>
    <t>St. Mary's</t>
  </si>
  <si>
    <t>Union Memorial</t>
  </si>
  <si>
    <t>Holy Cross</t>
  </si>
  <si>
    <t>Germantown</t>
  </si>
  <si>
    <t>Shady Grove</t>
  </si>
  <si>
    <t>Suburban</t>
  </si>
  <si>
    <t>Washington Adventist</t>
  </si>
  <si>
    <t>Easton</t>
  </si>
  <si>
    <t>Dorchester</t>
  </si>
  <si>
    <t>Western Maryland Health System</t>
  </si>
  <si>
    <t>Frederick Memorial</t>
  </si>
  <si>
    <t>Meritus</t>
  </si>
  <si>
    <t>St. Joseph Medical Center</t>
  </si>
  <si>
    <t>Upper Chesapeake</t>
  </si>
  <si>
    <t>Union Hospital of Cecil</t>
  </si>
  <si>
    <t>Lead Hospitals (bolding means H is in multiple proposals)</t>
  </si>
  <si>
    <t>University of MD Med. System</t>
  </si>
  <si>
    <t>FY 2015 Net Patient Revenue</t>
  </si>
  <si>
    <t>Total Discharges FY13</t>
  </si>
  <si>
    <t>Total Discharges FY14</t>
  </si>
  <si>
    <t>Total Discharges FY15</t>
  </si>
  <si>
    <t>%PQI FY13</t>
  </si>
  <si>
    <t>%PQI FY14</t>
  </si>
  <si>
    <t>%PQI FY15</t>
  </si>
  <si>
    <t>%Readmit FY13</t>
  </si>
  <si>
    <t>%Readmit FY14</t>
  </si>
  <si>
    <t>%Readmit FY15</t>
  </si>
  <si>
    <t>%Total PAU FY13</t>
  </si>
  <si>
    <t>%Total PAU FY14</t>
  </si>
  <si>
    <t>%Total PAU FY15</t>
  </si>
  <si>
    <t>2. Model Success (20)</t>
  </si>
  <si>
    <t>Chestertown</t>
  </si>
  <si>
    <t>Harford Memorial</t>
  </si>
  <si>
    <t>Bowie Health Center</t>
  </si>
  <si>
    <t>St. Agnes Hospital</t>
  </si>
  <si>
    <t>UMMC Midtown Campus</t>
  </si>
  <si>
    <t>Bon Secours</t>
  </si>
  <si>
    <t>Atlantic General</t>
  </si>
  <si>
    <t>McCready</t>
  </si>
  <si>
    <t>46 Hospitals</t>
  </si>
  <si>
    <t>Annualized</t>
  </si>
  <si>
    <t>Requested Revenue    (Pro-Rated)</t>
  </si>
  <si>
    <t>Johns Hopkins Bayview</t>
  </si>
  <si>
    <t>Mercy Medical Center</t>
  </si>
  <si>
    <t>MedStar Franklin Square</t>
  </si>
  <si>
    <t>MedStar Harbor</t>
  </si>
  <si>
    <t xml:space="preserve"> </t>
  </si>
  <si>
    <t>Total</t>
  </si>
  <si>
    <t>Calvert</t>
  </si>
  <si>
    <t>PG</t>
  </si>
  <si>
    <t>FW</t>
  </si>
  <si>
    <t>Medstar - FS</t>
  </si>
  <si>
    <t>Medstar - Harbor</t>
  </si>
  <si>
    <t>Medstar - GS</t>
  </si>
  <si>
    <t>Medstar - Mont</t>
  </si>
  <si>
    <t>Medstar - Southern MD</t>
  </si>
  <si>
    <t>Medstar - St. Mary</t>
  </si>
  <si>
    <t>Medstar - UM</t>
  </si>
  <si>
    <t>Hospital</t>
  </si>
  <si>
    <t>#1</t>
  </si>
  <si>
    <t>#2</t>
  </si>
  <si>
    <t>Amt Above</t>
  </si>
  <si>
    <t>Bowie Health</t>
  </si>
  <si>
    <t>Bowie Medical Center</t>
  </si>
  <si>
    <t>Peninsula Regional</t>
  </si>
  <si>
    <t>Requested % of Rev. (Annualized)</t>
  </si>
  <si>
    <t>Requested % of Rev. (Pro-Rated)</t>
  </si>
  <si>
    <t>Howard County</t>
  </si>
  <si>
    <t>Johns Hopkins - Community Health Partnership</t>
  </si>
  <si>
    <t>Nexus Montgomery</t>
  </si>
  <si>
    <t>Total Eldercare</t>
  </si>
  <si>
    <t>Trivergent Health Alliance</t>
  </si>
  <si>
    <t>UM St. Joseph</t>
  </si>
  <si>
    <t>UMUCH-UHCC</t>
  </si>
  <si>
    <t>TOTAL</t>
  </si>
  <si>
    <t>By-Investment</t>
  </si>
  <si>
    <t>AAMC</t>
  </si>
  <si>
    <t>Johns Hopkins</t>
  </si>
  <si>
    <t>Johns Hopkins - Bayview</t>
  </si>
  <si>
    <t>MS Franklin Square</t>
  </si>
  <si>
    <t>MS Harbor Hospital</t>
  </si>
  <si>
    <t>Holy Cross - Germantown</t>
  </si>
  <si>
    <t>MS Montgomery General</t>
  </si>
  <si>
    <t>Suburban </t>
  </si>
  <si>
    <t>MS Good Samaritan</t>
  </si>
  <si>
    <t>MS Union Memorial</t>
  </si>
  <si>
    <t>Meritus MC</t>
  </si>
  <si>
    <t>Western Maryland</t>
  </si>
  <si>
    <t>Union Hospital - Cecil County</t>
  </si>
  <si>
    <t>UM Harford Memorial</t>
  </si>
  <si>
    <t>UM - St. Joseph</t>
  </si>
  <si>
    <t>Shady Grove - Adventist</t>
  </si>
  <si>
    <t xml:space="preserve">Washington Adventist </t>
  </si>
  <si>
    <t>Hosp ID</t>
  </si>
  <si>
    <t>Hosp Name</t>
  </si>
  <si>
    <t>Regulated Profit/Regulated Revenue (Regulated Profit Margin)</t>
  </si>
  <si>
    <t>Profit/Revenue (Profit Margin)</t>
  </si>
  <si>
    <t>Maxim Behavioral Health</t>
  </si>
  <si>
    <t>Transitional Nurse Navigators</t>
  </si>
  <si>
    <t>Behavioral Health Clinic Staffing</t>
  </si>
  <si>
    <t>Behavioral Health Clinic Startup Expense</t>
  </si>
  <si>
    <t>Data Analytics</t>
  </si>
  <si>
    <t>Award Name</t>
  </si>
  <si>
    <t>Trivergent</t>
  </si>
  <si>
    <t>UMUCH</t>
  </si>
  <si>
    <t>CHP</t>
  </si>
  <si>
    <t>Bay Area</t>
  </si>
  <si>
    <t>UM St Joe</t>
  </si>
  <si>
    <t>FY15 (unaudited)</t>
  </si>
  <si>
    <t>FY16 YTD (unaudited)</t>
  </si>
  <si>
    <t>UM BWMC</t>
  </si>
  <si>
    <t>Overview of Program Design</t>
  </si>
  <si>
    <t>Community Involvement - Partner's Role</t>
  </si>
  <si>
    <t>Staffing Detail</t>
  </si>
  <si>
    <t>ROI Assumptions and Budget Request</t>
  </si>
  <si>
    <t>Impact (if any) on TCOC and non-hospital service charges</t>
  </si>
  <si>
    <t>Operational Readiness</t>
  </si>
  <si>
    <t>Overall Impression</t>
  </si>
  <si>
    <t>SP</t>
  </si>
  <si>
    <t>ABS</t>
  </si>
  <si>
    <t>RDM</t>
  </si>
  <si>
    <t>GM</t>
  </si>
  <si>
    <t>ML</t>
  </si>
  <si>
    <t>CP</t>
  </si>
  <si>
    <t>ANZ</t>
  </si>
  <si>
    <t>DF</t>
  </si>
  <si>
    <t>JCHP</t>
  </si>
  <si>
    <t>SG</t>
  </si>
  <si>
    <t>Reviewer</t>
  </si>
  <si>
    <t>Master 1.19</t>
  </si>
  <si>
    <t>Average Score</t>
  </si>
  <si>
    <t>Average</t>
  </si>
  <si>
    <t>Weighted Average</t>
  </si>
  <si>
    <t>Weights</t>
  </si>
  <si>
    <t>Weighted Final Score</t>
  </si>
  <si>
    <t>Final Score</t>
  </si>
  <si>
    <t>JHH CHP</t>
  </si>
  <si>
    <t>UM St Joseph</t>
  </si>
  <si>
    <t>Initial Review Scores</t>
  </si>
  <si>
    <t>Final Review Scores</t>
  </si>
  <si>
    <t>Final Budget Request</t>
  </si>
  <si>
    <t>Operating Profit</t>
  </si>
  <si>
    <t>By-Investment Dollars</t>
  </si>
  <si>
    <t>Health Stabilization for Seniors</t>
  </si>
  <si>
    <t>Hospital Care Transitions Expansion</t>
  </si>
  <si>
    <t>Post-Acute Specialty Care for Ineligible/Uninsured Patients</t>
  </si>
  <si>
    <t>Service Capacity for the Severely Mentally Ill</t>
  </si>
  <si>
    <t>Infrastructure NM RP</t>
  </si>
  <si>
    <t>Hospitals Admin Fee (5% of each Lead Hospitals' Rate Increase)</t>
  </si>
  <si>
    <t>Staffing</t>
  </si>
  <si>
    <t>IT/Technologies</t>
  </si>
  <si>
    <t>Other Implementation</t>
  </si>
  <si>
    <t>Other Indirect Costs</t>
  </si>
  <si>
    <t>FY2016 Permanent  Revenue</t>
  </si>
  <si>
    <t>Personnel (Leadership, Analytics, CQI)</t>
  </si>
  <si>
    <t>Information Technology</t>
  </si>
  <si>
    <t>Primary Care Teams/Care Coordination</t>
  </si>
  <si>
    <t>Bridge Team</t>
  </si>
  <si>
    <t>House Calls</t>
  </si>
  <si>
    <t>CHWs in the Community</t>
  </si>
  <si>
    <t>Neighborhood Navigators</t>
  </si>
  <si>
    <t>Patient Engagement Training</t>
  </si>
  <si>
    <t>ED Coordination with CHWs</t>
  </si>
  <si>
    <t>Convalescent Care</t>
  </si>
  <si>
    <t>Skilled Nursing Facility Protocols</t>
  </si>
  <si>
    <t>Home-based Strategies</t>
  </si>
  <si>
    <t>Intervention Monitoring</t>
  </si>
  <si>
    <t>Other Indirect Program Support</t>
  </si>
  <si>
    <t>Behavioral Health</t>
  </si>
  <si>
    <t>Complex Care Management</t>
  </si>
  <si>
    <t>Decrease ED PAU</t>
  </si>
  <si>
    <t>Via GM</t>
  </si>
  <si>
    <t>HCRP Leadership</t>
  </si>
  <si>
    <t>Community Care Team</t>
  </si>
  <si>
    <t>Acute Care Setting</t>
  </si>
  <si>
    <t>Post-Acute Setting</t>
  </si>
  <si>
    <t>Primary Care Interventions</t>
  </si>
  <si>
    <t>Support Tools for Care Coordination</t>
  </si>
  <si>
    <t>HCRP Operations</t>
  </si>
  <si>
    <t>Slide 26 from Presentation</t>
  </si>
  <si>
    <t>Source: Revised March 4 letter - pg. 5</t>
  </si>
  <si>
    <t>Care Management - PCMH</t>
  </si>
  <si>
    <t>Support Our Elders - Palliative</t>
  </si>
  <si>
    <t>Care Management - ER</t>
  </si>
  <si>
    <t>Overhead</t>
  </si>
  <si>
    <t>NOTE: $800 less than total request, pg. 15 of Presentation .pdf</t>
  </si>
  <si>
    <t>SOURCE/NOTES</t>
  </si>
  <si>
    <t>Care Alert/Care Plans</t>
  </si>
  <si>
    <t>Once Call Care Management and Quality Coordinators</t>
  </si>
  <si>
    <t>Behavioral Health/Physical</t>
  </si>
  <si>
    <t>Community Care Managers</t>
  </si>
  <si>
    <t>DoAD Senior Triage Team</t>
  </si>
  <si>
    <t>SNF Collaborative</t>
  </si>
  <si>
    <t>Clinical Trans Spec</t>
  </si>
  <si>
    <t>Radmissions Analyst AA</t>
  </si>
  <si>
    <t>Program Oversight</t>
  </si>
  <si>
    <t>AAMC Collaborative Care Network</t>
  </si>
  <si>
    <t>Physician House Calls</t>
  </si>
  <si>
    <t>Joint PFAC</t>
  </si>
  <si>
    <t>Other Indirect</t>
  </si>
  <si>
    <t>SOURCE: Slide 54 of the presentation</t>
  </si>
  <si>
    <t>NOTE: Itemized is off by approx. $3800 (totaling 15,496,200-ish instead of $15.5, SOURCE - Slide 24 of presentation - AZ)</t>
  </si>
  <si>
    <t>NOTE: Itemized is off by $100 in NM budget - AZ - from slide 28/GM File</t>
  </si>
  <si>
    <t>Direct Personnel Costs</t>
  </si>
  <si>
    <t>IT Technologies</t>
  </si>
  <si>
    <t>Safety, Patient Care Needs, Education</t>
  </si>
  <si>
    <t>Support Personnel, Office Space, and HIM</t>
  </si>
  <si>
    <t>Other Funding</t>
  </si>
  <si>
    <t>NOTE: One intervention (Total Eldercare) with several itemized areas of funding - SOURCE - Slide 32)</t>
  </si>
  <si>
    <t>0.5% per-hospital*</t>
  </si>
  <si>
    <t>*Except secondary CHP partners, which requested .25</t>
  </si>
  <si>
    <t>By-Hospital Request</t>
  </si>
  <si>
    <t>.25 of FY16 Total Permanent Revenue</t>
  </si>
  <si>
    <t>Total Statewide Permanent Revenue FY16</t>
  </si>
  <si>
    <t>By-Hospital as % of FY16 Permanent Revenue</t>
  </si>
  <si>
    <t>(-$80,000 in BRG reports)</t>
  </si>
  <si>
    <t>Group questioning whether this initiative is duplicative</t>
  </si>
  <si>
    <t>Group decides Readmissions Analyst already covered in infrastructure awards</t>
  </si>
  <si>
    <t>Decrease to 0.5 Amount</t>
  </si>
  <si>
    <t>0.1% Overhead Costs Alignment</t>
  </si>
  <si>
    <t>Removed because Care Transitions. Dianne F. notes that pg. 7 of Supplemental Materials states that the program will actually follow the patient for 90 days.</t>
  </si>
  <si>
    <t>Reduce amuont</t>
  </si>
  <si>
    <t>Accepted?</t>
  </si>
  <si>
    <t>Yes</t>
  </si>
  <si>
    <t>Yes - will delineate in coming weeks; Mercy has declined to participate.</t>
  </si>
  <si>
    <t>Yes - $3,831,143 - AAMC will take $2,203,496; BWMC will take $1,627,647</t>
  </si>
  <si>
    <t>Yes - will split evenly among the 3 hospitals - which will be $1,033,333</t>
  </si>
  <si>
    <t xml:space="preserve">Yes  - maximum 0.5 for single hospital  </t>
  </si>
  <si>
    <t>Yes - maximum 0.5 for single hospital</t>
  </si>
  <si>
    <t>Yes - full amount requested</t>
  </si>
  <si>
    <t>By-Hospital</t>
  </si>
  <si>
    <t>By-Hospital Award</t>
  </si>
  <si>
    <t>Applicant Name</t>
  </si>
  <si>
    <t>POC</t>
  </si>
  <si>
    <t>POC E-mail</t>
  </si>
  <si>
    <t>Ms. Cindy Gingrich</t>
  </si>
  <si>
    <t xml:space="preserve">cindygingrich@gmail.com </t>
  </si>
  <si>
    <t>Mr. John Ellis</t>
  </si>
  <si>
    <t>JWEllis@gbmc.org</t>
  </si>
  <si>
    <t>Ms. Elizabeth Edsall Kromm</t>
  </si>
  <si>
    <t>ekromm@jhmi.edu</t>
  </si>
  <si>
    <t>Ms. Laura Herrera Scott</t>
  </si>
  <si>
    <t>LHScott@jhhc.com</t>
  </si>
  <si>
    <t>Ms. Leslie Graham</t>
  </si>
  <si>
    <t>Leslie_Graham@primarycarecoalition.org</t>
  </si>
  <si>
    <t>Ms. Kathy Talbot</t>
  </si>
  <si>
    <t xml:space="preserve">Kathy.A.Talbot@medstar.net </t>
  </si>
  <si>
    <t>Ms. Kristie Carbaugh</t>
  </si>
  <si>
    <t>Kristie.Carbaugh@trivergenthealth.com</t>
  </si>
  <si>
    <t>Mr. Paul Nicholson</t>
  </si>
  <si>
    <t>paulnicholson@umm.edu</t>
  </si>
  <si>
    <t>Mr. Colin Ward</t>
  </si>
  <si>
    <t>CWard@uchs.org</t>
  </si>
  <si>
    <t>Final Budget Amount</t>
  </si>
  <si>
    <t>ü</t>
  </si>
  <si>
    <t>(ADD M/U)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</si>
</sst>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;\(#,##0\)"/>
    <numFmt numFmtId="166" formatCode="&quot;$&quot;#,##0;[Red]&quot;$&quot;#,##0"/>
    <numFmt numFmtId="167" formatCode="0.0%;\(0.0%\)"/>
    <numFmt numFmtId="168" formatCode="0.00%;\(0.00%\)"/>
    <numFmt numFmtId="169" formatCode="0.0000"/>
    <numFmt numFmtId="170" formatCode="0.0"/>
  </numFmts>
  <fonts count="5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name val="Tms Rmn"/>
    </font>
    <font>
      <sz val="11"/>
      <color indexed="8"/>
      <name val="Calibri"/>
      <family val="2"/>
    </font>
    <font>
      <sz val="10"/>
      <name val="Courier"/>
      <family val="3"/>
    </font>
    <font>
      <sz val="24"/>
      <color indexed="13"/>
      <name val="SWISS"/>
    </font>
    <font>
      <sz val="9"/>
      <name val="Arial"/>
      <family val="2"/>
    </font>
    <font>
      <b/>
      <sz val="14"/>
      <name val="SWISS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0"/>
      <name val="MS Sans Serif"/>
      <family val="2"/>
    </font>
    <font>
      <b/>
      <sz val="10"/>
      <name val="MS Sans Serif"/>
      <family val="2"/>
    </font>
    <font>
      <b/>
      <sz val="6.5"/>
      <name val="MS Sans Serif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i/>
      <sz val="11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555555"/>
      <name val="Arial"/>
      <family val="2"/>
    </font>
    <font>
      <b/>
      <sz val="11"/>
      <color theme="1"/>
      <name val="Wingdings"/>
      <charset val="2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5B9BD5"/>
        <bgColor theme="4"/>
      </patternFill>
    </fill>
    <fill>
      <patternFill patternType="solid">
        <fgColor rgb="FF5B9BD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0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0" fontId="21" fillId="37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0" fontId="12" fillId="8" borderId="0" applyNumberFormat="0" applyBorder="0" applyAlignment="0" applyProtection="0"/>
    <xf numFmtId="0" fontId="16" fillId="11" borderId="14" applyNumberFormat="0" applyAlignment="0" applyProtection="0"/>
    <xf numFmtId="0" fontId="18" fillId="12" borderId="17" applyNumberFormat="0" applyAlignment="0" applyProtection="0"/>
    <xf numFmtId="4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7" fillId="0" borderId="0" applyFill="0" applyBorder="0" applyAlignment="0" applyProtection="0"/>
    <xf numFmtId="42" fontId="22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9" fillId="0" borderId="0"/>
    <xf numFmtId="0" fontId="29" fillId="0" borderId="20"/>
    <xf numFmtId="0" fontId="29" fillId="0" borderId="20"/>
    <xf numFmtId="0" fontId="30" fillId="38" borderId="0"/>
    <xf numFmtId="0" fontId="20" fillId="0" borderId="0" applyNumberFormat="0" applyFill="0" applyBorder="0" applyAlignment="0" applyProtection="0"/>
    <xf numFmtId="6" fontId="31" fillId="0" borderId="0"/>
    <xf numFmtId="0" fontId="32" fillId="0" borderId="21"/>
    <xf numFmtId="0" fontId="32" fillId="0" borderId="20"/>
    <xf numFmtId="0" fontId="32" fillId="39" borderId="20"/>
    <xf numFmtId="0" fontId="11" fillId="7" borderId="0" applyNumberFormat="0" applyBorder="0" applyAlignment="0" applyProtection="0"/>
    <xf numFmtId="38" fontId="33" fillId="40" borderId="0" applyNumberFormat="0" applyBorder="0" applyAlignment="0" applyProtection="0"/>
    <xf numFmtId="0" fontId="34" fillId="0" borderId="22" applyNumberFormat="0" applyAlignment="0" applyProtection="0">
      <alignment horizontal="left" vertical="center"/>
    </xf>
    <xf numFmtId="0" fontId="34" fillId="0" borderId="6">
      <alignment horizontal="left" vertical="center"/>
    </xf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10" fontId="33" fillId="41" borderId="1" applyNumberFormat="0" applyBorder="0" applyAlignment="0" applyProtection="0"/>
    <xf numFmtId="0" fontId="14" fillId="10" borderId="14" applyNumberFormat="0" applyAlignment="0" applyProtection="0"/>
    <xf numFmtId="0" fontId="17" fillId="0" borderId="16" applyNumberFormat="0" applyFill="0" applyAlignment="0" applyProtection="0"/>
    <xf numFmtId="0" fontId="13" fillId="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3" fillId="0" borderId="0"/>
    <xf numFmtId="0" fontId="25" fillId="0" borderId="0"/>
    <xf numFmtId="0" fontId="36" fillId="0" borderId="0"/>
    <xf numFmtId="166" fontId="24" fillId="0" borderId="0">
      <alignment wrapText="1"/>
    </xf>
    <xf numFmtId="0" fontId="22" fillId="0" borderId="0"/>
    <xf numFmtId="0" fontId="3" fillId="0" borderId="0"/>
    <xf numFmtId="0" fontId="3" fillId="13" borderId="18" applyNumberFormat="0" applyFont="0" applyAlignment="0" applyProtection="0"/>
    <xf numFmtId="0" fontId="15" fillId="11" borderId="15" applyNumberFormat="0" applyAlignment="0" applyProtection="0"/>
    <xf numFmtId="10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7" fillId="0" borderId="0" applyFill="0" applyBorder="0" applyAlignment="0" applyProtection="0"/>
    <xf numFmtId="168" fontId="27" fillId="0" borderId="0" applyFill="0" applyBorder="0" applyAlignment="0" applyProtection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37" fillId="0" borderId="23">
      <alignment horizontal="center"/>
    </xf>
    <xf numFmtId="3" fontId="36" fillId="0" borderId="0" applyFont="0" applyFill="0" applyBorder="0" applyAlignment="0" applyProtection="0"/>
    <xf numFmtId="0" fontId="36" fillId="42" borderId="0" applyNumberFormat="0" applyFont="0" applyBorder="0" applyAlignment="0" applyProtection="0"/>
    <xf numFmtId="0" fontId="38" fillId="43" borderId="0" applyNumberFormat="0" applyFont="0" applyFill="0" applyBorder="0" applyAlignment="0" applyProtection="0"/>
    <xf numFmtId="0" fontId="38" fillId="44" borderId="0" applyNumberFormat="0" applyFont="0" applyFill="0" applyBorder="0" applyAlignment="0" applyProtection="0"/>
    <xf numFmtId="0" fontId="29" fillId="0" borderId="0"/>
    <xf numFmtId="0" fontId="39" fillId="0" borderId="0"/>
    <xf numFmtId="0" fontId="39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42" fillId="45" borderId="0" applyNumberFormat="0" applyBorder="0" applyAlignment="0"/>
    <xf numFmtId="0" fontId="4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</cellStyleXfs>
  <cellXfs count="283">
    <xf numFmtId="0" fontId="0" fillId="0" borderId="0" xfId="0"/>
    <xf numFmtId="0" fontId="1" fillId="0" borderId="2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1" xfId="0" applyNumberFormat="1" applyFont="1" applyFill="1" applyBorder="1"/>
    <xf numFmtId="164" fontId="0" fillId="0" borderId="1" xfId="1" applyNumberFormat="1" applyFont="1" applyBorder="1"/>
    <xf numFmtId="0" fontId="0" fillId="2" borderId="1" xfId="0" applyFont="1" applyFill="1" applyBorder="1" applyAlignment="1">
      <alignment wrapText="1"/>
    </xf>
    <xf numFmtId="0" fontId="0" fillId="2" borderId="1" xfId="0" applyNumberFormat="1" applyFont="1" applyFill="1" applyBorder="1"/>
    <xf numFmtId="10" fontId="0" fillId="2" borderId="1" xfId="0" applyNumberFormat="1" applyFont="1" applyFill="1" applyBorder="1" applyAlignment="1">
      <alignment wrapText="1"/>
    </xf>
    <xf numFmtId="10" fontId="0" fillId="2" borderId="1" xfId="0" applyNumberFormat="1" applyFont="1" applyFill="1" applyBorder="1"/>
    <xf numFmtId="0" fontId="0" fillId="6" borderId="1" xfId="0" applyFont="1" applyFill="1" applyBorder="1" applyAlignment="1">
      <alignment wrapText="1"/>
    </xf>
    <xf numFmtId="0" fontId="0" fillId="6" borderId="1" xfId="0" applyNumberFormat="1" applyFont="1" applyFill="1" applyBorder="1"/>
    <xf numFmtId="10" fontId="0" fillId="6" borderId="1" xfId="0" applyNumberFormat="1" applyFont="1" applyFill="1" applyBorder="1" applyAlignment="1">
      <alignment wrapText="1"/>
    </xf>
    <xf numFmtId="10" fontId="0" fillId="6" borderId="1" xfId="0" applyNumberFormat="1" applyFont="1" applyFill="1" applyBorder="1"/>
    <xf numFmtId="164" fontId="1" fillId="0" borderId="1" xfId="1" applyNumberFormat="1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4" fontId="0" fillId="0" borderId="0" xfId="0" applyNumberFormat="1" applyFont="1" applyBorder="1"/>
    <xf numFmtId="164" fontId="0" fillId="0" borderId="0" xfId="0" applyNumberFormat="1"/>
    <xf numFmtId="0" fontId="0" fillId="0" borderId="1" xfId="0" applyFont="1" applyFill="1" applyBorder="1" applyAlignment="1">
      <alignment wrapText="1"/>
    </xf>
    <xf numFmtId="0" fontId="0" fillId="0" borderId="1" xfId="0" applyNumberFormat="1" applyFont="1" applyFill="1" applyBorder="1"/>
    <xf numFmtId="10" fontId="0" fillId="0" borderId="1" xfId="0" applyNumberFormat="1" applyFont="1" applyFill="1" applyBorder="1" applyAlignment="1">
      <alignment wrapText="1"/>
    </xf>
    <xf numFmtId="10" fontId="0" fillId="0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NumberFormat="1" applyFill="1" applyBorder="1"/>
    <xf numFmtId="10" fontId="0" fillId="0" borderId="1" xfId="0" applyNumberFormat="1" applyFill="1" applyBorder="1" applyAlignment="1">
      <alignment wrapText="1"/>
    </xf>
    <xf numFmtId="10" fontId="0" fillId="0" borderId="1" xfId="0" applyNumberFormat="1" applyFill="1" applyBorder="1"/>
    <xf numFmtId="0" fontId="0" fillId="0" borderId="1" xfId="0" applyFont="1" applyBorder="1" applyAlignment="1">
      <alignment wrapText="1"/>
    </xf>
    <xf numFmtId="0" fontId="0" fillId="0" borderId="1" xfId="0" applyNumberFormat="1" applyFont="1" applyBorder="1"/>
    <xf numFmtId="10" fontId="0" fillId="0" borderId="1" xfId="0" applyNumberFormat="1" applyFont="1" applyBorder="1" applyAlignment="1">
      <alignment wrapText="1"/>
    </xf>
    <xf numFmtId="10" fontId="0" fillId="0" borderId="1" xfId="0" applyNumberFormat="1" applyFont="1" applyBorder="1"/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64" fontId="6" fillId="5" borderId="24" xfId="0" applyNumberFormat="1" applyFont="1" applyFill="1" applyBorder="1" applyAlignment="1">
      <alignment horizontal="center" vertical="center" wrapText="1"/>
    </xf>
    <xf numFmtId="164" fontId="6" fillId="5" borderId="7" xfId="0" applyNumberFormat="1" applyFont="1" applyFill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4" fontId="0" fillId="0" borderId="25" xfId="0" applyNumberFormat="1" applyFont="1" applyBorder="1"/>
    <xf numFmtId="164" fontId="1" fillId="0" borderId="25" xfId="2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9" fontId="0" fillId="0" borderId="0" xfId="0" applyNumberFormat="1"/>
    <xf numFmtId="10" fontId="0" fillId="0" borderId="0" xfId="2" applyNumberFormat="1" applyFont="1"/>
    <xf numFmtId="44" fontId="0" fillId="0" borderId="0" xfId="1" applyFont="1"/>
    <xf numFmtId="0" fontId="5" fillId="0" borderId="26" xfId="0" applyFont="1" applyBorder="1" applyAlignment="1">
      <alignment horizontal="left" vertical="center" wrapText="1"/>
    </xf>
    <xf numFmtId="0" fontId="0" fillId="0" borderId="25" xfId="0" applyFont="1" applyBorder="1" applyAlignment="1">
      <alignment wrapText="1"/>
    </xf>
    <xf numFmtId="0" fontId="0" fillId="0" borderId="25" xfId="0" applyNumberFormat="1" applyFont="1" applyBorder="1"/>
    <xf numFmtId="10" fontId="0" fillId="0" borderId="25" xfId="0" applyNumberFormat="1" applyFont="1" applyBorder="1" applyAlignment="1">
      <alignment wrapText="1"/>
    </xf>
    <xf numFmtId="10" fontId="0" fillId="0" borderId="25" xfId="0" applyNumberFormat="1" applyFont="1" applyBorder="1"/>
    <xf numFmtId="164" fontId="0" fillId="46" borderId="1" xfId="1" applyNumberFormat="1" applyFont="1" applyFill="1" applyBorder="1"/>
    <xf numFmtId="164" fontId="1" fillId="46" borderId="1" xfId="1" applyNumberFormat="1" applyFont="1" applyFill="1" applyBorder="1" applyAlignment="1">
      <alignment horizontal="center" vertical="center"/>
    </xf>
    <xf numFmtId="0" fontId="0" fillId="46" borderId="0" xfId="0" applyFill="1"/>
    <xf numFmtId="0" fontId="5" fillId="0" borderId="2" xfId="0" applyFont="1" applyBorder="1" applyAlignment="1">
      <alignment horizontal="left" vertical="center" wrapText="1"/>
    </xf>
    <xf numFmtId="4" fontId="0" fillId="0" borderId="7" xfId="0" applyNumberFormat="1" applyFont="1" applyBorder="1"/>
    <xf numFmtId="164" fontId="1" fillId="0" borderId="7" xfId="1" applyNumberFormat="1" applyFont="1" applyFill="1" applyBorder="1" applyAlignment="1">
      <alignment horizontal="center" vertical="center"/>
    </xf>
    <xf numFmtId="10" fontId="1" fillId="0" borderId="7" xfId="2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wrapText="1"/>
    </xf>
    <xf numFmtId="0" fontId="0" fillId="2" borderId="7" xfId="0" applyNumberFormat="1" applyFont="1" applyFill="1" applyBorder="1"/>
    <xf numFmtId="10" fontId="0" fillId="2" borderId="7" xfId="0" applyNumberFormat="1" applyFont="1" applyFill="1" applyBorder="1" applyAlignment="1">
      <alignment wrapText="1"/>
    </xf>
    <xf numFmtId="10" fontId="0" fillId="2" borderId="7" xfId="0" applyNumberFormat="1" applyFont="1" applyFill="1" applyBorder="1"/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4" fontId="0" fillId="0" borderId="27" xfId="0" applyNumberFormat="1" applyFont="1" applyBorder="1"/>
    <xf numFmtId="164" fontId="1" fillId="0" borderId="27" xfId="1" applyNumberFormat="1" applyFont="1" applyBorder="1" applyAlignment="1">
      <alignment horizontal="center" vertical="center"/>
    </xf>
    <xf numFmtId="10" fontId="1" fillId="0" borderId="27" xfId="2" applyNumberFormat="1" applyFont="1" applyBorder="1" applyAlignment="1">
      <alignment horizontal="center" vertical="center"/>
    </xf>
    <xf numFmtId="164" fontId="1" fillId="0" borderId="27" xfId="2" applyNumberFormat="1" applyFont="1" applyFill="1" applyBorder="1" applyAlignment="1">
      <alignment horizontal="center" vertical="center"/>
    </xf>
    <xf numFmtId="0" fontId="0" fillId="6" borderId="27" xfId="0" applyFont="1" applyFill="1" applyBorder="1" applyAlignment="1">
      <alignment wrapText="1"/>
    </xf>
    <xf numFmtId="0" fontId="0" fillId="6" borderId="27" xfId="0" applyNumberFormat="1" applyFont="1" applyFill="1" applyBorder="1"/>
    <xf numFmtId="10" fontId="0" fillId="6" borderId="27" xfId="0" applyNumberFormat="1" applyFont="1" applyFill="1" applyBorder="1" applyAlignment="1">
      <alignment wrapText="1"/>
    </xf>
    <xf numFmtId="10" fontId="0" fillId="6" borderId="27" xfId="0" applyNumberFormat="1" applyFont="1" applyFill="1" applyBorder="1"/>
    <xf numFmtId="0" fontId="0" fillId="0" borderId="23" xfId="0" applyBorder="1"/>
    <xf numFmtId="4" fontId="0" fillId="0" borderId="7" xfId="0" applyNumberFormat="1" applyFont="1" applyFill="1" applyBorder="1"/>
    <xf numFmtId="164" fontId="1" fillId="0" borderId="7" xfId="1" applyNumberFormat="1" applyFont="1" applyBorder="1" applyAlignment="1">
      <alignment horizontal="center" vertical="center"/>
    </xf>
    <xf numFmtId="164" fontId="1" fillId="0" borderId="7" xfId="2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6" borderId="7" xfId="0" applyFont="1" applyFill="1" applyBorder="1" applyAlignment="1">
      <alignment wrapText="1"/>
    </xf>
    <xf numFmtId="0" fontId="0" fillId="6" borderId="7" xfId="0" applyNumberFormat="1" applyFont="1" applyFill="1" applyBorder="1"/>
    <xf numFmtId="10" fontId="0" fillId="6" borderId="7" xfId="0" applyNumberFormat="1" applyFont="1" applyFill="1" applyBorder="1" applyAlignment="1">
      <alignment wrapText="1"/>
    </xf>
    <xf numFmtId="10" fontId="0" fillId="6" borderId="7" xfId="0" applyNumberFormat="1" applyFont="1" applyFill="1" applyBorder="1"/>
    <xf numFmtId="164" fontId="1" fillId="0" borderId="27" xfId="2" applyNumberFormat="1" applyFont="1" applyBorder="1" applyAlignment="1">
      <alignment horizontal="center" vertical="center"/>
    </xf>
    <xf numFmtId="44" fontId="0" fillId="0" borderId="0" xfId="0" applyNumberFormat="1"/>
    <xf numFmtId="9" fontId="0" fillId="0" borderId="0" xfId="2" applyFont="1"/>
    <xf numFmtId="10" fontId="1" fillId="0" borderId="1" xfId="2" applyNumberFormat="1" applyFont="1" applyFill="1" applyBorder="1" applyAlignment="1">
      <alignment horizontal="center" vertical="center"/>
    </xf>
    <xf numFmtId="0" fontId="0" fillId="0" borderId="0" xfId="0" applyFill="1"/>
    <xf numFmtId="0" fontId="0" fillId="46" borderId="1" xfId="0" applyFont="1" applyFill="1" applyBorder="1" applyAlignment="1">
      <alignment wrapText="1"/>
    </xf>
    <xf numFmtId="0" fontId="0" fillId="46" borderId="1" xfId="0" applyNumberFormat="1" applyFont="1" applyFill="1" applyBorder="1"/>
    <xf numFmtId="10" fontId="0" fillId="46" borderId="1" xfId="0" applyNumberFormat="1" applyFont="1" applyFill="1" applyBorder="1" applyAlignment="1">
      <alignment wrapText="1"/>
    </xf>
    <xf numFmtId="10" fontId="0" fillId="46" borderId="1" xfId="0" applyNumberFormat="1" applyFont="1" applyFill="1" applyBorder="1"/>
    <xf numFmtId="0" fontId="0" fillId="0" borderId="0" xfId="2" applyNumberFormat="1" applyFont="1"/>
    <xf numFmtId="169" fontId="0" fillId="0" borderId="0" xfId="0" applyNumberFormat="1"/>
    <xf numFmtId="164" fontId="1" fillId="0" borderId="7" xfId="2" applyNumberFormat="1" applyFont="1" applyFill="1" applyBorder="1" applyAlignment="1">
      <alignment horizontal="center" vertical="center"/>
    </xf>
    <xf numFmtId="0" fontId="0" fillId="46" borderId="27" xfId="0" applyFont="1" applyFill="1" applyBorder="1" applyAlignment="1">
      <alignment wrapText="1"/>
    </xf>
    <xf numFmtId="0" fontId="0" fillId="46" borderId="27" xfId="0" applyNumberFormat="1" applyFont="1" applyFill="1" applyBorder="1"/>
    <xf numFmtId="10" fontId="0" fillId="46" borderId="27" xfId="0" applyNumberFormat="1" applyFont="1" applyFill="1" applyBorder="1" applyAlignment="1">
      <alignment wrapText="1"/>
    </xf>
    <xf numFmtId="10" fontId="0" fillId="46" borderId="27" xfId="0" applyNumberFormat="1" applyFont="1" applyFill="1" applyBorder="1"/>
    <xf numFmtId="0" fontId="0" fillId="46" borderId="23" xfId="0" applyFill="1" applyBorder="1"/>
    <xf numFmtId="0" fontId="1" fillId="0" borderId="1" xfId="0" applyFont="1" applyBorder="1" applyAlignment="1">
      <alignment horizontal="left" wrapText="1"/>
    </xf>
    <xf numFmtId="0" fontId="5" fillId="0" borderId="2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23" xfId="0" applyFont="1" applyBorder="1"/>
    <xf numFmtId="10" fontId="0" fillId="0" borderId="1" xfId="0" applyNumberFormat="1" applyBorder="1"/>
    <xf numFmtId="0" fontId="0" fillId="0" borderId="7" xfId="0" applyBorder="1"/>
    <xf numFmtId="10" fontId="0" fillId="0" borderId="7" xfId="0" applyNumberFormat="1" applyBorder="1"/>
    <xf numFmtId="164" fontId="1" fillId="0" borderId="1" xfId="1" applyNumberFormat="1" applyFont="1" applyBorder="1"/>
    <xf numFmtId="164" fontId="1" fillId="0" borderId="27" xfId="1" applyNumberFormat="1" applyFont="1" applyBorder="1"/>
    <xf numFmtId="164" fontId="1" fillId="0" borderId="7" xfId="1" applyNumberFormat="1" applyFont="1" applyBorder="1"/>
    <xf numFmtId="3" fontId="1" fillId="0" borderId="0" xfId="0" applyNumberFormat="1" applyFont="1" applyBorder="1"/>
    <xf numFmtId="164" fontId="1" fillId="0" borderId="25" xfId="1" applyNumberFormat="1" applyFont="1" applyBorder="1"/>
    <xf numFmtId="37" fontId="1" fillId="0" borderId="1" xfId="0" applyNumberFormat="1" applyFont="1" applyBorder="1"/>
    <xf numFmtId="164" fontId="7" fillId="0" borderId="1" xfId="1" applyNumberFormat="1" applyFont="1" applyBorder="1" applyAlignment="1"/>
    <xf numFmtId="164" fontId="1" fillId="0" borderId="1" xfId="1" applyNumberFormat="1" applyFont="1" applyFill="1" applyBorder="1"/>
    <xf numFmtId="164" fontId="1" fillId="0" borderId="0" xfId="0" applyNumberFormat="1" applyFont="1"/>
    <xf numFmtId="0" fontId="4" fillId="46" borderId="6" xfId="0" applyFont="1" applyFill="1" applyBorder="1" applyAlignment="1">
      <alignment horizontal="left" vertical="center" wrapText="1"/>
    </xf>
    <xf numFmtId="4" fontId="4" fillId="46" borderId="1" xfId="0" applyNumberFormat="1" applyFont="1" applyFill="1" applyBorder="1"/>
    <xf numFmtId="164" fontId="4" fillId="46" borderId="1" xfId="1" applyNumberFormat="1" applyFont="1" applyFill="1" applyBorder="1"/>
    <xf numFmtId="10" fontId="4" fillId="46" borderId="1" xfId="2" applyNumberFormat="1" applyFont="1" applyFill="1" applyBorder="1" applyAlignment="1">
      <alignment horizontal="center" vertical="center"/>
    </xf>
    <xf numFmtId="164" fontId="4" fillId="46" borderId="1" xfId="1" applyNumberFormat="1" applyFont="1" applyFill="1" applyBorder="1" applyAlignment="1">
      <alignment horizontal="center" vertical="center"/>
    </xf>
    <xf numFmtId="0" fontId="4" fillId="46" borderId="28" xfId="0" applyFont="1" applyFill="1" applyBorder="1" applyAlignment="1">
      <alignment horizontal="left" vertical="center" wrapText="1"/>
    </xf>
    <xf numFmtId="4" fontId="4" fillId="46" borderId="27" xfId="0" applyNumberFormat="1" applyFont="1" applyFill="1" applyBorder="1"/>
    <xf numFmtId="164" fontId="4" fillId="46" borderId="27" xfId="1" applyNumberFormat="1" applyFont="1" applyFill="1" applyBorder="1"/>
    <xf numFmtId="164" fontId="4" fillId="46" borderId="7" xfId="2" applyNumberFormat="1" applyFont="1" applyFill="1" applyBorder="1" applyAlignment="1">
      <alignment horizontal="center" vertical="center"/>
    </xf>
    <xf numFmtId="10" fontId="4" fillId="46" borderId="27" xfId="2" applyNumberFormat="1" applyFont="1" applyFill="1" applyBorder="1" applyAlignment="1">
      <alignment horizontal="center" vertical="center"/>
    </xf>
    <xf numFmtId="0" fontId="4" fillId="48" borderId="29" xfId="0" applyFont="1" applyFill="1" applyBorder="1" applyAlignment="1">
      <alignment horizontal="center"/>
    </xf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0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" fontId="0" fillId="0" borderId="1" xfId="0" applyNumberFormat="1" applyFont="1" applyFill="1" applyBorder="1"/>
    <xf numFmtId="164" fontId="0" fillId="0" borderId="1" xfId="1" applyNumberFormat="1" applyFont="1" applyBorder="1"/>
    <xf numFmtId="164" fontId="1" fillId="0" borderId="1" xfId="1" applyNumberFormat="1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164" fontId="0" fillId="0" borderId="0" xfId="0" applyNumberFormat="1"/>
    <xf numFmtId="164" fontId="7" fillId="0" borderId="1" xfId="1" applyNumberFormat="1" applyFont="1" applyBorder="1"/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NumberFormat="1" applyFont="1" applyFill="1" applyBorder="1"/>
    <xf numFmtId="10" fontId="0" fillId="0" borderId="1" xfId="0" applyNumberFormat="1" applyFont="1" applyFill="1" applyBorder="1" applyAlignment="1">
      <alignment wrapText="1"/>
    </xf>
    <xf numFmtId="10" fontId="0" fillId="0" borderId="1" xfId="0" applyNumberFormat="1" applyFont="1" applyFill="1" applyBorder="1"/>
    <xf numFmtId="0" fontId="5" fillId="49" borderId="1" xfId="0" applyFont="1" applyFill="1" applyBorder="1" applyAlignment="1">
      <alignment horizontal="left" vertical="center" wrapText="1"/>
    </xf>
    <xf numFmtId="4" fontId="0" fillId="49" borderId="1" xfId="0" applyNumberFormat="1" applyFont="1" applyFill="1" applyBorder="1"/>
    <xf numFmtId="164" fontId="1" fillId="49" borderId="0" xfId="1" applyNumberFormat="1" applyFont="1" applyFill="1" applyBorder="1"/>
    <xf numFmtId="164" fontId="1" fillId="49" borderId="1" xfId="1" applyNumberFormat="1" applyFont="1" applyFill="1" applyBorder="1" applyAlignment="1">
      <alignment horizontal="center" vertical="center"/>
    </xf>
    <xf numFmtId="10" fontId="1" fillId="49" borderId="1" xfId="2" applyNumberFormat="1" applyFont="1" applyFill="1" applyBorder="1" applyAlignment="1">
      <alignment horizontal="center" vertical="center"/>
    </xf>
    <xf numFmtId="0" fontId="0" fillId="49" borderId="1" xfId="0" applyFont="1" applyFill="1" applyBorder="1" applyAlignment="1">
      <alignment wrapText="1"/>
    </xf>
    <xf numFmtId="0" fontId="0" fillId="49" borderId="1" xfId="0" applyNumberFormat="1" applyFont="1" applyFill="1" applyBorder="1"/>
    <xf numFmtId="10" fontId="0" fillId="49" borderId="1" xfId="0" applyNumberFormat="1" applyFont="1" applyFill="1" applyBorder="1" applyAlignment="1">
      <alignment wrapText="1"/>
    </xf>
    <xf numFmtId="10" fontId="0" fillId="49" borderId="1" xfId="0" applyNumberFormat="1" applyFont="1" applyFill="1" applyBorder="1"/>
    <xf numFmtId="0" fontId="0" fillId="49" borderId="0" xfId="0" applyFill="1"/>
    <xf numFmtId="0" fontId="0" fillId="49" borderId="1" xfId="0" applyFill="1" applyBorder="1"/>
    <xf numFmtId="10" fontId="0" fillId="49" borderId="1" xfId="0" applyNumberFormat="1" applyFill="1" applyBorder="1"/>
    <xf numFmtId="0" fontId="5" fillId="49" borderId="6" xfId="0" applyFont="1" applyFill="1" applyBorder="1" applyAlignment="1">
      <alignment horizontal="left" vertical="center" wrapText="1"/>
    </xf>
    <xf numFmtId="164" fontId="1" fillId="49" borderId="7" xfId="2" applyNumberFormat="1" applyFont="1" applyFill="1" applyBorder="1" applyAlignment="1">
      <alignment horizontal="center" vertical="center"/>
    </xf>
    <xf numFmtId="0" fontId="4" fillId="47" borderId="27" xfId="0" applyFont="1" applyFill="1" applyBorder="1" applyAlignment="1">
      <alignment wrapText="1"/>
    </xf>
    <xf numFmtId="10" fontId="4" fillId="47" borderId="27" xfId="0" applyNumberFormat="1" applyFont="1" applyFill="1" applyBorder="1" applyAlignment="1">
      <alignment wrapText="1"/>
    </xf>
    <xf numFmtId="10" fontId="4" fillId="47" borderId="27" xfId="0" applyNumberFormat="1" applyFont="1" applyFill="1" applyBorder="1"/>
    <xf numFmtId="0" fontId="4" fillId="0" borderId="23" xfId="0" applyFont="1" applyBorder="1"/>
    <xf numFmtId="0" fontId="4" fillId="47" borderId="1" xfId="0" applyFont="1" applyFill="1" applyBorder="1" applyAlignment="1">
      <alignment wrapText="1"/>
    </xf>
    <xf numFmtId="0" fontId="4" fillId="47" borderId="1" xfId="0" applyNumberFormat="1" applyFont="1" applyFill="1" applyBorder="1"/>
    <xf numFmtId="10" fontId="4" fillId="47" borderId="1" xfId="0" applyNumberFormat="1" applyFont="1" applyFill="1" applyBorder="1" applyAlignment="1">
      <alignment wrapText="1"/>
    </xf>
    <xf numFmtId="10" fontId="4" fillId="47" borderId="1" xfId="0" applyNumberFormat="1" applyFont="1" applyFill="1" applyBorder="1"/>
    <xf numFmtId="0" fontId="4" fillId="46" borderId="0" xfId="0" applyFont="1" applyFill="1"/>
    <xf numFmtId="164" fontId="4" fillId="46" borderId="27" xfId="1" applyNumberFormat="1" applyFont="1" applyFill="1" applyBorder="1" applyAlignment="1">
      <alignment horizontal="center" vertical="center"/>
    </xf>
    <xf numFmtId="164" fontId="4" fillId="46" borderId="27" xfId="2" applyNumberFormat="1" applyFont="1" applyFill="1" applyBorder="1" applyAlignment="1">
      <alignment horizontal="center" vertical="center"/>
    </xf>
    <xf numFmtId="164" fontId="4" fillId="46" borderId="1" xfId="2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46" borderId="1" xfId="0" applyFont="1" applyFill="1" applyBorder="1" applyAlignment="1">
      <alignment wrapText="1"/>
    </xf>
    <xf numFmtId="0" fontId="4" fillId="46" borderId="1" xfId="0" applyNumberFormat="1" applyFont="1" applyFill="1" applyBorder="1"/>
    <xf numFmtId="10" fontId="4" fillId="46" borderId="1" xfId="0" applyNumberFormat="1" applyFont="1" applyFill="1" applyBorder="1" applyAlignment="1">
      <alignment wrapText="1"/>
    </xf>
    <xf numFmtId="10" fontId="4" fillId="46" borderId="1" xfId="0" applyNumberFormat="1" applyFont="1" applyFill="1" applyBorder="1"/>
    <xf numFmtId="0" fontId="4" fillId="46" borderId="1" xfId="0" applyFont="1" applyFill="1" applyBorder="1" applyAlignment="1">
      <alignment horizontal="left" vertical="center"/>
    </xf>
    <xf numFmtId="44" fontId="4" fillId="0" borderId="0" xfId="1" applyFont="1"/>
    <xf numFmtId="0" fontId="4" fillId="0" borderId="0" xfId="0" applyFont="1"/>
    <xf numFmtId="0" fontId="45" fillId="0" borderId="0" xfId="0" applyFont="1" applyAlignment="1">
      <alignment vertical="center" wrapText="1"/>
    </xf>
    <xf numFmtId="0" fontId="22" fillId="0" borderId="0" xfId="81" applyFont="1" applyAlignment="1">
      <alignment wrapText="1"/>
    </xf>
    <xf numFmtId="0" fontId="22" fillId="0" borderId="0" xfId="81" applyFont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/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170" fontId="1" fillId="50" borderId="25" xfId="0" applyNumberFormat="1" applyFont="1" applyFill="1" applyBorder="1"/>
    <xf numFmtId="0" fontId="0" fillId="51" borderId="0" xfId="0" applyFill="1"/>
    <xf numFmtId="2" fontId="4" fillId="0" borderId="0" xfId="0" applyNumberFormat="1" applyFont="1"/>
    <xf numFmtId="2" fontId="4" fillId="0" borderId="2" xfId="0" applyNumberFormat="1" applyFont="1" applyBorder="1"/>
    <xf numFmtId="0" fontId="0" fillId="0" borderId="0" xfId="0" applyFont="1"/>
    <xf numFmtId="2" fontId="4" fillId="0" borderId="26" xfId="0" applyNumberFormat="1" applyFont="1" applyBorder="1"/>
    <xf numFmtId="2" fontId="4" fillId="52" borderId="0" xfId="0" applyNumberFormat="1" applyFont="1" applyFill="1"/>
    <xf numFmtId="2" fontId="4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2" xfId="0" applyNumberFormat="1" applyBorder="1"/>
    <xf numFmtId="44" fontId="0" fillId="0" borderId="2" xfId="1" applyFont="1" applyBorder="1"/>
    <xf numFmtId="0" fontId="0" fillId="0" borderId="2" xfId="0" applyBorder="1" applyAlignment="1">
      <alignment wrapText="1"/>
    </xf>
    <xf numFmtId="0" fontId="46" fillId="0" borderId="0" xfId="0" applyFont="1" applyAlignment="1">
      <alignment wrapText="1"/>
    </xf>
    <xf numFmtId="44" fontId="4" fillId="0" borderId="0" xfId="0" applyNumberFormat="1" applyFont="1"/>
    <xf numFmtId="0" fontId="45" fillId="0" borderId="2" xfId="0" applyFont="1" applyBorder="1" applyAlignment="1">
      <alignment vertical="center" wrapText="1"/>
    </xf>
    <xf numFmtId="10" fontId="0" fillId="0" borderId="2" xfId="2" applyNumberFormat="1" applyFont="1" applyBorder="1"/>
    <xf numFmtId="10" fontId="0" fillId="51" borderId="0" xfId="2" applyNumberFormat="1" applyFont="1" applyFill="1"/>
    <xf numFmtId="0" fontId="0" fillId="0" borderId="6" xfId="0" applyBorder="1"/>
    <xf numFmtId="0" fontId="45" fillId="0" borderId="6" xfId="0" applyFont="1" applyBorder="1" applyAlignment="1">
      <alignment vertical="center" wrapText="1"/>
    </xf>
    <xf numFmtId="10" fontId="0" fillId="0" borderId="6" xfId="2" applyNumberFormat="1" applyFont="1" applyBorder="1"/>
    <xf numFmtId="44" fontId="0" fillId="0" borderId="6" xfId="1" applyFont="1" applyBorder="1"/>
    <xf numFmtId="44" fontId="0" fillId="0" borderId="6" xfId="0" applyNumberFormat="1" applyBorder="1"/>
    <xf numFmtId="10" fontId="0" fillId="51" borderId="6" xfId="2" applyNumberFormat="1" applyFont="1" applyFill="1" applyBorder="1"/>
    <xf numFmtId="0" fontId="1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/>
    </xf>
    <xf numFmtId="170" fontId="1" fillId="2" borderId="25" xfId="0" applyNumberFormat="1" applyFont="1" applyFill="1" applyBorder="1"/>
    <xf numFmtId="0" fontId="0" fillId="0" borderId="0" xfId="0" applyBorder="1"/>
    <xf numFmtId="0" fontId="0" fillId="0" borderId="25" xfId="0" applyBorder="1"/>
    <xf numFmtId="0" fontId="0" fillId="0" borderId="25" xfId="0" applyBorder="1" applyAlignment="1">
      <alignment wrapText="1"/>
    </xf>
    <xf numFmtId="2" fontId="0" fillId="0" borderId="25" xfId="0" applyNumberFormat="1" applyBorder="1"/>
    <xf numFmtId="44" fontId="0" fillId="0" borderId="25" xfId="0" applyNumberFormat="1" applyBorder="1"/>
    <xf numFmtId="44" fontId="0" fillId="0" borderId="7" xfId="0" applyNumberFormat="1" applyBorder="1"/>
    <xf numFmtId="0" fontId="0" fillId="0" borderId="27" xfId="0" applyBorder="1"/>
    <xf numFmtId="2" fontId="0" fillId="0" borderId="27" xfId="0" applyNumberFormat="1" applyBorder="1"/>
    <xf numFmtId="44" fontId="0" fillId="0" borderId="27" xfId="0" applyNumberFormat="1" applyBorder="1"/>
    <xf numFmtId="0" fontId="4" fillId="0" borderId="2" xfId="0" applyFont="1" applyBorder="1" applyAlignment="1">
      <alignment horizontal="center" vertical="center" wrapText="1"/>
    </xf>
    <xf numFmtId="44" fontId="0" fillId="0" borderId="0" xfId="1" applyFont="1" applyBorder="1"/>
    <xf numFmtId="0" fontId="0" fillId="0" borderId="0" xfId="0" applyBorder="1" applyAlignment="1">
      <alignment wrapText="1"/>
    </xf>
    <xf numFmtId="44" fontId="0" fillId="0" borderId="0" xfId="0" applyNumberFormat="1" applyBorder="1"/>
    <xf numFmtId="0" fontId="4" fillId="0" borderId="0" xfId="0" applyFont="1" applyAlignment="1">
      <alignment wrapText="1"/>
    </xf>
    <xf numFmtId="44" fontId="0" fillId="0" borderId="0" xfId="0" applyNumberFormat="1" applyAlignment="1">
      <alignment wrapText="1"/>
    </xf>
    <xf numFmtId="0" fontId="0" fillId="0" borderId="9" xfId="0" applyFill="1" applyBorder="1" applyAlignment="1">
      <alignment wrapText="1"/>
    </xf>
    <xf numFmtId="44" fontId="3" fillId="0" borderId="0" xfId="1" applyFont="1"/>
    <xf numFmtId="8" fontId="0" fillId="0" borderId="0" xfId="0" applyNumberFormat="1"/>
    <xf numFmtId="8" fontId="47" fillId="0" borderId="32" xfId="0" applyNumberFormat="1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48" fillId="0" borderId="0" xfId="0" applyFont="1"/>
    <xf numFmtId="0" fontId="45" fillId="0" borderId="0" xfId="0" applyFont="1"/>
    <xf numFmtId="0" fontId="4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5" fontId="0" fillId="0" borderId="0" xfId="1" applyNumberFormat="1" applyFont="1"/>
    <xf numFmtId="5" fontId="0" fillId="0" borderId="2" xfId="1" applyNumberFormat="1" applyFont="1" applyBorder="1"/>
    <xf numFmtId="5" fontId="0" fillId="0" borderId="26" xfId="1" applyNumberFormat="1" applyFont="1" applyBorder="1"/>
    <xf numFmtId="5" fontId="3" fillId="0" borderId="26" xfId="1" applyNumberFormat="1" applyFont="1" applyBorder="1"/>
    <xf numFmtId="5" fontId="3" fillId="0" borderId="0" xfId="1" applyNumberFormat="1" applyFont="1"/>
    <xf numFmtId="5" fontId="0" fillId="0" borderId="0" xfId="0" applyNumberFormat="1"/>
    <xf numFmtId="0" fontId="45" fillId="53" borderId="33" xfId="0" applyFont="1" applyFill="1" applyBorder="1" applyAlignment="1">
      <alignment vertical="top" wrapText="1"/>
    </xf>
    <xf numFmtId="0" fontId="45" fillId="53" borderId="30" xfId="0" applyFont="1" applyFill="1" applyBorder="1" applyAlignment="1">
      <alignment vertical="top" wrapText="1"/>
    </xf>
    <xf numFmtId="0" fontId="1" fillId="0" borderId="25" xfId="0" applyFont="1" applyBorder="1" applyAlignment="1">
      <alignment horizontal="center" vertical="center" wrapText="1"/>
    </xf>
    <xf numFmtId="0" fontId="1" fillId="50" borderId="25" xfId="0" applyFont="1" applyFill="1" applyBorder="1" applyAlignment="1">
      <alignment horizont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 wrapText="1"/>
    </xf>
    <xf numFmtId="10" fontId="6" fillId="4" borderId="1" xfId="0" applyNumberFormat="1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</cellXfs>
  <cellStyles count="13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[0] 2" xfId="30"/>
    <cellStyle name="Comma 2" xfId="31"/>
    <cellStyle name="Comma 2 2" xfId="32"/>
    <cellStyle name="Comma 2 3" xfId="33"/>
    <cellStyle name="Comma 3" xfId="34"/>
    <cellStyle name="Comma 4" xfId="35"/>
    <cellStyle name="Comma 5" xfId="36"/>
    <cellStyle name="Comma 6" xfId="37"/>
    <cellStyle name="Comma 7" xfId="38"/>
    <cellStyle name="Comma 8" xfId="39"/>
    <cellStyle name="Comma(000)" xfId="40"/>
    <cellStyle name="Currency" xfId="1" builtinId="4"/>
    <cellStyle name="Currency [0] 2" xfId="41"/>
    <cellStyle name="Currency 2" xfId="42"/>
    <cellStyle name="Currency 2 2" xfId="43"/>
    <cellStyle name="Currency 3" xfId="44"/>
    <cellStyle name="Currency 4" xfId="45"/>
    <cellStyle name="Currency 5" xfId="129"/>
    <cellStyle name="Define your own named style" xfId="46"/>
    <cellStyle name="Draw lines around data in range" xfId="47"/>
    <cellStyle name="Draw shadow and lines within range" xfId="48"/>
    <cellStyle name="Enlarge title text, yellow on blue" xfId="49"/>
    <cellStyle name="Explanatory Text 2" xfId="50"/>
    <cellStyle name="financial" xfId="51"/>
    <cellStyle name="Format a column of totals" xfId="52"/>
    <cellStyle name="Format a row of totals" xfId="53"/>
    <cellStyle name="Format text as bold, black on yellow" xfId="54"/>
    <cellStyle name="Good 2" xfId="55"/>
    <cellStyle name="Grey" xfId="56"/>
    <cellStyle name="Header1" xfId="57"/>
    <cellStyle name="Header2" xfId="58"/>
    <cellStyle name="Heading 1 2" xfId="59"/>
    <cellStyle name="Heading 2 2" xfId="60"/>
    <cellStyle name="Heading 3 2" xfId="61"/>
    <cellStyle name="Heading 4 2" xfId="62"/>
    <cellStyle name="Input [yellow]" xfId="63"/>
    <cellStyle name="Input 2" xfId="64"/>
    <cellStyle name="Linked Cell 2" xfId="65"/>
    <cellStyle name="Neutral 2" xfId="66"/>
    <cellStyle name="Normal" xfId="0" builtinId="0"/>
    <cellStyle name="Normal - Style1" xfId="67"/>
    <cellStyle name="Normal - Style2" xfId="68"/>
    <cellStyle name="Normal - Style3" xfId="69"/>
    <cellStyle name="Normal - Style4" xfId="70"/>
    <cellStyle name="Normal - Style5" xfId="71"/>
    <cellStyle name="Normal 18" xfId="72"/>
    <cellStyle name="Normal 2" xfId="73"/>
    <cellStyle name="Normal 2 2" xfId="74"/>
    <cellStyle name="Normal 2 2 2" xfId="75"/>
    <cellStyle name="Normal 2 3" xfId="76"/>
    <cellStyle name="Normal 2 3 2" xfId="77"/>
    <cellStyle name="Normal 2 4" xfId="78"/>
    <cellStyle name="Normal 2 8" xfId="79"/>
    <cellStyle name="Normal 2_Book1" xfId="80"/>
    <cellStyle name="Normal 21" xfId="128"/>
    <cellStyle name="Normal 3" xfId="81"/>
    <cellStyle name="Normal 3 2" xfId="82"/>
    <cellStyle name="Normal 3 2 2" xfId="83"/>
    <cellStyle name="Normal 3 3" xfId="84"/>
    <cellStyle name="Normal 30" xfId="85"/>
    <cellStyle name="Normal 4" xfId="86"/>
    <cellStyle name="Normal 5" xfId="87"/>
    <cellStyle name="Normal 6" xfId="88"/>
    <cellStyle name="Normal 7" xfId="89"/>
    <cellStyle name="Normal 8" xfId="90"/>
    <cellStyle name="Normal 8 2" xfId="91"/>
    <cellStyle name="Normal 9" xfId="92"/>
    <cellStyle name="Note 2" xfId="93"/>
    <cellStyle name="Output 2" xfId="94"/>
    <cellStyle name="Percent" xfId="2" builtinId="5"/>
    <cellStyle name="Percent [2]" xfId="95"/>
    <cellStyle name="Percent 10" xfId="96"/>
    <cellStyle name="Percent 11" xfId="97"/>
    <cellStyle name="Percent 2" xfId="98"/>
    <cellStyle name="Percent 2 2" xfId="99"/>
    <cellStyle name="Percent 2 2 2" xfId="100"/>
    <cellStyle name="Percent 3" xfId="101"/>
    <cellStyle name="Percent 3 2" xfId="102"/>
    <cellStyle name="Percent 3 3" xfId="103"/>
    <cellStyle name="Percent 4" xfId="104"/>
    <cellStyle name="Percent 5" xfId="105"/>
    <cellStyle name="Percent 6" xfId="106"/>
    <cellStyle name="Percent 7" xfId="107"/>
    <cellStyle name="Percent 8" xfId="108"/>
    <cellStyle name="Percent 9" xfId="109"/>
    <cellStyle name="Percent(0.0%)" xfId="110"/>
    <cellStyle name="Percent(0.00%)" xfId="111"/>
    <cellStyle name="PSChar" xfId="112"/>
    <cellStyle name="PSDate" xfId="113"/>
    <cellStyle name="PSDec" xfId="114"/>
    <cellStyle name="PSHeading" xfId="115"/>
    <cellStyle name="PSInt" xfId="116"/>
    <cellStyle name="PSSpacer" xfId="117"/>
    <cellStyle name="Region" xfId="118"/>
    <cellStyle name="regional" xfId="119"/>
    <cellStyle name="Reset range style to defaults" xfId="120"/>
    <cellStyle name="Style 1" xfId="121"/>
    <cellStyle name="STYLE1" xfId="122"/>
    <cellStyle name="STYLE2" xfId="123"/>
    <cellStyle name="STYLE3" xfId="124"/>
    <cellStyle name="STYLE4" xfId="125"/>
    <cellStyle name="Total 2" xfId="126"/>
    <cellStyle name="Warning Text 2" xfId="127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DATA\Financial%20Conditions\FY15\FY15%20FC-June%20with%20adjustments%20and%20profit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zumbrum\Downloads\Master%20score%20sheet%20for%20Implementation%20grants%200119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Summary Stats"/>
      <sheetName val="Operating Profits-FY15"/>
      <sheetName val="FY15-Reg&amp;Tot OP by Hosp Chart"/>
      <sheetName val="FY15-Total OP by Hospital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AQ9">
            <v>166650652</v>
          </cell>
          <cell r="AS9">
            <v>167486217</v>
          </cell>
        </row>
        <row r="10">
          <cell r="AQ10">
            <v>250526578</v>
          </cell>
          <cell r="AS10">
            <v>252928956</v>
          </cell>
        </row>
        <row r="11">
          <cell r="AQ11">
            <v>181220306</v>
          </cell>
          <cell r="AS11">
            <v>189669815</v>
          </cell>
        </row>
        <row r="12">
          <cell r="AQ12">
            <v>235761857</v>
          </cell>
          <cell r="AS12">
            <v>264709019</v>
          </cell>
        </row>
        <row r="42">
          <cell r="AQ42">
            <v>312298588</v>
          </cell>
          <cell r="AS42">
            <v>376336987</v>
          </cell>
        </row>
        <row r="43">
          <cell r="AQ43">
            <v>4815062</v>
          </cell>
          <cell r="AS43">
            <v>4815062</v>
          </cell>
        </row>
        <row r="44">
          <cell r="AQ44">
            <v>6612878</v>
          </cell>
          <cell r="AS44">
            <v>6612878</v>
          </cell>
        </row>
        <row r="45">
          <cell r="AQ45">
            <v>2909684</v>
          </cell>
          <cell r="AS45">
            <v>3203776</v>
          </cell>
        </row>
        <row r="46">
          <cell r="AQ46">
            <v>3986643</v>
          </cell>
          <cell r="AS46">
            <v>4114404</v>
          </cell>
        </row>
        <row r="57">
          <cell r="AQ57">
            <v>261176396</v>
          </cell>
          <cell r="AS57">
            <v>315015215</v>
          </cell>
        </row>
        <row r="65">
          <cell r="AQ65">
            <v>8731942</v>
          </cell>
          <cell r="AS65">
            <v>16181310</v>
          </cell>
        </row>
        <row r="72">
          <cell r="AQ72">
            <v>1314167000</v>
          </cell>
          <cell r="AS72">
            <v>1325857000</v>
          </cell>
        </row>
        <row r="73">
          <cell r="AQ73">
            <v>32169416</v>
          </cell>
          <cell r="AS73">
            <v>32169416</v>
          </cell>
        </row>
        <row r="74">
          <cell r="AQ74">
            <v>13352629</v>
          </cell>
          <cell r="AS74">
            <v>13417905</v>
          </cell>
        </row>
        <row r="75">
          <cell r="AQ75">
            <v>15876605</v>
          </cell>
          <cell r="AS75">
            <v>15876605</v>
          </cell>
        </row>
        <row r="76">
          <cell r="AQ76">
            <v>6606005</v>
          </cell>
          <cell r="AS76">
            <v>6639095</v>
          </cell>
        </row>
        <row r="87">
          <cell r="AQ87">
            <v>1136929159</v>
          </cell>
          <cell r="AS87">
            <v>1185630980</v>
          </cell>
        </row>
        <row r="95">
          <cell r="AQ95">
            <v>43649572</v>
          </cell>
          <cell r="AS95">
            <v>7741980</v>
          </cell>
        </row>
        <row r="102">
          <cell r="AQ102">
            <v>279065839</v>
          </cell>
          <cell r="AS102">
            <v>279065839</v>
          </cell>
        </row>
        <row r="103">
          <cell r="AQ103">
            <v>6754225</v>
          </cell>
          <cell r="AS103">
            <v>6754225</v>
          </cell>
        </row>
        <row r="104">
          <cell r="AQ104">
            <v>6725461</v>
          </cell>
          <cell r="AS104">
            <v>6725461</v>
          </cell>
        </row>
        <row r="105">
          <cell r="AQ105">
            <v>8325102</v>
          </cell>
          <cell r="AS105">
            <v>8325102</v>
          </cell>
        </row>
        <row r="106">
          <cell r="AQ106">
            <v>3989423</v>
          </cell>
          <cell r="AS106">
            <v>3989423</v>
          </cell>
        </row>
        <row r="117">
          <cell r="AQ117">
            <v>237779716</v>
          </cell>
          <cell r="AS117">
            <v>237779716</v>
          </cell>
        </row>
        <row r="125">
          <cell r="AQ125">
            <v>6986513</v>
          </cell>
          <cell r="AS125">
            <v>-14434124</v>
          </cell>
        </row>
        <row r="132">
          <cell r="AQ132">
            <v>480554335</v>
          </cell>
          <cell r="AS132">
            <v>509738265</v>
          </cell>
        </row>
        <row r="133">
          <cell r="AQ133">
            <v>9209262</v>
          </cell>
          <cell r="AS133">
            <v>9209262</v>
          </cell>
        </row>
        <row r="134">
          <cell r="AQ134">
            <v>5294183</v>
          </cell>
          <cell r="AS134">
            <v>5294183</v>
          </cell>
        </row>
        <row r="135">
          <cell r="AQ135">
            <v>17941757</v>
          </cell>
          <cell r="AS135">
            <v>20715366</v>
          </cell>
        </row>
        <row r="136">
          <cell r="AQ136">
            <v>6404090</v>
          </cell>
          <cell r="AS136">
            <v>8365566</v>
          </cell>
        </row>
        <row r="147">
          <cell r="AQ147">
            <v>403495826</v>
          </cell>
          <cell r="AS147">
            <v>434597946</v>
          </cell>
        </row>
        <row r="155">
          <cell r="AQ155">
            <v>49727000</v>
          </cell>
          <cell r="AS155">
            <v>42314120</v>
          </cell>
        </row>
        <row r="162">
          <cell r="AQ162">
            <v>346826507</v>
          </cell>
          <cell r="AS162">
            <v>403385952</v>
          </cell>
        </row>
        <row r="163">
          <cell r="AQ163">
            <v>3245005</v>
          </cell>
          <cell r="AS163">
            <v>3245005</v>
          </cell>
        </row>
        <row r="164">
          <cell r="AQ164">
            <v>-202124</v>
          </cell>
          <cell r="AS164">
            <v>-202124</v>
          </cell>
        </row>
        <row r="165">
          <cell r="AQ165">
            <v>6528424</v>
          </cell>
          <cell r="AS165">
            <v>7227884</v>
          </cell>
        </row>
        <row r="166">
          <cell r="AQ166">
            <v>2162794</v>
          </cell>
          <cell r="AS166">
            <v>2610842</v>
          </cell>
        </row>
        <row r="177">
          <cell r="AQ177">
            <v>300365517</v>
          </cell>
          <cell r="AS177">
            <v>334932787</v>
          </cell>
        </row>
        <row r="185">
          <cell r="AQ185">
            <v>15166432</v>
          </cell>
          <cell r="AS185">
            <v>8969694</v>
          </cell>
        </row>
        <row r="192">
          <cell r="AQ192">
            <v>104547723</v>
          </cell>
          <cell r="AS192">
            <v>104859735</v>
          </cell>
        </row>
        <row r="193">
          <cell r="AQ193">
            <v>3114806</v>
          </cell>
          <cell r="AS193">
            <v>3114806</v>
          </cell>
        </row>
        <row r="194">
          <cell r="AQ194">
            <v>3252969</v>
          </cell>
          <cell r="AS194">
            <v>3252969</v>
          </cell>
        </row>
        <row r="195">
          <cell r="AQ195">
            <v>-34655</v>
          </cell>
          <cell r="AS195">
            <v>-34655</v>
          </cell>
        </row>
        <row r="196">
          <cell r="AQ196">
            <v>3938662</v>
          </cell>
          <cell r="AS196">
            <v>3938662</v>
          </cell>
        </row>
        <row r="207">
          <cell r="AQ207">
            <v>88658159</v>
          </cell>
          <cell r="AS207">
            <v>88896847</v>
          </cell>
        </row>
        <row r="215">
          <cell r="AQ215">
            <v>9033261</v>
          </cell>
          <cell r="AS215">
            <v>8905706</v>
          </cell>
        </row>
        <row r="222">
          <cell r="AQ222">
            <v>497213576</v>
          </cell>
          <cell r="AS222">
            <v>497941516</v>
          </cell>
        </row>
        <row r="223">
          <cell r="AQ223">
            <v>6796625</v>
          </cell>
          <cell r="AS223">
            <v>6796625</v>
          </cell>
        </row>
        <row r="224">
          <cell r="AQ224">
            <v>9542975</v>
          </cell>
          <cell r="AS224">
            <v>9542975</v>
          </cell>
        </row>
        <row r="225">
          <cell r="AQ225">
            <v>6487373</v>
          </cell>
          <cell r="AS225">
            <v>6487373</v>
          </cell>
        </row>
        <row r="226">
          <cell r="AQ226">
            <v>9108757</v>
          </cell>
          <cell r="AS226">
            <v>9108757</v>
          </cell>
        </row>
        <row r="237">
          <cell r="AQ237">
            <v>449010215</v>
          </cell>
          <cell r="AS237">
            <v>449738155</v>
          </cell>
        </row>
        <row r="245">
          <cell r="AQ245">
            <v>10060816</v>
          </cell>
          <cell r="AS245">
            <v>9459756</v>
          </cell>
        </row>
        <row r="252">
          <cell r="AQ252">
            <v>2210250945</v>
          </cell>
          <cell r="AS252">
            <v>2239692754</v>
          </cell>
        </row>
        <row r="253">
          <cell r="AQ253">
            <v>1040459</v>
          </cell>
          <cell r="AS253">
            <v>1040459</v>
          </cell>
        </row>
        <row r="254">
          <cell r="AQ254">
            <v>8231621</v>
          </cell>
          <cell r="AS254">
            <v>8231621</v>
          </cell>
        </row>
        <row r="255">
          <cell r="AQ255">
            <v>27685228</v>
          </cell>
          <cell r="AS255">
            <v>27685228</v>
          </cell>
        </row>
        <row r="256">
          <cell r="AQ256">
            <v>12834979</v>
          </cell>
          <cell r="AS256">
            <v>13149212</v>
          </cell>
        </row>
        <row r="267">
          <cell r="AQ267">
            <v>1858130535</v>
          </cell>
          <cell r="AS267">
            <v>2056897707</v>
          </cell>
        </row>
        <row r="275">
          <cell r="AQ275">
            <v>-25843531</v>
          </cell>
          <cell r="AS275">
            <v>9450291</v>
          </cell>
        </row>
        <row r="282">
          <cell r="AQ282">
            <v>56007249</v>
          </cell>
          <cell r="AS282">
            <v>59208413</v>
          </cell>
        </row>
        <row r="283">
          <cell r="AQ283">
            <v>813959</v>
          </cell>
          <cell r="AS283">
            <v>813959</v>
          </cell>
        </row>
        <row r="284">
          <cell r="AQ284">
            <v>1198368</v>
          </cell>
          <cell r="AS284">
            <v>1198368</v>
          </cell>
        </row>
        <row r="285">
          <cell r="AQ285">
            <v>677724</v>
          </cell>
          <cell r="AS285">
            <v>728140</v>
          </cell>
        </row>
        <row r="286">
          <cell r="AQ286">
            <v>991077</v>
          </cell>
          <cell r="AS286">
            <v>1085033</v>
          </cell>
        </row>
        <row r="297">
          <cell r="AQ297">
            <v>44123181</v>
          </cell>
          <cell r="AS297">
            <v>45313005</v>
          </cell>
        </row>
        <row r="305">
          <cell r="AQ305">
            <v>7998724</v>
          </cell>
          <cell r="AS305">
            <v>6086511</v>
          </cell>
        </row>
        <row r="312">
          <cell r="AQ312">
            <v>395098682</v>
          </cell>
          <cell r="AS312">
            <v>579303862</v>
          </cell>
        </row>
        <row r="313">
          <cell r="AQ313">
            <v>8223923</v>
          </cell>
          <cell r="AS313">
            <v>8223923</v>
          </cell>
        </row>
        <row r="314">
          <cell r="AQ314">
            <v>3094574</v>
          </cell>
          <cell r="AS314">
            <v>3094574</v>
          </cell>
        </row>
        <row r="315">
          <cell r="AQ315">
            <v>7164210</v>
          </cell>
          <cell r="AS315">
            <v>9603288</v>
          </cell>
        </row>
        <row r="316">
          <cell r="AQ316">
            <v>2695816</v>
          </cell>
          <cell r="AS316">
            <v>7603325</v>
          </cell>
        </row>
        <row r="327">
          <cell r="AQ327">
            <v>344162215</v>
          </cell>
          <cell r="AS327">
            <v>438044578</v>
          </cell>
        </row>
        <row r="335">
          <cell r="AQ335">
            <v>56873003</v>
          </cell>
          <cell r="AS335">
            <v>22098764</v>
          </cell>
        </row>
        <row r="342">
          <cell r="AQ342">
            <v>715832664</v>
          </cell>
          <cell r="AS342">
            <v>913104678</v>
          </cell>
        </row>
        <row r="343">
          <cell r="AQ343">
            <v>1076918</v>
          </cell>
          <cell r="AS343">
            <v>1076918</v>
          </cell>
        </row>
        <row r="344">
          <cell r="AQ344">
            <v>4439642</v>
          </cell>
          <cell r="AS344">
            <v>4439642</v>
          </cell>
        </row>
        <row r="345">
          <cell r="AQ345">
            <v>3096048</v>
          </cell>
          <cell r="AS345">
            <v>3096048</v>
          </cell>
        </row>
        <row r="346">
          <cell r="AQ346">
            <v>21676163</v>
          </cell>
          <cell r="AS346">
            <v>26099144</v>
          </cell>
        </row>
        <row r="357">
          <cell r="AQ357">
            <v>598209707</v>
          </cell>
          <cell r="AS357">
            <v>725209513</v>
          </cell>
        </row>
        <row r="365">
          <cell r="AQ365">
            <v>58618716</v>
          </cell>
          <cell r="AS365">
            <v>34724032</v>
          </cell>
        </row>
        <row r="372">
          <cell r="AQ372">
            <v>120303403</v>
          </cell>
          <cell r="AS372">
            <v>150962595</v>
          </cell>
        </row>
        <row r="373">
          <cell r="AQ373">
            <v>1296066</v>
          </cell>
          <cell r="AS373">
            <v>1296066</v>
          </cell>
        </row>
        <row r="374">
          <cell r="AQ374">
            <v>2160742</v>
          </cell>
          <cell r="AS374">
            <v>2160742</v>
          </cell>
        </row>
        <row r="375">
          <cell r="AQ375">
            <v>1273296</v>
          </cell>
          <cell r="AS375">
            <v>1709113</v>
          </cell>
        </row>
        <row r="376">
          <cell r="AQ376">
            <v>1731965</v>
          </cell>
          <cell r="AS376">
            <v>4790245</v>
          </cell>
        </row>
        <row r="387">
          <cell r="AQ387">
            <v>99131233</v>
          </cell>
          <cell r="AS387">
            <v>118897109</v>
          </cell>
        </row>
        <row r="395">
          <cell r="AQ395">
            <v>10762215</v>
          </cell>
          <cell r="AS395">
            <v>7086390</v>
          </cell>
        </row>
        <row r="402">
          <cell r="AQ402">
            <v>491181606</v>
          </cell>
          <cell r="AS402">
            <v>666456552</v>
          </cell>
        </row>
        <row r="403">
          <cell r="AQ403">
            <v>3084889</v>
          </cell>
          <cell r="AS403">
            <v>3084889</v>
          </cell>
        </row>
        <row r="404">
          <cell r="AQ404">
            <v>5609136</v>
          </cell>
          <cell r="AS404">
            <v>6226570</v>
          </cell>
        </row>
        <row r="405">
          <cell r="AQ405">
            <v>2943490</v>
          </cell>
          <cell r="AS405">
            <v>2943490</v>
          </cell>
        </row>
        <row r="406">
          <cell r="AQ406">
            <v>9439287</v>
          </cell>
          <cell r="AS406">
            <v>12285178</v>
          </cell>
        </row>
        <row r="417">
          <cell r="AQ417">
            <v>419699791</v>
          </cell>
          <cell r="AS417">
            <v>502266880</v>
          </cell>
        </row>
        <row r="425">
          <cell r="AQ425">
            <v>40604100</v>
          </cell>
          <cell r="AS425">
            <v>18145218</v>
          </cell>
        </row>
        <row r="432">
          <cell r="AQ432">
            <v>256944945</v>
          </cell>
          <cell r="AS432">
            <v>258351802</v>
          </cell>
        </row>
        <row r="433">
          <cell r="AQ433">
            <v>9849650</v>
          </cell>
          <cell r="AS433">
            <v>9849650</v>
          </cell>
        </row>
        <row r="434">
          <cell r="AQ434">
            <v>8676461</v>
          </cell>
          <cell r="AS434">
            <v>8676461</v>
          </cell>
        </row>
        <row r="435">
          <cell r="AQ435">
            <v>6222628</v>
          </cell>
          <cell r="AS435">
            <v>6222628</v>
          </cell>
        </row>
        <row r="436">
          <cell r="AQ436">
            <v>5424306</v>
          </cell>
          <cell r="AS436">
            <v>5425243</v>
          </cell>
        </row>
        <row r="447">
          <cell r="AQ447">
            <v>216942009</v>
          </cell>
          <cell r="AS447">
            <v>219345425</v>
          </cell>
        </row>
        <row r="455">
          <cell r="AQ455">
            <v>6399575</v>
          </cell>
          <cell r="AS455">
            <v>7455866</v>
          </cell>
        </row>
        <row r="462">
          <cell r="AQ462">
            <v>46609195</v>
          </cell>
          <cell r="AS462">
            <v>50365989</v>
          </cell>
        </row>
        <row r="463">
          <cell r="AQ463">
            <v>820096</v>
          </cell>
          <cell r="AS463">
            <v>820096</v>
          </cell>
        </row>
        <row r="464">
          <cell r="AQ464">
            <v>264556</v>
          </cell>
          <cell r="AS464">
            <v>264656</v>
          </cell>
        </row>
        <row r="465">
          <cell r="AQ465">
            <v>1739666</v>
          </cell>
          <cell r="AS465">
            <v>1741697</v>
          </cell>
        </row>
        <row r="466">
          <cell r="AQ466">
            <v>1004275</v>
          </cell>
          <cell r="AS466">
            <v>1016508</v>
          </cell>
        </row>
        <row r="477">
          <cell r="AQ477">
            <v>41040995</v>
          </cell>
          <cell r="AS477">
            <v>43336342</v>
          </cell>
        </row>
        <row r="485">
          <cell r="AQ485">
            <v>5228820</v>
          </cell>
          <cell r="AS485">
            <v>4830026</v>
          </cell>
        </row>
        <row r="492">
          <cell r="AQ492">
            <v>172100601</v>
          </cell>
          <cell r="AS492">
            <v>180549009</v>
          </cell>
        </row>
        <row r="493">
          <cell r="AQ493">
            <v>1108479</v>
          </cell>
          <cell r="AS493">
            <v>1108479</v>
          </cell>
        </row>
        <row r="494">
          <cell r="AQ494">
            <v>2146066</v>
          </cell>
          <cell r="AS494">
            <v>2186843</v>
          </cell>
        </row>
        <row r="495">
          <cell r="AQ495">
            <v>995756</v>
          </cell>
          <cell r="AS495">
            <v>995756</v>
          </cell>
        </row>
        <row r="496">
          <cell r="AQ496">
            <v>3179953</v>
          </cell>
          <cell r="AS496">
            <v>3342894</v>
          </cell>
        </row>
        <row r="507">
          <cell r="AQ507">
            <v>146532267</v>
          </cell>
          <cell r="AS507">
            <v>152234833</v>
          </cell>
        </row>
        <row r="515">
          <cell r="AQ515">
            <v>6412194</v>
          </cell>
          <cell r="AS515">
            <v>4444387</v>
          </cell>
        </row>
        <row r="522">
          <cell r="AQ522">
            <v>422383418</v>
          </cell>
          <cell r="AS522">
            <v>490558880</v>
          </cell>
        </row>
        <row r="523">
          <cell r="AQ523">
            <v>3598014</v>
          </cell>
          <cell r="AS523">
            <v>3598014</v>
          </cell>
        </row>
        <row r="524">
          <cell r="AQ524">
            <v>6176460</v>
          </cell>
          <cell r="AS524">
            <v>6176200</v>
          </cell>
        </row>
        <row r="525">
          <cell r="AQ525">
            <v>5468900</v>
          </cell>
          <cell r="AS525">
            <v>6151462</v>
          </cell>
        </row>
        <row r="526">
          <cell r="AQ526">
            <v>3822340</v>
          </cell>
          <cell r="AS526">
            <v>4553090</v>
          </cell>
        </row>
        <row r="537">
          <cell r="AQ537">
            <v>362662608</v>
          </cell>
          <cell r="AS537">
            <v>393771644</v>
          </cell>
        </row>
        <row r="545">
          <cell r="AQ545">
            <v>32738643</v>
          </cell>
          <cell r="AS545">
            <v>15443653</v>
          </cell>
        </row>
        <row r="552">
          <cell r="AQ552">
            <v>295844515</v>
          </cell>
          <cell r="AS552">
            <v>298270550</v>
          </cell>
        </row>
        <row r="553">
          <cell r="AQ553">
            <v>2868135</v>
          </cell>
          <cell r="AS553">
            <v>2868135</v>
          </cell>
        </row>
        <row r="554">
          <cell r="AQ554">
            <v>5434843</v>
          </cell>
          <cell r="AS554">
            <v>5434843</v>
          </cell>
        </row>
        <row r="555">
          <cell r="AQ555">
            <v>1191830</v>
          </cell>
          <cell r="AS555">
            <v>1224665</v>
          </cell>
        </row>
        <row r="556">
          <cell r="AQ556">
            <v>2258367</v>
          </cell>
          <cell r="AS556">
            <v>2320586</v>
          </cell>
        </row>
        <row r="567">
          <cell r="AQ567">
            <v>269692160</v>
          </cell>
          <cell r="AS567">
            <v>275105736</v>
          </cell>
        </row>
        <row r="575">
          <cell r="AQ575">
            <v>13874133</v>
          </cell>
          <cell r="AS575">
            <v>12225677</v>
          </cell>
        </row>
        <row r="582">
          <cell r="AQ582">
            <v>562660792</v>
          </cell>
          <cell r="AS582">
            <v>568372987</v>
          </cell>
        </row>
        <row r="583">
          <cell r="AQ583">
            <v>1184826</v>
          </cell>
          <cell r="AS583">
            <v>1184826</v>
          </cell>
        </row>
        <row r="584">
          <cell r="AQ584">
            <v>13462882</v>
          </cell>
          <cell r="AS584">
            <v>13462882</v>
          </cell>
        </row>
        <row r="585">
          <cell r="AQ585">
            <v>1528633</v>
          </cell>
          <cell r="AS585">
            <v>1528633</v>
          </cell>
        </row>
        <row r="586">
          <cell r="AQ586">
            <v>1095719</v>
          </cell>
          <cell r="AS586">
            <v>1095719</v>
          </cell>
        </row>
        <row r="597">
          <cell r="AQ597">
            <v>484670572</v>
          </cell>
          <cell r="AS597">
            <v>510028440</v>
          </cell>
        </row>
        <row r="605">
          <cell r="AQ605">
            <v>38492949</v>
          </cell>
          <cell r="AS605">
            <v>23925901</v>
          </cell>
        </row>
        <row r="612">
          <cell r="AQ612">
            <v>419386287</v>
          </cell>
          <cell r="AS612">
            <v>557030812</v>
          </cell>
        </row>
        <row r="613">
          <cell r="AQ613">
            <v>1375511</v>
          </cell>
          <cell r="AS613">
            <v>1375511</v>
          </cell>
        </row>
        <row r="614">
          <cell r="AQ614">
            <v>3037224</v>
          </cell>
          <cell r="AS614">
            <v>3172574</v>
          </cell>
        </row>
        <row r="615">
          <cell r="AQ615">
            <v>2865999</v>
          </cell>
          <cell r="AS615">
            <v>2871291</v>
          </cell>
        </row>
        <row r="616">
          <cell r="AQ616">
            <v>8415168</v>
          </cell>
          <cell r="AS616">
            <v>9905880</v>
          </cell>
        </row>
        <row r="627">
          <cell r="AQ627">
            <v>360020450</v>
          </cell>
          <cell r="AS627">
            <v>421860552</v>
          </cell>
        </row>
        <row r="635">
          <cell r="AQ635">
            <v>51504900</v>
          </cell>
          <cell r="AS635">
            <v>2877325</v>
          </cell>
        </row>
        <row r="642">
          <cell r="AQ642">
            <v>322958972</v>
          </cell>
          <cell r="AS642">
            <v>389406556</v>
          </cell>
        </row>
        <row r="643">
          <cell r="AQ643">
            <v>5161184</v>
          </cell>
          <cell r="AS643">
            <v>5164603</v>
          </cell>
        </row>
        <row r="644">
          <cell r="AQ644">
            <v>2247852</v>
          </cell>
          <cell r="AS644">
            <v>2256433</v>
          </cell>
        </row>
        <row r="645">
          <cell r="AQ645">
            <v>4465891</v>
          </cell>
          <cell r="AS645">
            <v>4540705</v>
          </cell>
        </row>
        <row r="646">
          <cell r="AQ646">
            <v>4326593</v>
          </cell>
          <cell r="AS646">
            <v>4731454</v>
          </cell>
        </row>
        <row r="657">
          <cell r="AQ657">
            <v>262137125</v>
          </cell>
          <cell r="AS657">
            <v>312405165</v>
          </cell>
        </row>
        <row r="665">
          <cell r="AQ665">
            <v>22441605</v>
          </cell>
          <cell r="AS665">
            <v>21634985</v>
          </cell>
        </row>
        <row r="672">
          <cell r="AQ672">
            <v>166124197</v>
          </cell>
          <cell r="AS672">
            <v>178322143</v>
          </cell>
        </row>
        <row r="673">
          <cell r="AQ673">
            <v>610821</v>
          </cell>
          <cell r="AS673">
            <v>610821</v>
          </cell>
        </row>
        <row r="674">
          <cell r="AQ674">
            <v>1858601</v>
          </cell>
          <cell r="AS674">
            <v>1922023</v>
          </cell>
        </row>
        <row r="675">
          <cell r="AQ675">
            <v>1171822</v>
          </cell>
          <cell r="AS675">
            <v>1171822</v>
          </cell>
        </row>
        <row r="676">
          <cell r="AQ676">
            <v>4846299</v>
          </cell>
          <cell r="AS676">
            <v>5470859</v>
          </cell>
        </row>
        <row r="687">
          <cell r="AQ687">
            <v>141539259</v>
          </cell>
          <cell r="AS687">
            <v>151269280</v>
          </cell>
        </row>
        <row r="695">
          <cell r="AQ695">
            <v>18467092</v>
          </cell>
          <cell r="AS695">
            <v>13389449</v>
          </cell>
        </row>
        <row r="702">
          <cell r="AQ702">
            <v>619115000</v>
          </cell>
          <cell r="AS702">
            <v>622444000</v>
          </cell>
        </row>
        <row r="703">
          <cell r="AQ703">
            <v>4113000</v>
          </cell>
          <cell r="AS703">
            <v>4113000</v>
          </cell>
        </row>
        <row r="704">
          <cell r="AQ704">
            <v>15219000</v>
          </cell>
          <cell r="AS704">
            <v>15219000</v>
          </cell>
        </row>
        <row r="705">
          <cell r="AQ705">
            <v>5692000</v>
          </cell>
          <cell r="AS705">
            <v>5692000</v>
          </cell>
        </row>
        <row r="706">
          <cell r="AQ706">
            <v>15222000</v>
          </cell>
          <cell r="AS706">
            <v>15270000</v>
          </cell>
        </row>
        <row r="717">
          <cell r="AQ717">
            <v>512817000</v>
          </cell>
          <cell r="AS717">
            <v>574476000</v>
          </cell>
        </row>
        <row r="725">
          <cell r="AQ725">
            <v>8633000</v>
          </cell>
          <cell r="AS725">
            <v>11447000</v>
          </cell>
        </row>
        <row r="732">
          <cell r="AQ732">
            <v>64303000</v>
          </cell>
          <cell r="AS732">
            <v>68059000</v>
          </cell>
        </row>
        <row r="733">
          <cell r="AQ733">
            <v>462959</v>
          </cell>
          <cell r="AS733">
            <v>467027</v>
          </cell>
        </row>
        <row r="734">
          <cell r="AQ734">
            <v>1689716</v>
          </cell>
          <cell r="AS734">
            <v>1749012</v>
          </cell>
        </row>
        <row r="735">
          <cell r="AQ735">
            <v>757319</v>
          </cell>
          <cell r="AS735">
            <v>763975</v>
          </cell>
        </row>
        <row r="736">
          <cell r="AQ736">
            <v>2935960</v>
          </cell>
          <cell r="AS736">
            <v>3038988</v>
          </cell>
        </row>
        <row r="747">
          <cell r="AQ747">
            <v>47494396</v>
          </cell>
          <cell r="AS747">
            <v>50706996</v>
          </cell>
        </row>
        <row r="755">
          <cell r="AQ755">
            <v>5661795</v>
          </cell>
          <cell r="AS755">
            <v>2408996</v>
          </cell>
        </row>
        <row r="762">
          <cell r="AQ762">
            <v>157025030</v>
          </cell>
          <cell r="AS762">
            <v>193764702</v>
          </cell>
        </row>
        <row r="763">
          <cell r="AQ763">
            <v>371831</v>
          </cell>
          <cell r="AS763">
            <v>371852</v>
          </cell>
        </row>
        <row r="764">
          <cell r="AQ764">
            <v>5638071</v>
          </cell>
          <cell r="AS764">
            <v>5638071</v>
          </cell>
        </row>
        <row r="765">
          <cell r="AQ765">
            <v>451186</v>
          </cell>
          <cell r="AS765">
            <v>461455</v>
          </cell>
        </row>
        <row r="766">
          <cell r="AQ766">
            <v>992951</v>
          </cell>
          <cell r="AS766">
            <v>992951</v>
          </cell>
        </row>
        <row r="777">
          <cell r="AQ777">
            <v>135859797</v>
          </cell>
          <cell r="AS777">
            <v>153400965</v>
          </cell>
        </row>
        <row r="785">
          <cell r="AQ785">
            <v>11458960</v>
          </cell>
          <cell r="AS785">
            <v>2601033</v>
          </cell>
        </row>
        <row r="792">
          <cell r="AQ792">
            <v>253633412</v>
          </cell>
          <cell r="AS792">
            <v>326424665</v>
          </cell>
        </row>
        <row r="793">
          <cell r="AQ793">
            <v>1358287</v>
          </cell>
          <cell r="AS793">
            <v>1358287</v>
          </cell>
        </row>
        <row r="794">
          <cell r="AQ794">
            <v>2158423</v>
          </cell>
          <cell r="AS794">
            <v>2158423</v>
          </cell>
        </row>
        <row r="795">
          <cell r="AQ795">
            <v>477107</v>
          </cell>
          <cell r="AS795">
            <v>477107</v>
          </cell>
        </row>
        <row r="796">
          <cell r="AQ796">
            <v>660836</v>
          </cell>
          <cell r="AS796">
            <v>783162</v>
          </cell>
        </row>
        <row r="807">
          <cell r="AQ807">
            <v>220820908</v>
          </cell>
          <cell r="AS807">
            <v>254646309</v>
          </cell>
        </row>
        <row r="815">
          <cell r="AQ815">
            <v>15591055</v>
          </cell>
          <cell r="AS815">
            <v>15913383</v>
          </cell>
        </row>
        <row r="822">
          <cell r="AQ822">
            <v>207452638</v>
          </cell>
          <cell r="AS822">
            <v>270015063</v>
          </cell>
        </row>
        <row r="823">
          <cell r="AQ823">
            <v>830928</v>
          </cell>
          <cell r="AS823">
            <v>830928</v>
          </cell>
        </row>
        <row r="824">
          <cell r="AQ824">
            <v>3458510</v>
          </cell>
          <cell r="AS824">
            <v>3522615</v>
          </cell>
        </row>
        <row r="825">
          <cell r="AQ825">
            <v>2028120</v>
          </cell>
          <cell r="AS825">
            <v>2029655</v>
          </cell>
        </row>
        <row r="826">
          <cell r="AQ826">
            <v>5718335</v>
          </cell>
          <cell r="AS826">
            <v>5860001</v>
          </cell>
        </row>
        <row r="837">
          <cell r="AQ837">
            <v>179340438</v>
          </cell>
          <cell r="AS837">
            <v>212905925</v>
          </cell>
        </row>
        <row r="845">
          <cell r="AQ845">
            <v>24219808</v>
          </cell>
          <cell r="AS845">
            <v>22864042</v>
          </cell>
        </row>
        <row r="852">
          <cell r="AQ852">
            <v>148614997</v>
          </cell>
          <cell r="AS852">
            <v>149684770</v>
          </cell>
        </row>
        <row r="853">
          <cell r="AQ853">
            <v>983249</v>
          </cell>
          <cell r="AS853">
            <v>983249</v>
          </cell>
        </row>
        <row r="854">
          <cell r="AQ854">
            <v>4242062</v>
          </cell>
          <cell r="AS854">
            <v>4263959</v>
          </cell>
        </row>
        <row r="855">
          <cell r="AQ855">
            <v>948747</v>
          </cell>
          <cell r="AS855">
            <v>948747</v>
          </cell>
        </row>
        <row r="856">
          <cell r="AQ856">
            <v>3936872</v>
          </cell>
          <cell r="AS856">
            <v>3957196</v>
          </cell>
        </row>
        <row r="867">
          <cell r="AQ867">
            <v>123518793</v>
          </cell>
          <cell r="AS867">
            <v>124972052</v>
          </cell>
        </row>
        <row r="875">
          <cell r="AQ875">
            <v>12750928</v>
          </cell>
          <cell r="AS875">
            <v>11107184</v>
          </cell>
        </row>
        <row r="882">
          <cell r="AQ882">
            <v>192954845</v>
          </cell>
          <cell r="AS882">
            <v>238386407</v>
          </cell>
        </row>
        <row r="883">
          <cell r="AQ883">
            <v>1915266</v>
          </cell>
          <cell r="AS883">
            <v>1915266</v>
          </cell>
        </row>
        <row r="884">
          <cell r="AQ884">
            <v>3539252</v>
          </cell>
          <cell r="AS884">
            <v>3539252</v>
          </cell>
        </row>
        <row r="885">
          <cell r="AQ885">
            <v>1690730</v>
          </cell>
          <cell r="AS885">
            <v>2172661</v>
          </cell>
        </row>
        <row r="886">
          <cell r="AQ886">
            <v>3149189</v>
          </cell>
          <cell r="AS886">
            <v>5034241</v>
          </cell>
        </row>
        <row r="897">
          <cell r="AQ897">
            <v>163995782</v>
          </cell>
          <cell r="AS897">
            <v>181790060</v>
          </cell>
        </row>
        <row r="905">
          <cell r="AQ905">
            <v>21579153</v>
          </cell>
          <cell r="AS905">
            <v>17566150</v>
          </cell>
        </row>
        <row r="912">
          <cell r="AQ912">
            <v>229030693</v>
          </cell>
          <cell r="AS912">
            <v>235857851</v>
          </cell>
        </row>
        <row r="913">
          <cell r="AQ913">
            <v>7013997</v>
          </cell>
          <cell r="AS913">
            <v>7013997</v>
          </cell>
        </row>
        <row r="914">
          <cell r="AQ914">
            <v>7052110</v>
          </cell>
          <cell r="AS914">
            <v>7061379</v>
          </cell>
        </row>
        <row r="915">
          <cell r="AQ915">
            <v>6756876</v>
          </cell>
          <cell r="AS915">
            <v>6756876</v>
          </cell>
        </row>
        <row r="916">
          <cell r="AQ916">
            <v>7031649</v>
          </cell>
          <cell r="AS916">
            <v>7040888</v>
          </cell>
        </row>
        <row r="927">
          <cell r="AQ927">
            <v>188823536</v>
          </cell>
          <cell r="AS927">
            <v>196035846</v>
          </cell>
        </row>
        <row r="935">
          <cell r="AQ935">
            <v>24791491</v>
          </cell>
          <cell r="AS935">
            <v>3711533</v>
          </cell>
        </row>
        <row r="942">
          <cell r="AQ942">
            <v>144499806</v>
          </cell>
          <cell r="AS942">
            <v>155844233</v>
          </cell>
        </row>
        <row r="943">
          <cell r="AQ943">
            <v>1066101</v>
          </cell>
          <cell r="AS943">
            <v>1095882</v>
          </cell>
        </row>
        <row r="944">
          <cell r="AQ944">
            <v>392285</v>
          </cell>
          <cell r="AS944">
            <v>426912</v>
          </cell>
        </row>
        <row r="945">
          <cell r="AQ945">
            <v>2689800</v>
          </cell>
          <cell r="AS945">
            <v>2847633</v>
          </cell>
        </row>
        <row r="946">
          <cell r="AQ946">
            <v>746014</v>
          </cell>
          <cell r="AS946">
            <v>842720</v>
          </cell>
        </row>
        <row r="957">
          <cell r="AQ957">
            <v>128117841</v>
          </cell>
          <cell r="AS957">
            <v>134236566</v>
          </cell>
        </row>
        <row r="965">
          <cell r="AQ965">
            <v>13168698</v>
          </cell>
          <cell r="AS965">
            <v>9699896</v>
          </cell>
        </row>
        <row r="972">
          <cell r="AQ972">
            <v>250263522</v>
          </cell>
          <cell r="AS972">
            <v>296132535</v>
          </cell>
        </row>
        <row r="973">
          <cell r="AQ973">
            <v>1902100</v>
          </cell>
          <cell r="AS973">
            <v>1938395</v>
          </cell>
        </row>
        <row r="974">
          <cell r="AQ974">
            <v>4576950</v>
          </cell>
          <cell r="AS974">
            <v>4576950</v>
          </cell>
        </row>
        <row r="975">
          <cell r="AQ975">
            <v>1287600</v>
          </cell>
          <cell r="AS975">
            <v>1287600</v>
          </cell>
        </row>
        <row r="976">
          <cell r="AQ976">
            <v>8443861</v>
          </cell>
          <cell r="AS976">
            <v>10483419</v>
          </cell>
        </row>
        <row r="987">
          <cell r="AQ987">
            <v>207773325</v>
          </cell>
          <cell r="AS987">
            <v>233578392</v>
          </cell>
        </row>
        <row r="995">
          <cell r="AQ995">
            <v>33864567</v>
          </cell>
          <cell r="AS995">
            <v>16425723</v>
          </cell>
        </row>
        <row r="1002">
          <cell r="AQ1002">
            <v>402091491</v>
          </cell>
          <cell r="AS1002">
            <v>434940954</v>
          </cell>
        </row>
        <row r="1003">
          <cell r="AQ1003">
            <v>4315280</v>
          </cell>
          <cell r="AS1003">
            <v>4315280</v>
          </cell>
        </row>
        <row r="1004">
          <cell r="AQ1004">
            <v>8275141</v>
          </cell>
          <cell r="AS1004">
            <v>8275141</v>
          </cell>
        </row>
        <row r="1005">
          <cell r="AQ1005">
            <v>3726549</v>
          </cell>
          <cell r="AS1005">
            <v>3726549</v>
          </cell>
        </row>
        <row r="1006">
          <cell r="AQ1006">
            <v>7082491</v>
          </cell>
          <cell r="AS1006">
            <v>7082491</v>
          </cell>
        </row>
        <row r="1017">
          <cell r="AQ1017">
            <v>328078481</v>
          </cell>
          <cell r="AS1017">
            <v>358374737</v>
          </cell>
        </row>
        <row r="1025">
          <cell r="AQ1025">
            <v>18138642</v>
          </cell>
          <cell r="AS1025">
            <v>24605430</v>
          </cell>
        </row>
        <row r="1032">
          <cell r="AQ1032">
            <v>432945188</v>
          </cell>
          <cell r="AS1032">
            <v>479790782</v>
          </cell>
        </row>
        <row r="1033">
          <cell r="AQ1033">
            <v>701686</v>
          </cell>
          <cell r="AS1033">
            <v>701686</v>
          </cell>
        </row>
        <row r="1034">
          <cell r="AQ1034">
            <v>2605922</v>
          </cell>
          <cell r="AS1034">
            <v>2605922</v>
          </cell>
        </row>
        <row r="1035">
          <cell r="AQ1035">
            <v>976198</v>
          </cell>
          <cell r="AS1035">
            <v>976198</v>
          </cell>
        </row>
        <row r="1036">
          <cell r="AQ1036">
            <v>5636255</v>
          </cell>
          <cell r="AS1036">
            <v>6340289</v>
          </cell>
        </row>
        <row r="1047">
          <cell r="AQ1047">
            <v>372007020</v>
          </cell>
          <cell r="AS1047">
            <v>412319444</v>
          </cell>
        </row>
        <row r="1055">
          <cell r="AQ1055">
            <v>26629952</v>
          </cell>
          <cell r="AS1055">
            <v>21380036</v>
          </cell>
        </row>
        <row r="1062">
          <cell r="AQ1062">
            <v>14988532</v>
          </cell>
          <cell r="AS1062">
            <v>16429574</v>
          </cell>
        </row>
        <row r="1063">
          <cell r="AQ1063">
            <v>46165</v>
          </cell>
          <cell r="AS1063">
            <v>46165</v>
          </cell>
        </row>
        <row r="1064">
          <cell r="AQ1064">
            <v>138866</v>
          </cell>
          <cell r="AS1064">
            <v>138866</v>
          </cell>
        </row>
        <row r="1065">
          <cell r="AQ1065">
            <v>198338</v>
          </cell>
          <cell r="AS1065">
            <v>215466</v>
          </cell>
        </row>
        <row r="1066">
          <cell r="AQ1066">
            <v>527134</v>
          </cell>
          <cell r="AS1066">
            <v>577135</v>
          </cell>
        </row>
        <row r="1077">
          <cell r="AQ1077">
            <v>12055975</v>
          </cell>
          <cell r="AS1077">
            <v>12989716</v>
          </cell>
        </row>
        <row r="1085">
          <cell r="AQ1085">
            <v>258621</v>
          </cell>
          <cell r="AS1085">
            <v>-1080936</v>
          </cell>
        </row>
        <row r="1092">
          <cell r="AQ1092">
            <v>286303000</v>
          </cell>
          <cell r="AS1092">
            <v>286303000</v>
          </cell>
        </row>
        <row r="1093">
          <cell r="AQ1093">
            <v>1003000</v>
          </cell>
          <cell r="AS1093">
            <v>1003000</v>
          </cell>
        </row>
        <row r="1094">
          <cell r="AQ1094">
            <v>5423000</v>
          </cell>
          <cell r="AS1094">
            <v>5423000</v>
          </cell>
        </row>
        <row r="1095">
          <cell r="AQ1095">
            <v>2169000</v>
          </cell>
          <cell r="AS1095">
            <v>2169000</v>
          </cell>
        </row>
        <row r="1096">
          <cell r="AQ1096">
            <v>3266000</v>
          </cell>
          <cell r="AS1096">
            <v>3266000</v>
          </cell>
        </row>
        <row r="1107">
          <cell r="AQ1107">
            <v>244860000</v>
          </cell>
          <cell r="AS1107">
            <v>247806000</v>
          </cell>
        </row>
        <row r="1115">
          <cell r="AQ1115">
            <v>7852000</v>
          </cell>
          <cell r="AS1115">
            <v>10798000</v>
          </cell>
        </row>
        <row r="1122">
          <cell r="AQ1122">
            <v>321047984</v>
          </cell>
          <cell r="AS1122">
            <v>321357300</v>
          </cell>
        </row>
        <row r="1123">
          <cell r="AQ1123">
            <v>1081142</v>
          </cell>
          <cell r="AS1123">
            <v>1081142</v>
          </cell>
        </row>
        <row r="1124">
          <cell r="AQ1124">
            <v>4515420</v>
          </cell>
          <cell r="AS1124">
            <v>4515420</v>
          </cell>
        </row>
        <row r="1125">
          <cell r="AQ1125">
            <v>3861517</v>
          </cell>
          <cell r="AS1125">
            <v>3861517</v>
          </cell>
        </row>
        <row r="1126">
          <cell r="AQ1126">
            <v>7348874</v>
          </cell>
          <cell r="AS1126">
            <v>7348874</v>
          </cell>
        </row>
        <row r="1137">
          <cell r="AQ1137">
            <v>275411453</v>
          </cell>
          <cell r="AS1137">
            <v>275641782</v>
          </cell>
        </row>
        <row r="1145">
          <cell r="AQ1145">
            <v>30186063</v>
          </cell>
          <cell r="AS1145">
            <v>30411390</v>
          </cell>
        </row>
        <row r="1152">
          <cell r="AQ1152">
            <v>225951000</v>
          </cell>
          <cell r="AS1152">
            <v>260106000</v>
          </cell>
        </row>
        <row r="1153">
          <cell r="AQ1153">
            <v>6189383</v>
          </cell>
          <cell r="AS1153">
            <v>6201029</v>
          </cell>
        </row>
        <row r="1154">
          <cell r="AQ1154">
            <v>2663004</v>
          </cell>
          <cell r="AS1154">
            <v>2663004</v>
          </cell>
        </row>
        <row r="1155">
          <cell r="AQ1155">
            <v>5064040</v>
          </cell>
          <cell r="AS1155">
            <v>5249798</v>
          </cell>
        </row>
        <row r="1156">
          <cell r="AQ1156">
            <v>2558573</v>
          </cell>
          <cell r="AS1156">
            <v>2650169</v>
          </cell>
        </row>
        <row r="1167">
          <cell r="AQ1167">
            <v>188194001</v>
          </cell>
          <cell r="AS1167">
            <v>212249001</v>
          </cell>
        </row>
        <row r="1175">
          <cell r="AQ1175">
            <v>13661001</v>
          </cell>
          <cell r="AS1175">
            <v>4587001</v>
          </cell>
        </row>
        <row r="1182">
          <cell r="AQ1182">
            <v>106387710</v>
          </cell>
          <cell r="AS1182">
            <v>106387710</v>
          </cell>
        </row>
        <row r="1183">
          <cell r="AQ1183">
            <v>2271381</v>
          </cell>
          <cell r="AS1183">
            <v>2271381</v>
          </cell>
        </row>
        <row r="1184">
          <cell r="AQ1184">
            <v>58925</v>
          </cell>
          <cell r="AS1184">
            <v>58925</v>
          </cell>
        </row>
        <row r="1185">
          <cell r="AQ1185">
            <v>2454653</v>
          </cell>
          <cell r="AS1185">
            <v>2454653</v>
          </cell>
        </row>
        <row r="1186">
          <cell r="AQ1186">
            <v>4591784</v>
          </cell>
          <cell r="AS1186">
            <v>4591784</v>
          </cell>
        </row>
        <row r="1197">
          <cell r="AQ1197">
            <v>90359071</v>
          </cell>
          <cell r="AS1197">
            <v>90359071</v>
          </cell>
        </row>
        <row r="1205">
          <cell r="AQ1205">
            <v>-11282163</v>
          </cell>
          <cell r="AS1205">
            <v>-20740603</v>
          </cell>
        </row>
        <row r="1212">
          <cell r="AQ1212">
            <v>48757628</v>
          </cell>
          <cell r="AS1212">
            <v>48757628</v>
          </cell>
        </row>
        <row r="1213">
          <cell r="AQ1213">
            <v>907213</v>
          </cell>
          <cell r="AS1213">
            <v>907213</v>
          </cell>
        </row>
        <row r="1214">
          <cell r="AQ1214">
            <v>1338294</v>
          </cell>
          <cell r="AS1214">
            <v>1338294</v>
          </cell>
        </row>
        <row r="1215">
          <cell r="AQ1215">
            <v>298811</v>
          </cell>
          <cell r="AS1215">
            <v>298811</v>
          </cell>
        </row>
        <row r="1216">
          <cell r="AQ1216">
            <v>1700892</v>
          </cell>
          <cell r="AS1216">
            <v>1700892</v>
          </cell>
        </row>
        <row r="1227">
          <cell r="AQ1227">
            <v>42722079</v>
          </cell>
          <cell r="AS1227">
            <v>42722079</v>
          </cell>
        </row>
        <row r="1235">
          <cell r="AQ1235">
            <v>1057033</v>
          </cell>
          <cell r="AS1235">
            <v>1057033</v>
          </cell>
        </row>
        <row r="1242">
          <cell r="AQ1242">
            <v>103126636</v>
          </cell>
          <cell r="AS1242">
            <v>144928004</v>
          </cell>
        </row>
        <row r="1243">
          <cell r="AQ1243">
            <v>898346</v>
          </cell>
          <cell r="AS1243">
            <v>898346</v>
          </cell>
        </row>
        <row r="1244">
          <cell r="AQ1244">
            <v>730941</v>
          </cell>
          <cell r="AS1244">
            <v>730941</v>
          </cell>
        </row>
        <row r="1245">
          <cell r="AQ1245">
            <v>1900949</v>
          </cell>
          <cell r="AS1245">
            <v>1902858</v>
          </cell>
        </row>
        <row r="1246">
          <cell r="AQ1246">
            <v>2079706</v>
          </cell>
          <cell r="AS1246">
            <v>2992787</v>
          </cell>
        </row>
        <row r="1257">
          <cell r="AQ1257">
            <v>89835987</v>
          </cell>
          <cell r="AS1257">
            <v>108882745</v>
          </cell>
        </row>
        <row r="1265">
          <cell r="AQ1265">
            <v>9286859</v>
          </cell>
          <cell r="AS1265">
            <v>817320</v>
          </cell>
        </row>
        <row r="1272">
          <cell r="AQ1272">
            <v>260050091</v>
          </cell>
          <cell r="AS1272">
            <v>269995749</v>
          </cell>
        </row>
        <row r="1273">
          <cell r="AQ1273">
            <v>2716044</v>
          </cell>
          <cell r="AS1273">
            <v>2718297</v>
          </cell>
        </row>
        <row r="1274">
          <cell r="AQ1274">
            <v>8244313</v>
          </cell>
          <cell r="AS1274">
            <v>8244313</v>
          </cell>
        </row>
        <row r="1275">
          <cell r="AQ1275">
            <v>236922</v>
          </cell>
          <cell r="AS1275">
            <v>236922</v>
          </cell>
        </row>
        <row r="1276">
          <cell r="AQ1276">
            <v>5756360</v>
          </cell>
          <cell r="AS1276">
            <v>5756360</v>
          </cell>
        </row>
        <row r="1287">
          <cell r="AQ1287">
            <v>206041897</v>
          </cell>
          <cell r="AS1287">
            <v>215767606</v>
          </cell>
        </row>
        <row r="1295">
          <cell r="AQ1295">
            <v>-6482455</v>
          </cell>
          <cell r="AS1295">
            <v>-4672426</v>
          </cell>
        </row>
        <row r="1302">
          <cell r="AQ1302">
            <v>391137000</v>
          </cell>
          <cell r="AS1302">
            <v>394184000</v>
          </cell>
        </row>
        <row r="1303">
          <cell r="AQ1303">
            <v>4893059</v>
          </cell>
          <cell r="AS1303">
            <v>4919804</v>
          </cell>
        </row>
        <row r="1304">
          <cell r="AQ1304">
            <v>7392005</v>
          </cell>
          <cell r="AS1304">
            <v>7426729</v>
          </cell>
        </row>
        <row r="1305">
          <cell r="AQ1305">
            <v>3065662</v>
          </cell>
          <cell r="AS1305">
            <v>3082194</v>
          </cell>
        </row>
        <row r="1306">
          <cell r="AQ1306">
            <v>4574788</v>
          </cell>
          <cell r="AS1306">
            <v>4655274</v>
          </cell>
        </row>
        <row r="1317">
          <cell r="AQ1317">
            <v>324609030</v>
          </cell>
          <cell r="AS1317">
            <v>330337995</v>
          </cell>
        </row>
        <row r="1325">
          <cell r="AQ1325">
            <v>21647994</v>
          </cell>
          <cell r="AS1325">
            <v>4269995</v>
          </cell>
        </row>
        <row r="1332">
          <cell r="AQ1332">
            <v>55787283</v>
          </cell>
          <cell r="AS1332">
            <v>88631377</v>
          </cell>
        </row>
        <row r="1333">
          <cell r="AQ1333">
            <v>224492</v>
          </cell>
          <cell r="AS1333">
            <v>927033</v>
          </cell>
        </row>
        <row r="1334">
          <cell r="AQ1334">
            <v>2228765</v>
          </cell>
          <cell r="AS1334">
            <v>3338340</v>
          </cell>
        </row>
        <row r="1335">
          <cell r="AQ1335">
            <v>0</v>
          </cell>
          <cell r="AS1335">
            <v>3486</v>
          </cell>
        </row>
        <row r="1336">
          <cell r="AQ1336">
            <v>0</v>
          </cell>
          <cell r="AS1336">
            <v>0</v>
          </cell>
        </row>
        <row r="1347">
          <cell r="AQ1347">
            <v>47560604</v>
          </cell>
          <cell r="AS1347">
            <v>74286492</v>
          </cell>
        </row>
        <row r="1355">
          <cell r="AQ1355">
            <v>7226183</v>
          </cell>
          <cell r="AS1355">
            <v>1800534</v>
          </cell>
        </row>
        <row r="1362">
          <cell r="AQ1362">
            <v>43305455</v>
          </cell>
          <cell r="AS1362">
            <v>43407861</v>
          </cell>
        </row>
        <row r="1363">
          <cell r="AQ1363">
            <v>907946</v>
          </cell>
          <cell r="AS1363">
            <v>907946</v>
          </cell>
        </row>
        <row r="1364">
          <cell r="AQ1364">
            <v>875965</v>
          </cell>
          <cell r="AS1364">
            <v>875965</v>
          </cell>
        </row>
        <row r="1365">
          <cell r="AQ1365">
            <v>1200798</v>
          </cell>
          <cell r="AS1365">
            <v>1200798</v>
          </cell>
        </row>
        <row r="1366">
          <cell r="AQ1366">
            <v>1158500</v>
          </cell>
          <cell r="AS1366">
            <v>1158500</v>
          </cell>
        </row>
        <row r="1377">
          <cell r="AQ1377">
            <v>36348492</v>
          </cell>
          <cell r="AS1377">
            <v>36934727</v>
          </cell>
        </row>
        <row r="1385">
          <cell r="AQ1385">
            <v>-27820982</v>
          </cell>
          <cell r="AS1385">
            <v>-31349264</v>
          </cell>
        </row>
        <row r="1392">
          <cell r="AQ1392">
            <v>120119000</v>
          </cell>
          <cell r="AS1392">
            <v>121162000</v>
          </cell>
        </row>
        <row r="1393">
          <cell r="AQ1393">
            <v>526563</v>
          </cell>
          <cell r="AS1393">
            <v>526563</v>
          </cell>
        </row>
        <row r="1394">
          <cell r="AQ1394">
            <v>3986017</v>
          </cell>
          <cell r="AS1394">
            <v>4044795</v>
          </cell>
        </row>
        <row r="1395">
          <cell r="AQ1395">
            <v>350437</v>
          </cell>
          <cell r="AS1395">
            <v>350437</v>
          </cell>
        </row>
        <row r="1396">
          <cell r="AQ1396">
            <v>2654068</v>
          </cell>
          <cell r="AS1396">
            <v>2693205</v>
          </cell>
        </row>
        <row r="1407">
          <cell r="AQ1407">
            <v>103074840</v>
          </cell>
          <cell r="AS1407">
            <v>106099996</v>
          </cell>
        </row>
        <row r="1415">
          <cell r="AQ1415">
            <v>-358921</v>
          </cell>
          <cell r="AS1415">
            <v>-782004</v>
          </cell>
        </row>
        <row r="1422">
          <cell r="AQ1422">
            <v>303788828</v>
          </cell>
          <cell r="AS1422">
            <v>450985671</v>
          </cell>
        </row>
        <row r="1423">
          <cell r="AQ1423">
            <v>873135</v>
          </cell>
          <cell r="AS1423">
            <v>891931</v>
          </cell>
        </row>
        <row r="1424">
          <cell r="AQ1424">
            <v>2744856</v>
          </cell>
          <cell r="AS1424">
            <v>2824283</v>
          </cell>
        </row>
        <row r="1425">
          <cell r="AQ1425">
            <v>2188313</v>
          </cell>
          <cell r="AS1425">
            <v>2264779</v>
          </cell>
        </row>
        <row r="1426">
          <cell r="AQ1426">
            <v>7073246</v>
          </cell>
          <cell r="AS1426">
            <v>7973736</v>
          </cell>
        </row>
        <row r="1437">
          <cell r="AQ1437">
            <v>246748177</v>
          </cell>
          <cell r="AS1437">
            <v>309627969</v>
          </cell>
        </row>
        <row r="1445">
          <cell r="AQ1445">
            <v>9587734</v>
          </cell>
          <cell r="AS1445">
            <v>8283357</v>
          </cell>
        </row>
        <row r="1452">
          <cell r="AQ1452">
            <v>388089955</v>
          </cell>
          <cell r="AS1452">
            <v>396653372</v>
          </cell>
        </row>
        <row r="1453">
          <cell r="AQ1453">
            <v>4660821</v>
          </cell>
          <cell r="AS1453">
            <v>4660821</v>
          </cell>
        </row>
        <row r="1454">
          <cell r="AQ1454">
            <v>8596605</v>
          </cell>
          <cell r="AS1454">
            <v>8596605</v>
          </cell>
        </row>
        <row r="1455">
          <cell r="AQ1455">
            <v>3198170</v>
          </cell>
          <cell r="AS1455">
            <v>3198170</v>
          </cell>
        </row>
        <row r="1456">
          <cell r="AQ1456">
            <v>5994999</v>
          </cell>
          <cell r="AS1456">
            <v>5994999</v>
          </cell>
        </row>
        <row r="1467">
          <cell r="AQ1467">
            <v>329620108</v>
          </cell>
          <cell r="AS1467">
            <v>336514358</v>
          </cell>
        </row>
        <row r="1475">
          <cell r="AQ1475">
            <v>21947267</v>
          </cell>
          <cell r="AS1475">
            <v>19881853</v>
          </cell>
        </row>
        <row r="1482">
          <cell r="AQ1482">
            <v>198049000</v>
          </cell>
          <cell r="AS1482">
            <v>203367000</v>
          </cell>
        </row>
        <row r="1483">
          <cell r="AQ1483">
            <v>6199947</v>
          </cell>
          <cell r="AS1483">
            <v>6199947</v>
          </cell>
        </row>
        <row r="1484">
          <cell r="AQ1484">
            <v>30124161</v>
          </cell>
          <cell r="AS1484">
            <v>30124161</v>
          </cell>
        </row>
        <row r="1485">
          <cell r="AQ1485">
            <v>1025053</v>
          </cell>
          <cell r="AS1485">
            <v>1025053</v>
          </cell>
        </row>
        <row r="1486">
          <cell r="AQ1486">
            <v>4981839</v>
          </cell>
          <cell r="AS1486">
            <v>4981839</v>
          </cell>
        </row>
        <row r="1497">
          <cell r="AQ1497">
            <v>172777969</v>
          </cell>
          <cell r="AS1497">
            <v>178589000</v>
          </cell>
        </row>
        <row r="1505">
          <cell r="AQ1505">
            <v>17815021</v>
          </cell>
          <cell r="AS1505">
            <v>17813000</v>
          </cell>
        </row>
      </sheetData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cores"/>
      <sheetName val="Martin"/>
      <sheetName val="Guterman"/>
      <sheetName val="Perman"/>
      <sheetName val="Tildon"/>
      <sheetName val="Luckner"/>
      <sheetName val="Feeney"/>
      <sheetName val="Boutwell"/>
      <sheetName val="Schuster"/>
      <sheetName val="Zumbrum"/>
      <sheetName val="Ports"/>
      <sheetName val="2. Comments"/>
      <sheetName val="3. Rev and PAU"/>
      <sheetName val="Sheet1"/>
    </sheetNames>
    <sheetDataSet>
      <sheetData sheetId="0"/>
      <sheetData sheetId="1">
        <row r="4">
          <cell r="C4">
            <v>8</v>
          </cell>
          <cell r="D4">
            <v>17</v>
          </cell>
          <cell r="E4">
            <v>9</v>
          </cell>
          <cell r="F4">
            <v>7</v>
          </cell>
          <cell r="G4">
            <v>4</v>
          </cell>
          <cell r="H4">
            <v>5</v>
          </cell>
          <cell r="I4">
            <v>5</v>
          </cell>
          <cell r="J4">
            <v>7</v>
          </cell>
          <cell r="K4">
            <v>9</v>
          </cell>
          <cell r="L4">
            <v>10</v>
          </cell>
          <cell r="M4">
            <v>9</v>
          </cell>
          <cell r="N4">
            <v>90</v>
          </cell>
        </row>
        <row r="5">
          <cell r="C5">
            <v>7</v>
          </cell>
          <cell r="D5">
            <v>15</v>
          </cell>
          <cell r="E5">
            <v>7</v>
          </cell>
          <cell r="F5">
            <v>7</v>
          </cell>
          <cell r="G5">
            <v>5</v>
          </cell>
          <cell r="H5">
            <v>5</v>
          </cell>
          <cell r="I5">
            <v>4</v>
          </cell>
          <cell r="J5">
            <v>10</v>
          </cell>
          <cell r="K5">
            <v>7</v>
          </cell>
          <cell r="L5">
            <v>7</v>
          </cell>
          <cell r="M5">
            <v>7</v>
          </cell>
        </row>
        <row r="6">
          <cell r="C6">
            <v>5</v>
          </cell>
          <cell r="D6">
            <v>15</v>
          </cell>
          <cell r="E6">
            <v>6</v>
          </cell>
          <cell r="F6">
            <v>0</v>
          </cell>
          <cell r="G6">
            <v>0</v>
          </cell>
          <cell r="H6">
            <v>3</v>
          </cell>
          <cell r="I6">
            <v>4</v>
          </cell>
          <cell r="J6">
            <v>6</v>
          </cell>
          <cell r="K6">
            <v>6</v>
          </cell>
          <cell r="L6">
            <v>7</v>
          </cell>
          <cell r="M6">
            <v>6</v>
          </cell>
        </row>
        <row r="7">
          <cell r="C7">
            <v>4</v>
          </cell>
          <cell r="D7">
            <v>12</v>
          </cell>
          <cell r="E7">
            <v>4</v>
          </cell>
          <cell r="F7">
            <v>8</v>
          </cell>
          <cell r="H7">
            <v>5</v>
          </cell>
          <cell r="I7">
            <v>4</v>
          </cell>
          <cell r="J7">
            <v>9</v>
          </cell>
          <cell r="K7">
            <v>8</v>
          </cell>
          <cell r="L7">
            <v>6</v>
          </cell>
          <cell r="M7">
            <v>7</v>
          </cell>
        </row>
        <row r="8">
          <cell r="C8">
            <v>9</v>
          </cell>
          <cell r="D8">
            <v>15</v>
          </cell>
          <cell r="E8">
            <v>8</v>
          </cell>
          <cell r="F8">
            <v>7</v>
          </cell>
          <cell r="G8">
            <v>3</v>
          </cell>
          <cell r="H8">
            <v>3</v>
          </cell>
          <cell r="I8">
            <v>4</v>
          </cell>
          <cell r="J8">
            <v>9</v>
          </cell>
          <cell r="K8">
            <v>7</v>
          </cell>
          <cell r="L8">
            <v>6</v>
          </cell>
          <cell r="M8">
            <v>8</v>
          </cell>
        </row>
        <row r="9">
          <cell r="C9">
            <v>7</v>
          </cell>
          <cell r="D9">
            <v>7</v>
          </cell>
          <cell r="E9">
            <v>3</v>
          </cell>
          <cell r="F9">
            <v>0</v>
          </cell>
          <cell r="G9">
            <v>3</v>
          </cell>
          <cell r="H9">
            <v>3</v>
          </cell>
          <cell r="I9">
            <v>2</v>
          </cell>
          <cell r="J9">
            <v>7</v>
          </cell>
          <cell r="K9">
            <v>3</v>
          </cell>
          <cell r="L9">
            <v>2</v>
          </cell>
          <cell r="M9">
            <v>6</v>
          </cell>
        </row>
        <row r="10">
          <cell r="C10">
            <v>6</v>
          </cell>
          <cell r="D10">
            <v>10</v>
          </cell>
          <cell r="E10">
            <v>7</v>
          </cell>
          <cell r="F10">
            <v>7</v>
          </cell>
          <cell r="G10">
            <v>3</v>
          </cell>
          <cell r="H10">
            <v>4</v>
          </cell>
          <cell r="I10">
            <v>2</v>
          </cell>
          <cell r="J10">
            <v>7</v>
          </cell>
          <cell r="K10">
            <v>4</v>
          </cell>
          <cell r="L10">
            <v>3</v>
          </cell>
          <cell r="M10">
            <v>5</v>
          </cell>
        </row>
        <row r="11">
          <cell r="C11">
            <v>9</v>
          </cell>
          <cell r="D11">
            <v>18</v>
          </cell>
          <cell r="E11">
            <v>8</v>
          </cell>
          <cell r="F11">
            <v>9</v>
          </cell>
          <cell r="G11">
            <v>0</v>
          </cell>
          <cell r="H11">
            <v>4</v>
          </cell>
          <cell r="I11">
            <v>3</v>
          </cell>
          <cell r="J11">
            <v>7</v>
          </cell>
          <cell r="K11">
            <v>9</v>
          </cell>
          <cell r="L11">
            <v>6</v>
          </cell>
          <cell r="M11">
            <v>9</v>
          </cell>
        </row>
        <row r="12">
          <cell r="C12">
            <v>9</v>
          </cell>
          <cell r="D12">
            <v>17</v>
          </cell>
          <cell r="E12">
            <v>8</v>
          </cell>
          <cell r="F12">
            <v>8</v>
          </cell>
          <cell r="G12">
            <v>5</v>
          </cell>
          <cell r="H12">
            <v>4</v>
          </cell>
          <cell r="I12">
            <v>4</v>
          </cell>
          <cell r="J12">
            <v>9</v>
          </cell>
          <cell r="K12">
            <v>8</v>
          </cell>
          <cell r="L12">
            <v>6</v>
          </cell>
          <cell r="M12">
            <v>9</v>
          </cell>
        </row>
        <row r="13">
          <cell r="C13">
            <v>9</v>
          </cell>
          <cell r="D13">
            <v>18</v>
          </cell>
          <cell r="E13">
            <v>9</v>
          </cell>
          <cell r="F13">
            <v>7</v>
          </cell>
          <cell r="G13">
            <v>3</v>
          </cell>
          <cell r="H13">
            <v>5</v>
          </cell>
          <cell r="I13">
            <v>4</v>
          </cell>
          <cell r="J13">
            <v>7</v>
          </cell>
          <cell r="K13">
            <v>7</v>
          </cell>
          <cell r="L13">
            <v>6</v>
          </cell>
          <cell r="M13">
            <v>8</v>
          </cell>
        </row>
        <row r="14">
          <cell r="C14">
            <v>9</v>
          </cell>
          <cell r="D14">
            <v>18</v>
          </cell>
          <cell r="E14">
            <v>9</v>
          </cell>
          <cell r="F14">
            <v>9</v>
          </cell>
          <cell r="G14">
            <v>4</v>
          </cell>
          <cell r="H14">
            <v>5</v>
          </cell>
          <cell r="I14">
            <v>4</v>
          </cell>
          <cell r="J14">
            <v>7</v>
          </cell>
          <cell r="K14">
            <v>8</v>
          </cell>
          <cell r="L14">
            <v>10</v>
          </cell>
          <cell r="M14">
            <v>10</v>
          </cell>
        </row>
        <row r="15">
          <cell r="C15">
            <v>8</v>
          </cell>
          <cell r="D15">
            <v>16</v>
          </cell>
          <cell r="E15">
            <v>9</v>
          </cell>
          <cell r="F15">
            <v>6</v>
          </cell>
          <cell r="G15">
            <v>5</v>
          </cell>
          <cell r="H15">
            <v>5</v>
          </cell>
          <cell r="I15">
            <v>4</v>
          </cell>
          <cell r="J15">
            <v>7</v>
          </cell>
          <cell r="K15">
            <v>8</v>
          </cell>
          <cell r="L15">
            <v>10</v>
          </cell>
          <cell r="M15">
            <v>8</v>
          </cell>
        </row>
        <row r="16">
          <cell r="C16">
            <v>4</v>
          </cell>
          <cell r="D16">
            <v>15</v>
          </cell>
          <cell r="E16">
            <v>5</v>
          </cell>
          <cell r="F16">
            <v>4</v>
          </cell>
          <cell r="G16">
            <v>3</v>
          </cell>
          <cell r="H16">
            <v>4</v>
          </cell>
          <cell r="I16">
            <v>3</v>
          </cell>
          <cell r="J16">
            <v>9</v>
          </cell>
          <cell r="K16">
            <v>7</v>
          </cell>
          <cell r="L16">
            <v>2</v>
          </cell>
          <cell r="M16">
            <v>6</v>
          </cell>
        </row>
        <row r="17">
          <cell r="C17">
            <v>10</v>
          </cell>
          <cell r="D17">
            <v>19</v>
          </cell>
          <cell r="E17">
            <v>10</v>
          </cell>
          <cell r="F17">
            <v>7</v>
          </cell>
          <cell r="G17">
            <v>4</v>
          </cell>
          <cell r="H17">
            <v>5</v>
          </cell>
          <cell r="I17">
            <v>5</v>
          </cell>
          <cell r="J17">
            <v>10</v>
          </cell>
          <cell r="K17">
            <v>9</v>
          </cell>
          <cell r="L17">
            <v>9</v>
          </cell>
          <cell r="M17">
            <v>10</v>
          </cell>
        </row>
        <row r="18">
          <cell r="C18">
            <v>9</v>
          </cell>
          <cell r="D18">
            <v>17</v>
          </cell>
          <cell r="E18">
            <v>8</v>
          </cell>
          <cell r="F18">
            <v>8</v>
          </cell>
          <cell r="G18">
            <v>4</v>
          </cell>
          <cell r="H18">
            <v>4</v>
          </cell>
          <cell r="I18">
            <v>3</v>
          </cell>
          <cell r="J18">
            <v>9</v>
          </cell>
          <cell r="K18">
            <v>7</v>
          </cell>
          <cell r="L18">
            <v>7</v>
          </cell>
          <cell r="M18">
            <v>7</v>
          </cell>
        </row>
        <row r="19">
          <cell r="C19">
            <v>9</v>
          </cell>
          <cell r="D19">
            <v>16</v>
          </cell>
          <cell r="E19">
            <v>8</v>
          </cell>
          <cell r="F19">
            <v>8</v>
          </cell>
          <cell r="G19">
            <v>5</v>
          </cell>
          <cell r="H19">
            <v>3</v>
          </cell>
          <cell r="I19">
            <v>3</v>
          </cell>
          <cell r="J19">
            <v>7</v>
          </cell>
          <cell r="K19">
            <v>7</v>
          </cell>
          <cell r="L19">
            <v>4</v>
          </cell>
          <cell r="M19">
            <v>8</v>
          </cell>
        </row>
        <row r="20">
          <cell r="C20">
            <v>9</v>
          </cell>
          <cell r="D20">
            <v>19</v>
          </cell>
          <cell r="E20">
            <v>9</v>
          </cell>
          <cell r="F20">
            <v>6</v>
          </cell>
          <cell r="G20">
            <v>0</v>
          </cell>
          <cell r="H20">
            <v>4</v>
          </cell>
          <cell r="I20">
            <v>4</v>
          </cell>
          <cell r="J20">
            <v>8</v>
          </cell>
          <cell r="K20">
            <v>5</v>
          </cell>
          <cell r="L20">
            <v>7</v>
          </cell>
          <cell r="M20">
            <v>8</v>
          </cell>
        </row>
        <row r="21">
          <cell r="C21">
            <v>9</v>
          </cell>
          <cell r="D21">
            <v>17</v>
          </cell>
          <cell r="E21">
            <v>10</v>
          </cell>
          <cell r="F21">
            <v>8</v>
          </cell>
          <cell r="G21">
            <v>5</v>
          </cell>
          <cell r="H21">
            <v>5</v>
          </cell>
          <cell r="I21">
            <v>5</v>
          </cell>
          <cell r="J21">
            <v>8</v>
          </cell>
          <cell r="K21">
            <v>9</v>
          </cell>
          <cell r="L21">
            <v>10</v>
          </cell>
          <cell r="M21">
            <v>9</v>
          </cell>
        </row>
        <row r="22">
          <cell r="C22">
            <v>8</v>
          </cell>
          <cell r="D22">
            <v>17</v>
          </cell>
          <cell r="E22">
            <v>8</v>
          </cell>
          <cell r="F22">
            <v>8</v>
          </cell>
          <cell r="G22">
            <v>5</v>
          </cell>
          <cell r="H22">
            <v>3</v>
          </cell>
          <cell r="I22">
            <v>4</v>
          </cell>
          <cell r="J22">
            <v>6</v>
          </cell>
          <cell r="K22">
            <v>8</v>
          </cell>
          <cell r="L22">
            <v>10</v>
          </cell>
          <cell r="M22">
            <v>7</v>
          </cell>
        </row>
        <row r="23">
          <cell r="C23">
            <v>7</v>
          </cell>
          <cell r="D23">
            <v>14</v>
          </cell>
          <cell r="E23">
            <v>7</v>
          </cell>
          <cell r="F23">
            <v>5</v>
          </cell>
          <cell r="G23">
            <v>3</v>
          </cell>
          <cell r="H23">
            <v>4</v>
          </cell>
          <cell r="I23">
            <v>4</v>
          </cell>
          <cell r="J23">
            <v>6</v>
          </cell>
          <cell r="K23">
            <v>6</v>
          </cell>
          <cell r="L23">
            <v>7</v>
          </cell>
          <cell r="M23">
            <v>7</v>
          </cell>
        </row>
        <row r="24">
          <cell r="C24">
            <v>8</v>
          </cell>
          <cell r="D24">
            <v>14</v>
          </cell>
          <cell r="E24">
            <v>7</v>
          </cell>
          <cell r="F24">
            <v>5</v>
          </cell>
          <cell r="G24">
            <v>3</v>
          </cell>
          <cell r="H24">
            <v>4</v>
          </cell>
          <cell r="I24">
            <v>3</v>
          </cell>
          <cell r="J24">
            <v>7</v>
          </cell>
          <cell r="K24">
            <v>7</v>
          </cell>
          <cell r="L24">
            <v>7</v>
          </cell>
          <cell r="M24">
            <v>7</v>
          </cell>
        </row>
        <row r="25">
          <cell r="C25">
            <v>8</v>
          </cell>
          <cell r="D25">
            <v>13</v>
          </cell>
          <cell r="E25">
            <v>7</v>
          </cell>
          <cell r="F25">
            <v>6</v>
          </cell>
          <cell r="G25">
            <v>3</v>
          </cell>
          <cell r="H25">
            <v>3</v>
          </cell>
          <cell r="J25">
            <v>6</v>
          </cell>
          <cell r="K25">
            <v>5</v>
          </cell>
          <cell r="L25">
            <v>6</v>
          </cell>
          <cell r="M25">
            <v>6</v>
          </cell>
        </row>
      </sheetData>
      <sheetData sheetId="2">
        <row r="4">
          <cell r="C4">
            <v>9</v>
          </cell>
          <cell r="D4">
            <v>18</v>
          </cell>
          <cell r="E4">
            <v>10</v>
          </cell>
          <cell r="F4">
            <v>5</v>
          </cell>
          <cell r="G4">
            <v>5</v>
          </cell>
          <cell r="H4">
            <v>5</v>
          </cell>
          <cell r="I4">
            <v>4</v>
          </cell>
          <cell r="J4">
            <v>8</v>
          </cell>
          <cell r="K4">
            <v>5</v>
          </cell>
          <cell r="L4">
            <v>8</v>
          </cell>
          <cell r="M4">
            <v>8</v>
          </cell>
          <cell r="N4">
            <v>85</v>
          </cell>
        </row>
        <row r="5">
          <cell r="C5">
            <v>6</v>
          </cell>
          <cell r="D5">
            <v>10</v>
          </cell>
          <cell r="E5">
            <v>8</v>
          </cell>
          <cell r="F5">
            <v>5</v>
          </cell>
          <cell r="G5">
            <v>0</v>
          </cell>
          <cell r="H5">
            <v>3</v>
          </cell>
          <cell r="I5">
            <v>2</v>
          </cell>
          <cell r="J5">
            <v>8</v>
          </cell>
          <cell r="K5">
            <v>1</v>
          </cell>
          <cell r="L5">
            <v>5</v>
          </cell>
          <cell r="M5">
            <v>5</v>
          </cell>
        </row>
        <row r="6">
          <cell r="C6">
            <v>9</v>
          </cell>
          <cell r="D6">
            <v>10</v>
          </cell>
          <cell r="E6">
            <v>10</v>
          </cell>
          <cell r="F6">
            <v>5</v>
          </cell>
          <cell r="G6">
            <v>0</v>
          </cell>
          <cell r="H6">
            <v>3</v>
          </cell>
          <cell r="I6">
            <v>3</v>
          </cell>
          <cell r="J6">
            <v>6</v>
          </cell>
          <cell r="K6">
            <v>1</v>
          </cell>
          <cell r="L6">
            <v>5</v>
          </cell>
          <cell r="M6">
            <v>5</v>
          </cell>
        </row>
        <row r="7">
          <cell r="C7">
            <v>8</v>
          </cell>
          <cell r="D7">
            <v>16</v>
          </cell>
          <cell r="E7">
            <v>10</v>
          </cell>
          <cell r="F7">
            <v>5</v>
          </cell>
          <cell r="H7">
            <v>5</v>
          </cell>
          <cell r="I7">
            <v>3</v>
          </cell>
          <cell r="J7">
            <v>10</v>
          </cell>
          <cell r="K7">
            <v>4</v>
          </cell>
          <cell r="L7">
            <v>8</v>
          </cell>
          <cell r="M7">
            <v>8</v>
          </cell>
        </row>
        <row r="8">
          <cell r="C8">
            <v>8</v>
          </cell>
          <cell r="D8">
            <v>16</v>
          </cell>
          <cell r="E8">
            <v>10</v>
          </cell>
          <cell r="F8">
            <v>5</v>
          </cell>
          <cell r="G8">
            <v>1</v>
          </cell>
          <cell r="H8">
            <v>3</v>
          </cell>
          <cell r="I8">
            <v>3</v>
          </cell>
          <cell r="J8">
            <v>8</v>
          </cell>
          <cell r="K8">
            <v>1</v>
          </cell>
          <cell r="L8">
            <v>8</v>
          </cell>
          <cell r="M8">
            <v>8</v>
          </cell>
        </row>
        <row r="9">
          <cell r="C9">
            <v>0</v>
          </cell>
          <cell r="D9">
            <v>5</v>
          </cell>
          <cell r="E9">
            <v>5</v>
          </cell>
          <cell r="F9">
            <v>5</v>
          </cell>
          <cell r="G9">
            <v>2</v>
          </cell>
          <cell r="H9">
            <v>3</v>
          </cell>
          <cell r="I9">
            <v>0</v>
          </cell>
          <cell r="J9">
            <v>8</v>
          </cell>
          <cell r="K9">
            <v>2</v>
          </cell>
          <cell r="L9">
            <v>5</v>
          </cell>
          <cell r="M9">
            <v>5</v>
          </cell>
        </row>
        <row r="10">
          <cell r="C10">
            <v>6</v>
          </cell>
          <cell r="D10">
            <v>5</v>
          </cell>
          <cell r="E10">
            <v>8</v>
          </cell>
          <cell r="F10">
            <v>5</v>
          </cell>
          <cell r="G10">
            <v>0</v>
          </cell>
          <cell r="H10">
            <v>3</v>
          </cell>
          <cell r="I10">
            <v>4</v>
          </cell>
          <cell r="J10">
            <v>8</v>
          </cell>
          <cell r="K10">
            <v>1</v>
          </cell>
          <cell r="L10">
            <v>5</v>
          </cell>
          <cell r="M10">
            <v>5</v>
          </cell>
        </row>
        <row r="11">
          <cell r="C11">
            <v>9</v>
          </cell>
          <cell r="D11">
            <v>18</v>
          </cell>
          <cell r="E11">
            <v>10</v>
          </cell>
          <cell r="F11">
            <v>5</v>
          </cell>
          <cell r="G11">
            <v>5</v>
          </cell>
          <cell r="H11">
            <v>5</v>
          </cell>
          <cell r="I11">
            <v>4</v>
          </cell>
          <cell r="J11">
            <v>10</v>
          </cell>
          <cell r="K11">
            <v>5</v>
          </cell>
          <cell r="L11">
            <v>8</v>
          </cell>
          <cell r="M11">
            <v>8</v>
          </cell>
        </row>
        <row r="12">
          <cell r="C12">
            <v>8</v>
          </cell>
          <cell r="D12">
            <v>18</v>
          </cell>
          <cell r="E12">
            <v>10</v>
          </cell>
          <cell r="F12">
            <v>5</v>
          </cell>
          <cell r="G12">
            <v>2</v>
          </cell>
          <cell r="H12">
            <v>5</v>
          </cell>
          <cell r="I12">
            <v>3</v>
          </cell>
          <cell r="J12">
            <v>10</v>
          </cell>
          <cell r="K12">
            <v>5</v>
          </cell>
          <cell r="L12">
            <v>8</v>
          </cell>
          <cell r="M12">
            <v>8</v>
          </cell>
        </row>
        <row r="13">
          <cell r="C13">
            <v>10</v>
          </cell>
          <cell r="D13">
            <v>18</v>
          </cell>
          <cell r="E13">
            <v>10</v>
          </cell>
          <cell r="F13">
            <v>5</v>
          </cell>
          <cell r="G13">
            <v>2</v>
          </cell>
          <cell r="H13">
            <v>5</v>
          </cell>
          <cell r="I13">
            <v>5</v>
          </cell>
          <cell r="J13">
            <v>10</v>
          </cell>
          <cell r="K13">
            <v>6</v>
          </cell>
          <cell r="L13">
            <v>8</v>
          </cell>
          <cell r="M13">
            <v>8</v>
          </cell>
        </row>
        <row r="14">
          <cell r="C14">
            <v>8</v>
          </cell>
          <cell r="D14">
            <v>18</v>
          </cell>
          <cell r="E14">
            <v>10</v>
          </cell>
          <cell r="F14">
            <v>5</v>
          </cell>
          <cell r="G14">
            <v>2</v>
          </cell>
          <cell r="H14">
            <v>5</v>
          </cell>
          <cell r="I14">
            <v>5</v>
          </cell>
          <cell r="J14">
            <v>10</v>
          </cell>
          <cell r="K14">
            <v>5</v>
          </cell>
          <cell r="L14">
            <v>8</v>
          </cell>
          <cell r="M14">
            <v>8</v>
          </cell>
        </row>
        <row r="15">
          <cell r="C15">
            <v>6</v>
          </cell>
          <cell r="D15">
            <v>10</v>
          </cell>
          <cell r="E15">
            <v>5</v>
          </cell>
          <cell r="F15">
            <v>5</v>
          </cell>
          <cell r="G15">
            <v>0</v>
          </cell>
          <cell r="H15">
            <v>3</v>
          </cell>
          <cell r="I15">
            <v>5</v>
          </cell>
          <cell r="J15">
            <v>10</v>
          </cell>
          <cell r="K15">
            <v>3</v>
          </cell>
          <cell r="L15">
            <v>5</v>
          </cell>
          <cell r="M15">
            <v>5</v>
          </cell>
        </row>
        <row r="16">
          <cell r="C16">
            <v>9</v>
          </cell>
          <cell r="D16">
            <v>14</v>
          </cell>
          <cell r="E16">
            <v>8</v>
          </cell>
          <cell r="F16">
            <v>5</v>
          </cell>
          <cell r="G16">
            <v>4</v>
          </cell>
          <cell r="H16">
            <v>5</v>
          </cell>
          <cell r="I16">
            <v>3</v>
          </cell>
          <cell r="J16">
            <v>10</v>
          </cell>
          <cell r="K16">
            <v>3</v>
          </cell>
          <cell r="L16">
            <v>8</v>
          </cell>
          <cell r="M16">
            <v>8</v>
          </cell>
        </row>
        <row r="17">
          <cell r="C17">
            <v>10</v>
          </cell>
          <cell r="D17">
            <v>15</v>
          </cell>
          <cell r="E17">
            <v>10</v>
          </cell>
          <cell r="F17">
            <v>5</v>
          </cell>
          <cell r="G17">
            <v>3</v>
          </cell>
          <cell r="H17">
            <v>5</v>
          </cell>
          <cell r="I17">
            <v>5</v>
          </cell>
          <cell r="J17">
            <v>10</v>
          </cell>
          <cell r="K17">
            <v>5</v>
          </cell>
          <cell r="L17">
            <v>8</v>
          </cell>
          <cell r="M17">
            <v>8</v>
          </cell>
        </row>
        <row r="18">
          <cell r="C18">
            <v>8</v>
          </cell>
          <cell r="D18">
            <v>15</v>
          </cell>
          <cell r="E18">
            <v>10</v>
          </cell>
          <cell r="F18">
            <v>5</v>
          </cell>
          <cell r="G18">
            <v>4</v>
          </cell>
          <cell r="H18">
            <v>5</v>
          </cell>
          <cell r="I18">
            <v>5</v>
          </cell>
          <cell r="J18">
            <v>9</v>
          </cell>
          <cell r="K18">
            <v>5</v>
          </cell>
          <cell r="L18">
            <v>8</v>
          </cell>
          <cell r="M18">
            <v>8</v>
          </cell>
        </row>
        <row r="19">
          <cell r="C19">
            <v>8</v>
          </cell>
          <cell r="D19">
            <v>10</v>
          </cell>
          <cell r="E19">
            <v>6</v>
          </cell>
          <cell r="F19">
            <v>5</v>
          </cell>
          <cell r="G19">
            <v>2</v>
          </cell>
          <cell r="H19">
            <v>3</v>
          </cell>
          <cell r="I19">
            <v>2</v>
          </cell>
          <cell r="J19">
            <v>8</v>
          </cell>
          <cell r="K19">
            <v>3</v>
          </cell>
          <cell r="L19">
            <v>5</v>
          </cell>
          <cell r="M19">
            <v>5</v>
          </cell>
        </row>
        <row r="20">
          <cell r="C20">
            <v>8</v>
          </cell>
          <cell r="D20">
            <v>15</v>
          </cell>
          <cell r="E20">
            <v>10</v>
          </cell>
          <cell r="F20">
            <v>5</v>
          </cell>
          <cell r="G20">
            <v>4</v>
          </cell>
          <cell r="H20">
            <v>5</v>
          </cell>
          <cell r="I20">
            <v>2</v>
          </cell>
          <cell r="J20">
            <v>9</v>
          </cell>
          <cell r="K20">
            <v>3</v>
          </cell>
          <cell r="L20">
            <v>8</v>
          </cell>
          <cell r="M20">
            <v>8</v>
          </cell>
        </row>
        <row r="21">
          <cell r="C21">
            <v>6</v>
          </cell>
          <cell r="D21">
            <v>5</v>
          </cell>
          <cell r="E21">
            <v>8</v>
          </cell>
          <cell r="F21">
            <v>5</v>
          </cell>
          <cell r="G21">
            <v>2</v>
          </cell>
          <cell r="H21">
            <v>5</v>
          </cell>
          <cell r="I21">
            <v>3</v>
          </cell>
          <cell r="J21">
            <v>8</v>
          </cell>
          <cell r="K21">
            <v>2</v>
          </cell>
          <cell r="L21">
            <v>8</v>
          </cell>
          <cell r="M21">
            <v>5</v>
          </cell>
        </row>
        <row r="22">
          <cell r="C22">
            <v>10</v>
          </cell>
          <cell r="D22">
            <v>15</v>
          </cell>
          <cell r="E22">
            <v>8</v>
          </cell>
          <cell r="F22">
            <v>5</v>
          </cell>
          <cell r="G22">
            <v>2</v>
          </cell>
          <cell r="H22">
            <v>5</v>
          </cell>
          <cell r="I22">
            <v>4</v>
          </cell>
          <cell r="J22">
            <v>8</v>
          </cell>
          <cell r="K22">
            <v>3</v>
          </cell>
          <cell r="L22">
            <v>8</v>
          </cell>
          <cell r="M22">
            <v>5</v>
          </cell>
        </row>
        <row r="23">
          <cell r="C23">
            <v>8</v>
          </cell>
          <cell r="D23">
            <v>15</v>
          </cell>
          <cell r="E23">
            <v>8</v>
          </cell>
          <cell r="F23">
            <v>5</v>
          </cell>
          <cell r="G23">
            <v>2</v>
          </cell>
          <cell r="H23">
            <v>5</v>
          </cell>
          <cell r="I23">
            <v>5</v>
          </cell>
          <cell r="J23">
            <v>8</v>
          </cell>
          <cell r="K23">
            <v>2</v>
          </cell>
          <cell r="L23">
            <v>8</v>
          </cell>
          <cell r="M23">
            <v>5</v>
          </cell>
        </row>
        <row r="24">
          <cell r="C24">
            <v>8</v>
          </cell>
          <cell r="D24">
            <v>15</v>
          </cell>
          <cell r="E24">
            <v>8</v>
          </cell>
          <cell r="F24">
            <v>5</v>
          </cell>
          <cell r="G24">
            <v>4</v>
          </cell>
          <cell r="H24">
            <v>5</v>
          </cell>
          <cell r="I24">
            <v>3</v>
          </cell>
          <cell r="J24">
            <v>10</v>
          </cell>
          <cell r="K24">
            <v>5</v>
          </cell>
          <cell r="L24">
            <v>8</v>
          </cell>
          <cell r="M24">
            <v>5</v>
          </cell>
        </row>
        <row r="25">
          <cell r="C25">
            <v>10</v>
          </cell>
          <cell r="D25">
            <v>18</v>
          </cell>
          <cell r="E25">
            <v>10</v>
          </cell>
          <cell r="F25">
            <v>5</v>
          </cell>
          <cell r="G25">
            <v>3</v>
          </cell>
          <cell r="H25">
            <v>5</v>
          </cell>
          <cell r="I25">
            <v>5</v>
          </cell>
          <cell r="J25">
            <v>10</v>
          </cell>
          <cell r="K25">
            <v>5</v>
          </cell>
          <cell r="L25">
            <v>8</v>
          </cell>
          <cell r="M25">
            <v>5</v>
          </cell>
        </row>
      </sheetData>
      <sheetData sheetId="3">
        <row r="4">
          <cell r="C4">
            <v>8</v>
          </cell>
          <cell r="D4">
            <v>17</v>
          </cell>
          <cell r="E4">
            <v>8</v>
          </cell>
          <cell r="F4">
            <v>5</v>
          </cell>
          <cell r="G4">
            <v>3</v>
          </cell>
          <cell r="H4">
            <v>3</v>
          </cell>
          <cell r="I4">
            <v>5</v>
          </cell>
          <cell r="J4">
            <v>8</v>
          </cell>
          <cell r="K4">
            <v>8</v>
          </cell>
          <cell r="L4">
            <v>6</v>
          </cell>
          <cell r="M4">
            <v>6</v>
          </cell>
          <cell r="N4">
            <v>77</v>
          </cell>
        </row>
        <row r="5">
          <cell r="C5">
            <v>8</v>
          </cell>
          <cell r="D5">
            <v>15</v>
          </cell>
          <cell r="E5">
            <v>8</v>
          </cell>
          <cell r="F5">
            <v>4</v>
          </cell>
          <cell r="G5">
            <v>3</v>
          </cell>
          <cell r="H5">
            <v>3</v>
          </cell>
          <cell r="I5">
            <v>3</v>
          </cell>
          <cell r="J5">
            <v>8</v>
          </cell>
          <cell r="K5">
            <v>7</v>
          </cell>
          <cell r="L5">
            <v>3</v>
          </cell>
          <cell r="M5">
            <v>8</v>
          </cell>
        </row>
        <row r="6">
          <cell r="C6">
            <v>6</v>
          </cell>
          <cell r="D6">
            <v>6</v>
          </cell>
          <cell r="E6">
            <v>7</v>
          </cell>
          <cell r="F6">
            <v>1</v>
          </cell>
          <cell r="G6">
            <v>2</v>
          </cell>
          <cell r="H6">
            <v>2</v>
          </cell>
          <cell r="I6">
            <v>1</v>
          </cell>
          <cell r="J6">
            <v>4</v>
          </cell>
          <cell r="K6">
            <v>3</v>
          </cell>
          <cell r="L6">
            <v>5</v>
          </cell>
          <cell r="M6">
            <v>5</v>
          </cell>
        </row>
        <row r="7">
          <cell r="C7">
            <v>6</v>
          </cell>
          <cell r="D7">
            <v>12</v>
          </cell>
          <cell r="E7">
            <v>5</v>
          </cell>
          <cell r="F7">
            <v>4</v>
          </cell>
          <cell r="H7">
            <v>4</v>
          </cell>
          <cell r="I7">
            <v>3</v>
          </cell>
          <cell r="J7">
            <v>8</v>
          </cell>
          <cell r="K7">
            <v>8</v>
          </cell>
          <cell r="L7">
            <v>5</v>
          </cell>
          <cell r="M7">
            <v>8</v>
          </cell>
        </row>
        <row r="8">
          <cell r="C8">
            <v>5</v>
          </cell>
          <cell r="D8">
            <v>7</v>
          </cell>
          <cell r="E8">
            <v>8</v>
          </cell>
          <cell r="F8">
            <v>1</v>
          </cell>
          <cell r="G8">
            <v>2</v>
          </cell>
          <cell r="H8">
            <v>4</v>
          </cell>
          <cell r="I8">
            <v>3</v>
          </cell>
          <cell r="J8">
            <v>4</v>
          </cell>
          <cell r="K8">
            <v>4</v>
          </cell>
          <cell r="L8">
            <v>5</v>
          </cell>
          <cell r="M8">
            <v>4</v>
          </cell>
        </row>
        <row r="9">
          <cell r="C9">
            <v>1</v>
          </cell>
          <cell r="D9">
            <v>3</v>
          </cell>
          <cell r="E9">
            <v>2</v>
          </cell>
          <cell r="F9">
            <v>3</v>
          </cell>
          <cell r="G9">
            <v>3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</row>
        <row r="10">
          <cell r="C10">
            <v>2</v>
          </cell>
          <cell r="D10">
            <v>5</v>
          </cell>
          <cell r="E10">
            <v>4</v>
          </cell>
          <cell r="F10">
            <v>2</v>
          </cell>
          <cell r="G10">
            <v>2</v>
          </cell>
          <cell r="H10">
            <v>3</v>
          </cell>
          <cell r="I10">
            <v>3</v>
          </cell>
          <cell r="J10">
            <v>3</v>
          </cell>
          <cell r="K10">
            <v>2</v>
          </cell>
          <cell r="L10">
            <v>1</v>
          </cell>
          <cell r="M10">
            <v>2</v>
          </cell>
        </row>
        <row r="11">
          <cell r="C11">
            <v>8</v>
          </cell>
          <cell r="D11">
            <v>17</v>
          </cell>
          <cell r="E11">
            <v>9</v>
          </cell>
          <cell r="F11">
            <v>5</v>
          </cell>
          <cell r="G11">
            <v>3</v>
          </cell>
          <cell r="H11">
            <v>4</v>
          </cell>
          <cell r="I11">
            <v>3</v>
          </cell>
          <cell r="J11">
            <v>8</v>
          </cell>
          <cell r="K11">
            <v>8</v>
          </cell>
          <cell r="L11">
            <v>7</v>
          </cell>
          <cell r="M11">
            <v>6</v>
          </cell>
        </row>
        <row r="12">
          <cell r="C12">
            <v>9</v>
          </cell>
          <cell r="D12">
            <v>18</v>
          </cell>
          <cell r="E12">
            <v>9</v>
          </cell>
          <cell r="F12">
            <v>4</v>
          </cell>
          <cell r="G12">
            <v>5</v>
          </cell>
          <cell r="H12">
            <v>5</v>
          </cell>
          <cell r="I12">
            <v>4</v>
          </cell>
          <cell r="J12">
            <v>9</v>
          </cell>
          <cell r="K12">
            <v>8</v>
          </cell>
          <cell r="L12">
            <v>8</v>
          </cell>
          <cell r="M12">
            <v>8</v>
          </cell>
        </row>
        <row r="13">
          <cell r="C13">
            <v>8</v>
          </cell>
          <cell r="D13">
            <v>16</v>
          </cell>
          <cell r="E13">
            <v>9</v>
          </cell>
          <cell r="F13">
            <v>4</v>
          </cell>
          <cell r="G13">
            <v>4</v>
          </cell>
          <cell r="H13">
            <v>3</v>
          </cell>
          <cell r="I13">
            <v>3</v>
          </cell>
          <cell r="J13">
            <v>8</v>
          </cell>
          <cell r="K13">
            <v>3</v>
          </cell>
          <cell r="L13">
            <v>7</v>
          </cell>
          <cell r="M13">
            <v>6</v>
          </cell>
        </row>
        <row r="14">
          <cell r="C14">
            <v>6</v>
          </cell>
          <cell r="D14">
            <v>12</v>
          </cell>
          <cell r="E14">
            <v>8</v>
          </cell>
          <cell r="F14">
            <v>4</v>
          </cell>
          <cell r="G14">
            <v>4</v>
          </cell>
          <cell r="H14">
            <v>3</v>
          </cell>
          <cell r="I14">
            <v>4</v>
          </cell>
          <cell r="J14">
            <v>7</v>
          </cell>
          <cell r="K14">
            <v>7</v>
          </cell>
          <cell r="L14">
            <v>8</v>
          </cell>
          <cell r="M14">
            <v>6</v>
          </cell>
        </row>
        <row r="15">
          <cell r="C15">
            <v>6</v>
          </cell>
          <cell r="D15">
            <v>12</v>
          </cell>
          <cell r="E15">
            <v>8</v>
          </cell>
          <cell r="F15">
            <v>3</v>
          </cell>
          <cell r="G15">
            <v>4</v>
          </cell>
          <cell r="H15">
            <v>1</v>
          </cell>
          <cell r="I15">
            <v>4</v>
          </cell>
          <cell r="J15">
            <v>8</v>
          </cell>
          <cell r="K15">
            <v>8</v>
          </cell>
          <cell r="L15">
            <v>5</v>
          </cell>
          <cell r="M15">
            <v>5</v>
          </cell>
        </row>
        <row r="16">
          <cell r="C16">
            <v>6</v>
          </cell>
          <cell r="D16">
            <v>10</v>
          </cell>
          <cell r="E16">
            <v>7</v>
          </cell>
          <cell r="F16">
            <v>1</v>
          </cell>
          <cell r="G16">
            <v>3</v>
          </cell>
          <cell r="H16">
            <v>3</v>
          </cell>
          <cell r="I16">
            <v>3</v>
          </cell>
          <cell r="J16">
            <v>5</v>
          </cell>
          <cell r="K16">
            <v>5</v>
          </cell>
          <cell r="L16">
            <v>1</v>
          </cell>
          <cell r="M16">
            <v>3</v>
          </cell>
        </row>
        <row r="17">
          <cell r="C17">
            <v>7</v>
          </cell>
          <cell r="D17">
            <v>15</v>
          </cell>
          <cell r="E17">
            <v>8</v>
          </cell>
          <cell r="F17">
            <v>3</v>
          </cell>
          <cell r="G17">
            <v>3</v>
          </cell>
          <cell r="H17">
            <v>5</v>
          </cell>
          <cell r="I17">
            <v>4</v>
          </cell>
          <cell r="J17">
            <v>7</v>
          </cell>
          <cell r="K17">
            <v>7</v>
          </cell>
          <cell r="L17">
            <v>7</v>
          </cell>
          <cell r="M17">
            <v>6</v>
          </cell>
        </row>
        <row r="18">
          <cell r="C18">
            <v>7</v>
          </cell>
          <cell r="D18">
            <v>10</v>
          </cell>
          <cell r="E18">
            <v>6</v>
          </cell>
          <cell r="F18">
            <v>4</v>
          </cell>
          <cell r="G18">
            <v>3</v>
          </cell>
          <cell r="H18">
            <v>2</v>
          </cell>
          <cell r="I18">
            <v>3</v>
          </cell>
          <cell r="J18">
            <v>5</v>
          </cell>
          <cell r="K18">
            <v>5</v>
          </cell>
          <cell r="L18">
            <v>5</v>
          </cell>
          <cell r="M18">
            <v>3</v>
          </cell>
        </row>
        <row r="19">
          <cell r="C19">
            <v>6</v>
          </cell>
          <cell r="D19">
            <v>5</v>
          </cell>
          <cell r="E19">
            <v>5</v>
          </cell>
          <cell r="F19">
            <v>3</v>
          </cell>
          <cell r="G19">
            <v>3</v>
          </cell>
          <cell r="H19">
            <v>2</v>
          </cell>
          <cell r="I19">
            <v>1</v>
          </cell>
          <cell r="J19">
            <v>3</v>
          </cell>
          <cell r="K19">
            <v>4</v>
          </cell>
          <cell r="L19">
            <v>4</v>
          </cell>
          <cell r="M19">
            <v>3</v>
          </cell>
        </row>
        <row r="20">
          <cell r="C20">
            <v>9</v>
          </cell>
          <cell r="D20">
            <v>17</v>
          </cell>
          <cell r="E20">
            <v>8</v>
          </cell>
          <cell r="F20">
            <v>4</v>
          </cell>
          <cell r="G20">
            <v>4</v>
          </cell>
          <cell r="H20">
            <v>4</v>
          </cell>
          <cell r="I20">
            <v>5</v>
          </cell>
          <cell r="J20">
            <v>8</v>
          </cell>
          <cell r="K20">
            <v>1</v>
          </cell>
          <cell r="L20">
            <v>7</v>
          </cell>
          <cell r="M20">
            <v>6</v>
          </cell>
        </row>
        <row r="21">
          <cell r="C21">
            <v>8</v>
          </cell>
          <cell r="D21">
            <v>10</v>
          </cell>
          <cell r="E21">
            <v>8</v>
          </cell>
          <cell r="F21">
            <v>4</v>
          </cell>
          <cell r="G21">
            <v>4</v>
          </cell>
          <cell r="H21">
            <v>4</v>
          </cell>
          <cell r="I21">
            <v>4</v>
          </cell>
          <cell r="J21">
            <v>6</v>
          </cell>
          <cell r="K21">
            <v>7</v>
          </cell>
          <cell r="L21">
            <v>7</v>
          </cell>
          <cell r="M21">
            <v>5</v>
          </cell>
        </row>
        <row r="22">
          <cell r="C22">
            <v>7</v>
          </cell>
          <cell r="D22">
            <v>14</v>
          </cell>
          <cell r="E22">
            <v>8</v>
          </cell>
          <cell r="F22">
            <v>5</v>
          </cell>
          <cell r="G22">
            <v>5</v>
          </cell>
          <cell r="H22">
            <v>4</v>
          </cell>
          <cell r="I22">
            <v>3</v>
          </cell>
          <cell r="J22">
            <v>7</v>
          </cell>
          <cell r="K22">
            <v>3</v>
          </cell>
          <cell r="L22">
            <v>8</v>
          </cell>
          <cell r="M22">
            <v>5</v>
          </cell>
        </row>
        <row r="23">
          <cell r="C23">
            <v>7</v>
          </cell>
          <cell r="D23">
            <v>15</v>
          </cell>
          <cell r="E23">
            <v>8</v>
          </cell>
          <cell r="F23">
            <v>4</v>
          </cell>
          <cell r="G23">
            <v>5</v>
          </cell>
          <cell r="H23">
            <v>4</v>
          </cell>
          <cell r="I23">
            <v>5</v>
          </cell>
          <cell r="J23">
            <v>7</v>
          </cell>
          <cell r="K23">
            <v>7</v>
          </cell>
          <cell r="L23">
            <v>7</v>
          </cell>
          <cell r="M23">
            <v>8</v>
          </cell>
        </row>
        <row r="24">
          <cell r="C24">
            <v>7</v>
          </cell>
          <cell r="D24">
            <v>12</v>
          </cell>
          <cell r="E24">
            <v>6</v>
          </cell>
          <cell r="F24">
            <v>2</v>
          </cell>
          <cell r="G24">
            <v>4</v>
          </cell>
          <cell r="H24">
            <v>3</v>
          </cell>
          <cell r="I24">
            <v>2</v>
          </cell>
          <cell r="J24">
            <v>6</v>
          </cell>
          <cell r="K24">
            <v>7</v>
          </cell>
          <cell r="L24">
            <v>7</v>
          </cell>
          <cell r="M24">
            <v>7</v>
          </cell>
        </row>
        <row r="25">
          <cell r="C25">
            <v>7</v>
          </cell>
          <cell r="D25">
            <v>12</v>
          </cell>
          <cell r="E25">
            <v>8</v>
          </cell>
          <cell r="F25">
            <v>4</v>
          </cell>
          <cell r="G25">
            <v>3</v>
          </cell>
          <cell r="H25">
            <v>2</v>
          </cell>
          <cell r="I25">
            <v>3</v>
          </cell>
          <cell r="J25">
            <v>5</v>
          </cell>
          <cell r="K25">
            <v>5</v>
          </cell>
          <cell r="L25">
            <v>4</v>
          </cell>
          <cell r="M25">
            <v>5</v>
          </cell>
        </row>
      </sheetData>
      <sheetData sheetId="4">
        <row r="4">
          <cell r="C4">
            <v>9</v>
          </cell>
          <cell r="D4">
            <v>16</v>
          </cell>
          <cell r="E4">
            <v>8</v>
          </cell>
          <cell r="F4">
            <v>4</v>
          </cell>
          <cell r="G4">
            <v>3</v>
          </cell>
          <cell r="H4">
            <v>4</v>
          </cell>
          <cell r="I4">
            <v>4</v>
          </cell>
          <cell r="J4">
            <v>8</v>
          </cell>
          <cell r="K4">
            <v>7</v>
          </cell>
          <cell r="L4">
            <v>8</v>
          </cell>
          <cell r="M4">
            <v>8</v>
          </cell>
          <cell r="N4">
            <v>79</v>
          </cell>
        </row>
        <row r="5">
          <cell r="C5">
            <v>5</v>
          </cell>
          <cell r="D5">
            <v>10</v>
          </cell>
          <cell r="E5">
            <v>5</v>
          </cell>
          <cell r="F5">
            <v>2</v>
          </cell>
          <cell r="G5">
            <v>0</v>
          </cell>
          <cell r="H5">
            <v>3</v>
          </cell>
          <cell r="I5">
            <v>2</v>
          </cell>
          <cell r="J5">
            <v>7</v>
          </cell>
          <cell r="K5">
            <v>4</v>
          </cell>
          <cell r="L5">
            <v>5</v>
          </cell>
          <cell r="M5">
            <v>3</v>
          </cell>
        </row>
        <row r="6">
          <cell r="C6">
            <v>7</v>
          </cell>
          <cell r="D6">
            <v>12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3</v>
          </cell>
          <cell r="J6">
            <v>8</v>
          </cell>
          <cell r="K6">
            <v>7</v>
          </cell>
          <cell r="L6">
            <v>7</v>
          </cell>
          <cell r="M6">
            <v>8</v>
          </cell>
        </row>
        <row r="7">
          <cell r="C7">
            <v>9</v>
          </cell>
          <cell r="D7">
            <v>17</v>
          </cell>
          <cell r="E7">
            <v>4</v>
          </cell>
          <cell r="F7">
            <v>4</v>
          </cell>
          <cell r="H7">
            <v>5</v>
          </cell>
          <cell r="I7">
            <v>3</v>
          </cell>
          <cell r="J7">
            <v>7</v>
          </cell>
          <cell r="K7">
            <v>5</v>
          </cell>
          <cell r="L7">
            <v>5</v>
          </cell>
          <cell r="M7">
            <v>5</v>
          </cell>
        </row>
        <row r="8">
          <cell r="C8">
            <v>9</v>
          </cell>
          <cell r="D8">
            <v>17</v>
          </cell>
          <cell r="E8">
            <v>9</v>
          </cell>
          <cell r="F8">
            <v>4</v>
          </cell>
          <cell r="G8">
            <v>4</v>
          </cell>
          <cell r="H8">
            <v>4</v>
          </cell>
          <cell r="I8">
            <v>4</v>
          </cell>
          <cell r="J8">
            <v>8</v>
          </cell>
          <cell r="K8">
            <v>8</v>
          </cell>
          <cell r="L8">
            <v>7</v>
          </cell>
          <cell r="M8">
            <v>8</v>
          </cell>
        </row>
        <row r="9">
          <cell r="C9">
            <v>3</v>
          </cell>
          <cell r="D9">
            <v>10</v>
          </cell>
          <cell r="E9">
            <v>3</v>
          </cell>
          <cell r="F9">
            <v>2</v>
          </cell>
          <cell r="G9">
            <v>0</v>
          </cell>
          <cell r="H9">
            <v>2</v>
          </cell>
          <cell r="I9">
            <v>0</v>
          </cell>
          <cell r="J9">
            <v>3</v>
          </cell>
          <cell r="K9">
            <v>3</v>
          </cell>
          <cell r="L9">
            <v>1</v>
          </cell>
          <cell r="M9">
            <v>7</v>
          </cell>
        </row>
        <row r="10">
          <cell r="C10">
            <v>7</v>
          </cell>
          <cell r="D10">
            <v>15</v>
          </cell>
          <cell r="E10">
            <v>7</v>
          </cell>
          <cell r="F10">
            <v>4</v>
          </cell>
          <cell r="G10">
            <v>4</v>
          </cell>
          <cell r="H10">
            <v>4</v>
          </cell>
          <cell r="I10">
            <v>4</v>
          </cell>
          <cell r="J10">
            <v>8</v>
          </cell>
          <cell r="K10">
            <v>8</v>
          </cell>
          <cell r="L10">
            <v>6</v>
          </cell>
          <cell r="M10">
            <v>7</v>
          </cell>
        </row>
        <row r="11">
          <cell r="C11">
            <v>8</v>
          </cell>
          <cell r="D11">
            <v>18</v>
          </cell>
          <cell r="E11">
            <v>9</v>
          </cell>
          <cell r="F11">
            <v>5</v>
          </cell>
          <cell r="G11">
            <v>5</v>
          </cell>
          <cell r="H11">
            <v>5</v>
          </cell>
          <cell r="I11">
            <v>4</v>
          </cell>
          <cell r="J11">
            <v>8</v>
          </cell>
          <cell r="K11">
            <v>8</v>
          </cell>
          <cell r="L11">
            <v>8</v>
          </cell>
          <cell r="M11">
            <v>8</v>
          </cell>
        </row>
        <row r="12">
          <cell r="C12">
            <v>9</v>
          </cell>
          <cell r="D12">
            <v>17</v>
          </cell>
          <cell r="E12">
            <v>8</v>
          </cell>
          <cell r="F12">
            <v>4</v>
          </cell>
          <cell r="G12">
            <v>4</v>
          </cell>
          <cell r="H12">
            <v>4</v>
          </cell>
          <cell r="I12">
            <v>4</v>
          </cell>
          <cell r="J12">
            <v>8</v>
          </cell>
          <cell r="K12">
            <v>7</v>
          </cell>
          <cell r="L12">
            <v>8</v>
          </cell>
          <cell r="M12">
            <v>8</v>
          </cell>
        </row>
        <row r="13">
          <cell r="C13">
            <v>9</v>
          </cell>
          <cell r="D13">
            <v>16</v>
          </cell>
          <cell r="E13">
            <v>8</v>
          </cell>
          <cell r="F13">
            <v>4</v>
          </cell>
          <cell r="G13">
            <v>4</v>
          </cell>
          <cell r="H13">
            <v>4</v>
          </cell>
          <cell r="I13">
            <v>4</v>
          </cell>
          <cell r="J13">
            <v>8</v>
          </cell>
          <cell r="K13">
            <v>7</v>
          </cell>
          <cell r="L13">
            <v>8</v>
          </cell>
          <cell r="M13">
            <v>8</v>
          </cell>
        </row>
        <row r="14">
          <cell r="C14">
            <v>8</v>
          </cell>
          <cell r="D14">
            <v>16</v>
          </cell>
          <cell r="E14">
            <v>9</v>
          </cell>
          <cell r="F14">
            <v>4</v>
          </cell>
          <cell r="G14">
            <v>4</v>
          </cell>
          <cell r="H14">
            <v>4</v>
          </cell>
          <cell r="I14">
            <v>4</v>
          </cell>
          <cell r="J14">
            <v>8</v>
          </cell>
          <cell r="K14">
            <v>7</v>
          </cell>
          <cell r="L14">
            <v>7</v>
          </cell>
          <cell r="M14">
            <v>7</v>
          </cell>
        </row>
        <row r="15">
          <cell r="C15">
            <v>8</v>
          </cell>
          <cell r="D15">
            <v>16</v>
          </cell>
          <cell r="E15">
            <v>9</v>
          </cell>
          <cell r="F15">
            <v>4</v>
          </cell>
          <cell r="G15">
            <v>4</v>
          </cell>
          <cell r="H15">
            <v>4</v>
          </cell>
          <cell r="I15">
            <v>3</v>
          </cell>
          <cell r="J15">
            <v>8</v>
          </cell>
          <cell r="K15">
            <v>7</v>
          </cell>
          <cell r="L15">
            <v>7</v>
          </cell>
          <cell r="M15">
            <v>7</v>
          </cell>
        </row>
        <row r="16">
          <cell r="C16">
            <v>8</v>
          </cell>
          <cell r="D16">
            <v>17</v>
          </cell>
          <cell r="E16">
            <v>7</v>
          </cell>
          <cell r="F16">
            <v>4</v>
          </cell>
          <cell r="G16">
            <v>4</v>
          </cell>
          <cell r="H16">
            <v>4</v>
          </cell>
          <cell r="I16">
            <v>4</v>
          </cell>
          <cell r="J16">
            <v>8</v>
          </cell>
          <cell r="K16">
            <v>8</v>
          </cell>
          <cell r="L16">
            <v>9</v>
          </cell>
          <cell r="M16">
            <v>7</v>
          </cell>
        </row>
        <row r="17">
          <cell r="C17">
            <v>7</v>
          </cell>
          <cell r="D17">
            <v>17</v>
          </cell>
          <cell r="E17">
            <v>7</v>
          </cell>
          <cell r="F17">
            <v>4</v>
          </cell>
          <cell r="G17">
            <v>4</v>
          </cell>
          <cell r="H17">
            <v>4</v>
          </cell>
          <cell r="I17">
            <v>4</v>
          </cell>
          <cell r="J17">
            <v>8</v>
          </cell>
          <cell r="K17">
            <v>7</v>
          </cell>
          <cell r="L17">
            <v>8</v>
          </cell>
          <cell r="M17">
            <v>7</v>
          </cell>
        </row>
        <row r="18">
          <cell r="C18">
            <v>8</v>
          </cell>
          <cell r="D18">
            <v>14</v>
          </cell>
          <cell r="E18">
            <v>8</v>
          </cell>
          <cell r="F18">
            <v>3</v>
          </cell>
          <cell r="G18">
            <v>5</v>
          </cell>
          <cell r="H18">
            <v>5</v>
          </cell>
          <cell r="I18">
            <v>5</v>
          </cell>
          <cell r="J18">
            <v>8</v>
          </cell>
          <cell r="K18">
            <v>7</v>
          </cell>
          <cell r="L18">
            <v>7</v>
          </cell>
          <cell r="M18">
            <v>7</v>
          </cell>
        </row>
        <row r="19">
          <cell r="C19">
            <v>8</v>
          </cell>
          <cell r="D19">
            <v>15</v>
          </cell>
          <cell r="E19">
            <v>7</v>
          </cell>
          <cell r="F19">
            <v>4</v>
          </cell>
          <cell r="G19">
            <v>3</v>
          </cell>
          <cell r="H19">
            <v>3</v>
          </cell>
          <cell r="I19">
            <v>5</v>
          </cell>
          <cell r="J19">
            <v>7</v>
          </cell>
          <cell r="K19">
            <v>8</v>
          </cell>
          <cell r="L19">
            <v>5</v>
          </cell>
          <cell r="M19">
            <v>7</v>
          </cell>
        </row>
        <row r="20">
          <cell r="C20">
            <v>9</v>
          </cell>
          <cell r="D20">
            <v>17</v>
          </cell>
          <cell r="E20">
            <v>7</v>
          </cell>
          <cell r="F20">
            <v>4</v>
          </cell>
          <cell r="G20">
            <v>4</v>
          </cell>
          <cell r="H20">
            <v>4</v>
          </cell>
          <cell r="I20">
            <v>5</v>
          </cell>
          <cell r="J20">
            <v>8</v>
          </cell>
          <cell r="K20">
            <v>8</v>
          </cell>
          <cell r="L20">
            <v>8</v>
          </cell>
          <cell r="M20">
            <v>8</v>
          </cell>
        </row>
        <row r="21">
          <cell r="C21">
            <v>7</v>
          </cell>
          <cell r="D21">
            <v>14</v>
          </cell>
          <cell r="E21">
            <v>6</v>
          </cell>
          <cell r="F21">
            <v>2</v>
          </cell>
          <cell r="G21">
            <v>2</v>
          </cell>
          <cell r="H21">
            <v>2</v>
          </cell>
          <cell r="I21">
            <v>2</v>
          </cell>
          <cell r="J21">
            <v>3</v>
          </cell>
          <cell r="K21">
            <v>6</v>
          </cell>
          <cell r="L21">
            <v>3</v>
          </cell>
          <cell r="M21">
            <v>6</v>
          </cell>
        </row>
        <row r="22">
          <cell r="C22">
            <v>9</v>
          </cell>
          <cell r="D22">
            <v>17</v>
          </cell>
          <cell r="E22">
            <v>8</v>
          </cell>
          <cell r="F22">
            <v>5</v>
          </cell>
          <cell r="G22">
            <v>5</v>
          </cell>
          <cell r="H22">
            <v>4</v>
          </cell>
          <cell r="I22">
            <v>4</v>
          </cell>
          <cell r="J22">
            <v>8</v>
          </cell>
          <cell r="K22">
            <v>8</v>
          </cell>
          <cell r="L22">
            <v>8</v>
          </cell>
          <cell r="M22">
            <v>8</v>
          </cell>
        </row>
        <row r="23">
          <cell r="C23">
            <v>8</v>
          </cell>
          <cell r="D23">
            <v>16</v>
          </cell>
          <cell r="E23">
            <v>9</v>
          </cell>
          <cell r="F23">
            <v>4</v>
          </cell>
          <cell r="G23">
            <v>2</v>
          </cell>
          <cell r="H23">
            <v>3</v>
          </cell>
          <cell r="I23">
            <v>5</v>
          </cell>
          <cell r="J23">
            <v>7</v>
          </cell>
          <cell r="K23">
            <v>9</v>
          </cell>
          <cell r="L23">
            <v>7</v>
          </cell>
          <cell r="M23">
            <v>8</v>
          </cell>
        </row>
        <row r="24">
          <cell r="C24">
            <v>9</v>
          </cell>
          <cell r="D24">
            <v>17</v>
          </cell>
          <cell r="E24">
            <v>9</v>
          </cell>
          <cell r="F24">
            <v>3</v>
          </cell>
          <cell r="G24">
            <v>2</v>
          </cell>
          <cell r="H24">
            <v>2</v>
          </cell>
          <cell r="I24">
            <v>2</v>
          </cell>
          <cell r="J24">
            <v>4</v>
          </cell>
          <cell r="K24">
            <v>8</v>
          </cell>
          <cell r="L24">
            <v>8</v>
          </cell>
          <cell r="M24">
            <v>8</v>
          </cell>
        </row>
        <row r="25">
          <cell r="C25">
            <v>8</v>
          </cell>
          <cell r="D25">
            <v>16</v>
          </cell>
          <cell r="E25">
            <v>8</v>
          </cell>
          <cell r="F25">
            <v>3</v>
          </cell>
          <cell r="G25">
            <v>2</v>
          </cell>
          <cell r="H25">
            <v>3</v>
          </cell>
          <cell r="I25">
            <v>4</v>
          </cell>
          <cell r="J25">
            <v>8</v>
          </cell>
          <cell r="K25">
            <v>7</v>
          </cell>
          <cell r="L25">
            <v>7</v>
          </cell>
          <cell r="M25">
            <v>8</v>
          </cell>
        </row>
      </sheetData>
      <sheetData sheetId="5">
        <row r="4">
          <cell r="C4">
            <v>9</v>
          </cell>
          <cell r="D4">
            <v>15</v>
          </cell>
          <cell r="E4">
            <v>9</v>
          </cell>
          <cell r="F4">
            <v>5</v>
          </cell>
          <cell r="G4">
            <v>5</v>
          </cell>
          <cell r="H4">
            <v>5</v>
          </cell>
          <cell r="I4">
            <v>5</v>
          </cell>
          <cell r="J4">
            <v>8</v>
          </cell>
          <cell r="K4">
            <v>7</v>
          </cell>
          <cell r="L4">
            <v>9</v>
          </cell>
          <cell r="M4">
            <v>7</v>
          </cell>
          <cell r="N4">
            <v>84</v>
          </cell>
        </row>
        <row r="5">
          <cell r="C5">
            <v>7</v>
          </cell>
          <cell r="D5">
            <v>15</v>
          </cell>
          <cell r="E5">
            <v>4</v>
          </cell>
          <cell r="F5">
            <v>3</v>
          </cell>
          <cell r="G5">
            <v>3</v>
          </cell>
          <cell r="H5">
            <v>4</v>
          </cell>
          <cell r="I5">
            <v>2</v>
          </cell>
          <cell r="J5">
            <v>8</v>
          </cell>
          <cell r="K5">
            <v>5</v>
          </cell>
          <cell r="L5">
            <v>5</v>
          </cell>
          <cell r="M5">
            <v>7</v>
          </cell>
        </row>
        <row r="6">
          <cell r="C6">
            <v>7</v>
          </cell>
          <cell r="D6">
            <v>13</v>
          </cell>
          <cell r="E6">
            <v>7</v>
          </cell>
          <cell r="F6">
            <v>3</v>
          </cell>
          <cell r="G6">
            <v>3</v>
          </cell>
          <cell r="H6">
            <v>3</v>
          </cell>
          <cell r="I6">
            <v>2</v>
          </cell>
          <cell r="J6">
            <v>7</v>
          </cell>
          <cell r="K6">
            <v>5</v>
          </cell>
          <cell r="L6">
            <v>5</v>
          </cell>
          <cell r="M6">
            <v>4</v>
          </cell>
        </row>
        <row r="7">
          <cell r="C7">
            <v>8</v>
          </cell>
          <cell r="D7">
            <v>16</v>
          </cell>
          <cell r="E7">
            <v>3</v>
          </cell>
          <cell r="F7">
            <v>4</v>
          </cell>
          <cell r="H7">
            <v>5</v>
          </cell>
          <cell r="I7">
            <v>3</v>
          </cell>
          <cell r="J7">
            <v>6</v>
          </cell>
          <cell r="K7">
            <v>3</v>
          </cell>
          <cell r="L7">
            <v>5</v>
          </cell>
          <cell r="M7">
            <v>5</v>
          </cell>
        </row>
        <row r="8">
          <cell r="C8">
            <v>9</v>
          </cell>
          <cell r="D8">
            <v>13</v>
          </cell>
          <cell r="E8">
            <v>9</v>
          </cell>
          <cell r="F8">
            <v>4</v>
          </cell>
          <cell r="G8">
            <v>4</v>
          </cell>
          <cell r="H8">
            <v>5</v>
          </cell>
          <cell r="I8">
            <v>5</v>
          </cell>
          <cell r="J8">
            <v>7</v>
          </cell>
          <cell r="K8">
            <v>6</v>
          </cell>
          <cell r="L8">
            <v>5</v>
          </cell>
          <cell r="M8">
            <v>7</v>
          </cell>
        </row>
        <row r="9">
          <cell r="C9">
            <v>6</v>
          </cell>
          <cell r="D9">
            <v>11</v>
          </cell>
          <cell r="E9">
            <v>5</v>
          </cell>
          <cell r="F9">
            <v>1</v>
          </cell>
          <cell r="G9">
            <v>1</v>
          </cell>
          <cell r="H9">
            <v>2</v>
          </cell>
          <cell r="I9">
            <v>1</v>
          </cell>
          <cell r="J9">
            <v>4</v>
          </cell>
          <cell r="K9">
            <v>6</v>
          </cell>
          <cell r="L9">
            <v>6</v>
          </cell>
          <cell r="M9">
            <v>7</v>
          </cell>
        </row>
        <row r="10">
          <cell r="C10">
            <v>6</v>
          </cell>
          <cell r="D10">
            <v>13</v>
          </cell>
          <cell r="E10">
            <v>8</v>
          </cell>
          <cell r="F10">
            <v>4</v>
          </cell>
          <cell r="G10">
            <v>4</v>
          </cell>
          <cell r="H10">
            <v>4</v>
          </cell>
          <cell r="I10">
            <v>5</v>
          </cell>
          <cell r="J10">
            <v>5</v>
          </cell>
          <cell r="K10">
            <v>3</v>
          </cell>
          <cell r="L10">
            <v>9</v>
          </cell>
          <cell r="M10">
            <v>4</v>
          </cell>
        </row>
        <row r="11">
          <cell r="C11">
            <v>9</v>
          </cell>
          <cell r="D11">
            <v>17</v>
          </cell>
          <cell r="E11">
            <v>9</v>
          </cell>
          <cell r="F11">
            <v>5</v>
          </cell>
          <cell r="G11">
            <v>5</v>
          </cell>
          <cell r="H11">
            <v>5</v>
          </cell>
          <cell r="I11">
            <v>5</v>
          </cell>
          <cell r="J11">
            <v>8</v>
          </cell>
          <cell r="K11">
            <v>9</v>
          </cell>
          <cell r="L11">
            <v>9</v>
          </cell>
          <cell r="M11">
            <v>8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>
            <v>9</v>
          </cell>
          <cell r="D14">
            <v>16</v>
          </cell>
          <cell r="E14">
            <v>9</v>
          </cell>
          <cell r="F14">
            <v>5</v>
          </cell>
          <cell r="G14">
            <v>4</v>
          </cell>
          <cell r="H14">
            <v>5</v>
          </cell>
          <cell r="I14">
            <v>5</v>
          </cell>
          <cell r="J14">
            <v>8</v>
          </cell>
          <cell r="K14">
            <v>7</v>
          </cell>
          <cell r="L14">
            <v>9</v>
          </cell>
          <cell r="M14">
            <v>7</v>
          </cell>
        </row>
        <row r="15">
          <cell r="C15">
            <v>9</v>
          </cell>
          <cell r="D15">
            <v>15</v>
          </cell>
          <cell r="E15">
            <v>9</v>
          </cell>
          <cell r="F15">
            <v>5</v>
          </cell>
          <cell r="G15">
            <v>4</v>
          </cell>
          <cell r="H15">
            <v>4</v>
          </cell>
          <cell r="I15">
            <v>4</v>
          </cell>
          <cell r="J15">
            <v>8</v>
          </cell>
          <cell r="K15">
            <v>7</v>
          </cell>
          <cell r="L15">
            <v>8</v>
          </cell>
          <cell r="M15">
            <v>7</v>
          </cell>
        </row>
        <row r="16">
          <cell r="C16">
            <v>8</v>
          </cell>
          <cell r="D16">
            <v>14</v>
          </cell>
          <cell r="E16">
            <v>8</v>
          </cell>
          <cell r="F16">
            <v>5</v>
          </cell>
          <cell r="G16">
            <v>5</v>
          </cell>
          <cell r="H16">
            <v>4</v>
          </cell>
          <cell r="I16">
            <v>5</v>
          </cell>
          <cell r="J16">
            <v>7</v>
          </cell>
          <cell r="K16">
            <v>6</v>
          </cell>
          <cell r="L16">
            <v>7</v>
          </cell>
          <cell r="M16">
            <v>6</v>
          </cell>
        </row>
        <row r="17">
          <cell r="C17">
            <v>8</v>
          </cell>
          <cell r="D17">
            <v>15</v>
          </cell>
          <cell r="E17">
            <v>6</v>
          </cell>
          <cell r="F17">
            <v>4</v>
          </cell>
          <cell r="G17">
            <v>3</v>
          </cell>
          <cell r="H17">
            <v>4</v>
          </cell>
          <cell r="I17">
            <v>4</v>
          </cell>
          <cell r="J17">
            <v>8</v>
          </cell>
          <cell r="K17">
            <v>6</v>
          </cell>
          <cell r="L17">
            <v>7</v>
          </cell>
          <cell r="M17">
            <v>6</v>
          </cell>
        </row>
        <row r="18">
          <cell r="C18">
            <v>7</v>
          </cell>
          <cell r="D18">
            <v>12</v>
          </cell>
          <cell r="E18">
            <v>8</v>
          </cell>
          <cell r="F18">
            <v>4</v>
          </cell>
          <cell r="G18">
            <v>3</v>
          </cell>
          <cell r="H18">
            <v>3</v>
          </cell>
          <cell r="I18">
            <v>4</v>
          </cell>
          <cell r="J18">
            <v>9</v>
          </cell>
          <cell r="K18">
            <v>6</v>
          </cell>
          <cell r="L18">
            <v>7</v>
          </cell>
          <cell r="M18">
            <v>5</v>
          </cell>
        </row>
        <row r="19">
          <cell r="C19">
            <v>9</v>
          </cell>
          <cell r="D19">
            <v>17</v>
          </cell>
          <cell r="E19">
            <v>9</v>
          </cell>
          <cell r="F19">
            <v>5</v>
          </cell>
          <cell r="G19">
            <v>2</v>
          </cell>
          <cell r="H19">
            <v>2</v>
          </cell>
          <cell r="I19">
            <v>2</v>
          </cell>
          <cell r="J19">
            <v>5</v>
          </cell>
          <cell r="K19">
            <v>6</v>
          </cell>
          <cell r="L19">
            <v>8</v>
          </cell>
          <cell r="M19">
            <v>9</v>
          </cell>
        </row>
        <row r="20">
          <cell r="C20">
            <v>7</v>
          </cell>
          <cell r="D20">
            <v>14</v>
          </cell>
          <cell r="E20">
            <v>9</v>
          </cell>
          <cell r="F20">
            <v>4</v>
          </cell>
          <cell r="G20">
            <v>4</v>
          </cell>
          <cell r="H20">
            <v>4</v>
          </cell>
          <cell r="I20">
            <v>2</v>
          </cell>
          <cell r="J20">
            <v>8</v>
          </cell>
          <cell r="K20">
            <v>6</v>
          </cell>
          <cell r="L20">
            <v>6</v>
          </cell>
          <cell r="M20">
            <v>7</v>
          </cell>
        </row>
        <row r="21">
          <cell r="C21">
            <v>7</v>
          </cell>
          <cell r="D21">
            <v>14</v>
          </cell>
          <cell r="E21">
            <v>7</v>
          </cell>
          <cell r="F21">
            <v>1</v>
          </cell>
          <cell r="G21">
            <v>2</v>
          </cell>
          <cell r="H21">
            <v>4</v>
          </cell>
          <cell r="I21">
            <v>3</v>
          </cell>
          <cell r="J21">
            <v>9</v>
          </cell>
          <cell r="K21">
            <v>6</v>
          </cell>
          <cell r="L21">
            <v>7</v>
          </cell>
          <cell r="M21">
            <v>6</v>
          </cell>
        </row>
        <row r="22">
          <cell r="C22">
            <v>9</v>
          </cell>
          <cell r="D22">
            <v>17</v>
          </cell>
          <cell r="E22">
            <v>9</v>
          </cell>
          <cell r="F22">
            <v>5</v>
          </cell>
          <cell r="G22">
            <v>5</v>
          </cell>
          <cell r="H22">
            <v>5</v>
          </cell>
          <cell r="I22">
            <v>3</v>
          </cell>
          <cell r="J22">
            <v>7</v>
          </cell>
          <cell r="K22">
            <v>8</v>
          </cell>
          <cell r="L22">
            <v>7</v>
          </cell>
          <cell r="M22">
            <v>8</v>
          </cell>
        </row>
        <row r="23">
          <cell r="C23">
            <v>8</v>
          </cell>
          <cell r="D23">
            <v>16</v>
          </cell>
          <cell r="E23">
            <v>9</v>
          </cell>
          <cell r="F23">
            <v>4</v>
          </cell>
          <cell r="G23">
            <v>3</v>
          </cell>
          <cell r="H23">
            <v>3</v>
          </cell>
          <cell r="I23">
            <v>5</v>
          </cell>
          <cell r="J23">
            <v>6</v>
          </cell>
          <cell r="K23">
            <v>9</v>
          </cell>
          <cell r="L23">
            <v>7</v>
          </cell>
          <cell r="M23">
            <v>8</v>
          </cell>
        </row>
        <row r="24">
          <cell r="C24">
            <v>9</v>
          </cell>
          <cell r="D24">
            <v>15</v>
          </cell>
          <cell r="E24">
            <v>9</v>
          </cell>
          <cell r="F24">
            <v>2</v>
          </cell>
          <cell r="G24">
            <v>2</v>
          </cell>
          <cell r="H24">
            <v>3</v>
          </cell>
          <cell r="I24">
            <v>2</v>
          </cell>
          <cell r="J24">
            <v>4</v>
          </cell>
          <cell r="K24">
            <v>7</v>
          </cell>
          <cell r="L24">
            <v>8</v>
          </cell>
          <cell r="M24">
            <v>7</v>
          </cell>
        </row>
        <row r="25">
          <cell r="C25">
            <v>9</v>
          </cell>
          <cell r="D25">
            <v>14</v>
          </cell>
          <cell r="E25">
            <v>9</v>
          </cell>
          <cell r="F25">
            <v>4</v>
          </cell>
          <cell r="G25">
            <v>3</v>
          </cell>
          <cell r="H25">
            <v>4</v>
          </cell>
          <cell r="I25">
            <v>2</v>
          </cell>
          <cell r="J25">
            <v>6</v>
          </cell>
          <cell r="K25">
            <v>6</v>
          </cell>
          <cell r="L25">
            <v>7</v>
          </cell>
          <cell r="M25">
            <v>7</v>
          </cell>
        </row>
      </sheetData>
      <sheetData sheetId="6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7</v>
          </cell>
          <cell r="D5">
            <v>10</v>
          </cell>
          <cell r="E5">
            <v>8</v>
          </cell>
          <cell r="F5">
            <v>8</v>
          </cell>
          <cell r="G5">
            <v>3</v>
          </cell>
          <cell r="H5">
            <v>4</v>
          </cell>
          <cell r="I5">
            <v>3</v>
          </cell>
          <cell r="J5">
            <v>8</v>
          </cell>
          <cell r="K5">
            <v>5</v>
          </cell>
          <cell r="L5">
            <v>5</v>
          </cell>
          <cell r="M5">
            <v>8</v>
          </cell>
        </row>
        <row r="6">
          <cell r="C6">
            <v>8</v>
          </cell>
          <cell r="D6">
            <v>5</v>
          </cell>
          <cell r="E6">
            <v>2</v>
          </cell>
          <cell r="F6">
            <v>3</v>
          </cell>
          <cell r="G6">
            <v>3</v>
          </cell>
          <cell r="H6">
            <v>1</v>
          </cell>
          <cell r="I6">
            <v>2</v>
          </cell>
          <cell r="J6">
            <v>5</v>
          </cell>
          <cell r="K6">
            <v>5</v>
          </cell>
          <cell r="L6">
            <v>5</v>
          </cell>
          <cell r="M6">
            <v>4</v>
          </cell>
        </row>
        <row r="7">
          <cell r="C7">
            <v>1</v>
          </cell>
          <cell r="D7">
            <v>2</v>
          </cell>
          <cell r="E7">
            <v>1</v>
          </cell>
          <cell r="F7">
            <v>1</v>
          </cell>
          <cell r="H7">
            <v>3</v>
          </cell>
          <cell r="I7">
            <v>2</v>
          </cell>
          <cell r="J7">
            <v>1</v>
          </cell>
          <cell r="K7">
            <v>1</v>
          </cell>
          <cell r="L7">
            <v>2</v>
          </cell>
          <cell r="M7">
            <v>5</v>
          </cell>
        </row>
        <row r="8">
          <cell r="C8">
            <v>8</v>
          </cell>
          <cell r="D8">
            <v>10</v>
          </cell>
          <cell r="E8">
            <v>4</v>
          </cell>
          <cell r="F8">
            <v>8</v>
          </cell>
          <cell r="G8">
            <v>1</v>
          </cell>
          <cell r="H8">
            <v>4</v>
          </cell>
          <cell r="I8">
            <v>4</v>
          </cell>
          <cell r="J8">
            <v>5</v>
          </cell>
          <cell r="K8">
            <v>7</v>
          </cell>
          <cell r="L8">
            <v>5</v>
          </cell>
          <cell r="M8">
            <v>7</v>
          </cell>
        </row>
        <row r="9">
          <cell r="C9">
            <v>1</v>
          </cell>
          <cell r="D9">
            <v>2</v>
          </cell>
          <cell r="E9">
            <v>2</v>
          </cell>
          <cell r="F9">
            <v>0</v>
          </cell>
          <cell r="G9">
            <v>2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8</v>
          </cell>
          <cell r="M9">
            <v>2</v>
          </cell>
        </row>
        <row r="10">
          <cell r="C10">
            <v>4</v>
          </cell>
          <cell r="D10">
            <v>5</v>
          </cell>
          <cell r="E10">
            <v>3</v>
          </cell>
          <cell r="F10">
            <v>7</v>
          </cell>
          <cell r="G10">
            <v>2</v>
          </cell>
          <cell r="H10">
            <v>5</v>
          </cell>
          <cell r="I10">
            <v>1</v>
          </cell>
          <cell r="J10">
            <v>3</v>
          </cell>
          <cell r="K10">
            <v>4</v>
          </cell>
          <cell r="L10">
            <v>3</v>
          </cell>
          <cell r="M10">
            <v>5</v>
          </cell>
        </row>
        <row r="11">
          <cell r="C11">
            <v>8</v>
          </cell>
          <cell r="D11">
            <v>15</v>
          </cell>
          <cell r="E11">
            <v>8</v>
          </cell>
          <cell r="F11">
            <v>8</v>
          </cell>
          <cell r="G11">
            <v>1</v>
          </cell>
          <cell r="H11">
            <v>4</v>
          </cell>
          <cell r="I11">
            <v>4</v>
          </cell>
          <cell r="J11">
            <v>8</v>
          </cell>
          <cell r="K11">
            <v>7</v>
          </cell>
          <cell r="L11">
            <v>6</v>
          </cell>
          <cell r="M11">
            <v>7</v>
          </cell>
        </row>
        <row r="12">
          <cell r="C12">
            <v>9</v>
          </cell>
          <cell r="D12">
            <v>10</v>
          </cell>
          <cell r="E12">
            <v>5</v>
          </cell>
          <cell r="F12">
            <v>8</v>
          </cell>
          <cell r="G12">
            <v>2</v>
          </cell>
          <cell r="H12">
            <v>3</v>
          </cell>
          <cell r="I12">
            <v>4</v>
          </cell>
          <cell r="J12">
            <v>6</v>
          </cell>
          <cell r="K12">
            <v>5</v>
          </cell>
          <cell r="L12">
            <v>7</v>
          </cell>
          <cell r="M12">
            <v>5</v>
          </cell>
        </row>
        <row r="13">
          <cell r="C13">
            <v>8</v>
          </cell>
          <cell r="D13">
            <v>10</v>
          </cell>
          <cell r="E13">
            <v>8</v>
          </cell>
          <cell r="F13">
            <v>8</v>
          </cell>
          <cell r="G13">
            <v>4</v>
          </cell>
          <cell r="H13">
            <v>4</v>
          </cell>
          <cell r="I13">
            <v>4</v>
          </cell>
          <cell r="J13">
            <v>8</v>
          </cell>
          <cell r="K13">
            <v>6</v>
          </cell>
          <cell r="L13">
            <v>7</v>
          </cell>
          <cell r="M13">
            <v>5</v>
          </cell>
        </row>
        <row r="14">
          <cell r="C14">
            <v>8</v>
          </cell>
          <cell r="D14">
            <v>8</v>
          </cell>
          <cell r="E14">
            <v>8</v>
          </cell>
          <cell r="F14">
            <v>7</v>
          </cell>
          <cell r="G14">
            <v>3</v>
          </cell>
          <cell r="H14">
            <v>3</v>
          </cell>
          <cell r="I14">
            <v>3</v>
          </cell>
          <cell r="J14">
            <v>8</v>
          </cell>
          <cell r="K14">
            <v>5</v>
          </cell>
          <cell r="L14">
            <v>8</v>
          </cell>
          <cell r="M14">
            <v>6</v>
          </cell>
        </row>
        <row r="15">
          <cell r="C15">
            <v>3</v>
          </cell>
          <cell r="D15">
            <v>13</v>
          </cell>
          <cell r="E15">
            <v>8</v>
          </cell>
          <cell r="F15">
            <v>5</v>
          </cell>
          <cell r="G15">
            <v>3</v>
          </cell>
          <cell r="H15">
            <v>3</v>
          </cell>
          <cell r="I15">
            <v>4</v>
          </cell>
          <cell r="J15">
            <v>8</v>
          </cell>
          <cell r="K15">
            <v>7</v>
          </cell>
          <cell r="L15">
            <v>8</v>
          </cell>
          <cell r="M15">
            <v>3</v>
          </cell>
        </row>
        <row r="16">
          <cell r="C16">
            <v>5</v>
          </cell>
          <cell r="D16">
            <v>7</v>
          </cell>
          <cell r="E16">
            <v>4</v>
          </cell>
          <cell r="F16">
            <v>2</v>
          </cell>
          <cell r="G16">
            <v>4</v>
          </cell>
          <cell r="H16">
            <v>4</v>
          </cell>
          <cell r="I16">
            <v>3</v>
          </cell>
          <cell r="J16">
            <v>1</v>
          </cell>
          <cell r="K16">
            <v>6</v>
          </cell>
          <cell r="L16">
            <v>6</v>
          </cell>
          <cell r="M16">
            <v>5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4</v>
          </cell>
          <cell r="D18">
            <v>5</v>
          </cell>
          <cell r="E18">
            <v>4</v>
          </cell>
          <cell r="F18">
            <v>7</v>
          </cell>
          <cell r="G18">
            <v>3</v>
          </cell>
          <cell r="H18">
            <v>3</v>
          </cell>
          <cell r="I18">
            <v>3</v>
          </cell>
          <cell r="J18">
            <v>6</v>
          </cell>
          <cell r="K18">
            <v>5</v>
          </cell>
          <cell r="L18">
            <v>5</v>
          </cell>
          <cell r="M18">
            <v>5</v>
          </cell>
        </row>
        <row r="19">
          <cell r="C19">
            <v>5</v>
          </cell>
          <cell r="D19">
            <v>5</v>
          </cell>
          <cell r="E19">
            <v>5</v>
          </cell>
          <cell r="F19">
            <v>4</v>
          </cell>
          <cell r="G19">
            <v>3</v>
          </cell>
          <cell r="H19">
            <v>4</v>
          </cell>
          <cell r="I19">
            <v>3</v>
          </cell>
          <cell r="J19">
            <v>5</v>
          </cell>
          <cell r="K19">
            <v>4</v>
          </cell>
          <cell r="L19">
            <v>5</v>
          </cell>
          <cell r="M19">
            <v>6</v>
          </cell>
        </row>
        <row r="20">
          <cell r="C20">
            <v>8</v>
          </cell>
          <cell r="D20">
            <v>15</v>
          </cell>
          <cell r="E20">
            <v>7</v>
          </cell>
          <cell r="F20">
            <v>5</v>
          </cell>
          <cell r="G20">
            <v>3</v>
          </cell>
          <cell r="H20">
            <v>4</v>
          </cell>
          <cell r="I20">
            <v>4</v>
          </cell>
          <cell r="J20">
            <v>8</v>
          </cell>
          <cell r="K20">
            <v>7</v>
          </cell>
          <cell r="L20">
            <v>3</v>
          </cell>
          <cell r="M20">
            <v>7</v>
          </cell>
        </row>
        <row r="21">
          <cell r="C21">
            <v>6</v>
          </cell>
          <cell r="D21">
            <v>13</v>
          </cell>
          <cell r="E21">
            <v>6</v>
          </cell>
          <cell r="F21">
            <v>5</v>
          </cell>
          <cell r="G21">
            <v>2</v>
          </cell>
          <cell r="H21">
            <v>4</v>
          </cell>
          <cell r="I21">
            <v>4</v>
          </cell>
          <cell r="J21">
            <v>6</v>
          </cell>
          <cell r="K21">
            <v>6</v>
          </cell>
          <cell r="L21">
            <v>5</v>
          </cell>
          <cell r="M21">
            <v>7</v>
          </cell>
        </row>
        <row r="22">
          <cell r="C22">
            <v>7</v>
          </cell>
          <cell r="D22">
            <v>10</v>
          </cell>
          <cell r="E22">
            <v>5</v>
          </cell>
          <cell r="F22">
            <v>5</v>
          </cell>
          <cell r="G22">
            <v>3</v>
          </cell>
          <cell r="H22">
            <v>3</v>
          </cell>
          <cell r="I22">
            <v>3</v>
          </cell>
          <cell r="J22">
            <v>5</v>
          </cell>
          <cell r="K22">
            <v>5</v>
          </cell>
          <cell r="L22">
            <v>5</v>
          </cell>
          <cell r="M22">
            <v>5</v>
          </cell>
        </row>
        <row r="23">
          <cell r="C23">
            <v>5</v>
          </cell>
          <cell r="D23">
            <v>10</v>
          </cell>
          <cell r="E23">
            <v>5</v>
          </cell>
          <cell r="F23">
            <v>6</v>
          </cell>
          <cell r="G23">
            <v>2</v>
          </cell>
          <cell r="H23">
            <v>6</v>
          </cell>
          <cell r="I23">
            <v>5</v>
          </cell>
          <cell r="J23">
            <v>5</v>
          </cell>
          <cell r="K23">
            <v>3</v>
          </cell>
          <cell r="L23">
            <v>5</v>
          </cell>
          <cell r="M23">
            <v>7</v>
          </cell>
        </row>
        <row r="24">
          <cell r="C24">
            <v>7</v>
          </cell>
          <cell r="D24">
            <v>15</v>
          </cell>
          <cell r="E24">
            <v>6</v>
          </cell>
          <cell r="F24">
            <v>8</v>
          </cell>
          <cell r="G24">
            <v>4</v>
          </cell>
          <cell r="H24">
            <v>4</v>
          </cell>
          <cell r="I24">
            <v>5</v>
          </cell>
          <cell r="J24">
            <v>5</v>
          </cell>
          <cell r="K24">
            <v>7</v>
          </cell>
          <cell r="L24">
            <v>8</v>
          </cell>
          <cell r="M24">
            <v>8</v>
          </cell>
        </row>
        <row r="25">
          <cell r="C25">
            <v>6</v>
          </cell>
          <cell r="D25">
            <v>10</v>
          </cell>
          <cell r="E25">
            <v>3</v>
          </cell>
          <cell r="F25">
            <v>7</v>
          </cell>
          <cell r="G25">
            <v>3</v>
          </cell>
          <cell r="H25">
            <v>2</v>
          </cell>
          <cell r="I25">
            <v>4</v>
          </cell>
          <cell r="J25">
            <v>4</v>
          </cell>
          <cell r="K25">
            <v>2</v>
          </cell>
          <cell r="L25">
            <v>5</v>
          </cell>
          <cell r="M25">
            <v>6</v>
          </cell>
        </row>
      </sheetData>
      <sheetData sheetId="7">
        <row r="4">
          <cell r="C4">
            <v>10</v>
          </cell>
          <cell r="D4">
            <v>14</v>
          </cell>
          <cell r="E4">
            <v>10</v>
          </cell>
          <cell r="F4">
            <v>10</v>
          </cell>
          <cell r="G4">
            <v>2</v>
          </cell>
          <cell r="H4">
            <v>3</v>
          </cell>
          <cell r="I4">
            <v>5</v>
          </cell>
          <cell r="J4">
            <v>8</v>
          </cell>
          <cell r="K4">
            <v>6</v>
          </cell>
          <cell r="L4">
            <v>6</v>
          </cell>
          <cell r="M4">
            <v>5</v>
          </cell>
          <cell r="N4">
            <v>79</v>
          </cell>
        </row>
        <row r="5">
          <cell r="C5">
            <v>3</v>
          </cell>
          <cell r="D5">
            <v>2</v>
          </cell>
          <cell r="E5">
            <v>2</v>
          </cell>
          <cell r="F5">
            <v>4</v>
          </cell>
          <cell r="G5">
            <v>2</v>
          </cell>
          <cell r="H5">
            <v>2</v>
          </cell>
          <cell r="I5">
            <v>2</v>
          </cell>
          <cell r="J5">
            <v>5</v>
          </cell>
          <cell r="K5">
            <v>1</v>
          </cell>
          <cell r="L5">
            <v>1</v>
          </cell>
          <cell r="M5">
            <v>6</v>
          </cell>
        </row>
        <row r="6">
          <cell r="C6">
            <v>6</v>
          </cell>
          <cell r="D6">
            <v>10</v>
          </cell>
          <cell r="E6">
            <v>6</v>
          </cell>
          <cell r="F6">
            <v>8</v>
          </cell>
          <cell r="G6">
            <v>3</v>
          </cell>
          <cell r="H6">
            <v>2</v>
          </cell>
          <cell r="I6">
            <v>2</v>
          </cell>
          <cell r="J6">
            <v>4</v>
          </cell>
          <cell r="K6">
            <v>4</v>
          </cell>
          <cell r="L6">
            <v>2</v>
          </cell>
          <cell r="M6">
            <v>2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>
            <v>8</v>
          </cell>
          <cell r="D8">
            <v>15</v>
          </cell>
          <cell r="E8">
            <v>10</v>
          </cell>
          <cell r="F8">
            <v>10</v>
          </cell>
          <cell r="G8">
            <v>2</v>
          </cell>
          <cell r="H8">
            <v>3</v>
          </cell>
          <cell r="I8">
            <v>5</v>
          </cell>
          <cell r="J8">
            <v>5</v>
          </cell>
          <cell r="K8">
            <v>6</v>
          </cell>
          <cell r="L8">
            <v>3</v>
          </cell>
          <cell r="M8">
            <v>6</v>
          </cell>
        </row>
        <row r="9">
          <cell r="C9">
            <v>1</v>
          </cell>
          <cell r="D9">
            <v>5</v>
          </cell>
          <cell r="E9">
            <v>5</v>
          </cell>
          <cell r="F9">
            <v>5</v>
          </cell>
          <cell r="G9">
            <v>2</v>
          </cell>
          <cell r="H9">
            <v>3</v>
          </cell>
          <cell r="I9">
            <v>0</v>
          </cell>
          <cell r="J9">
            <v>2</v>
          </cell>
          <cell r="K9">
            <v>1</v>
          </cell>
          <cell r="L9">
            <v>2</v>
          </cell>
          <cell r="M9">
            <v>2</v>
          </cell>
        </row>
        <row r="10">
          <cell r="C10">
            <v>7</v>
          </cell>
          <cell r="D10">
            <v>12</v>
          </cell>
          <cell r="E10">
            <v>10</v>
          </cell>
          <cell r="F10">
            <v>10</v>
          </cell>
          <cell r="G10">
            <v>3</v>
          </cell>
          <cell r="H10">
            <v>3</v>
          </cell>
          <cell r="I10">
            <v>4</v>
          </cell>
          <cell r="J10">
            <v>6</v>
          </cell>
          <cell r="K10">
            <v>4</v>
          </cell>
          <cell r="L10">
            <v>6</v>
          </cell>
          <cell r="M10">
            <v>6</v>
          </cell>
        </row>
        <row r="11">
          <cell r="C11">
            <v>10</v>
          </cell>
          <cell r="D11">
            <v>15</v>
          </cell>
          <cell r="E11">
            <v>10</v>
          </cell>
          <cell r="F11">
            <v>8</v>
          </cell>
          <cell r="G11">
            <v>3</v>
          </cell>
          <cell r="H11">
            <v>3</v>
          </cell>
          <cell r="I11">
            <v>3</v>
          </cell>
          <cell r="J11">
            <v>8</v>
          </cell>
          <cell r="K11">
            <v>6</v>
          </cell>
          <cell r="L11">
            <v>5</v>
          </cell>
          <cell r="M11">
            <v>6</v>
          </cell>
        </row>
        <row r="12">
          <cell r="C12">
            <v>10</v>
          </cell>
          <cell r="D12">
            <v>15</v>
          </cell>
          <cell r="E12">
            <v>10</v>
          </cell>
          <cell r="F12">
            <v>10</v>
          </cell>
          <cell r="G12">
            <v>4</v>
          </cell>
          <cell r="H12">
            <v>5</v>
          </cell>
          <cell r="I12">
            <v>3</v>
          </cell>
          <cell r="J12">
            <v>8</v>
          </cell>
          <cell r="K12">
            <v>7</v>
          </cell>
          <cell r="L12">
            <v>6</v>
          </cell>
          <cell r="M12">
            <v>8</v>
          </cell>
        </row>
        <row r="13">
          <cell r="C13">
            <v>8</v>
          </cell>
          <cell r="D13">
            <v>15</v>
          </cell>
          <cell r="E13">
            <v>8</v>
          </cell>
          <cell r="F13">
            <v>8</v>
          </cell>
          <cell r="G13">
            <v>3</v>
          </cell>
          <cell r="H13">
            <v>3</v>
          </cell>
          <cell r="I13">
            <v>2</v>
          </cell>
          <cell r="J13">
            <v>6</v>
          </cell>
          <cell r="K13">
            <v>5</v>
          </cell>
          <cell r="L13">
            <v>6</v>
          </cell>
          <cell r="M13">
            <v>4</v>
          </cell>
        </row>
        <row r="14">
          <cell r="C14">
            <v>7</v>
          </cell>
          <cell r="D14">
            <v>7</v>
          </cell>
          <cell r="E14">
            <v>8</v>
          </cell>
          <cell r="F14">
            <v>8</v>
          </cell>
          <cell r="G14">
            <v>5</v>
          </cell>
          <cell r="H14">
            <v>5</v>
          </cell>
          <cell r="I14">
            <v>2</v>
          </cell>
          <cell r="J14">
            <v>5</v>
          </cell>
          <cell r="K14">
            <v>5</v>
          </cell>
          <cell r="L14">
            <v>4</v>
          </cell>
          <cell r="M14">
            <v>5</v>
          </cell>
        </row>
        <row r="15">
          <cell r="C15">
            <v>4</v>
          </cell>
          <cell r="D15">
            <v>10</v>
          </cell>
          <cell r="E15">
            <v>5</v>
          </cell>
          <cell r="F15">
            <v>8</v>
          </cell>
          <cell r="G15">
            <v>3</v>
          </cell>
          <cell r="H15">
            <v>3</v>
          </cell>
          <cell r="I15">
            <v>4</v>
          </cell>
          <cell r="J15">
            <v>5</v>
          </cell>
          <cell r="K15">
            <v>5</v>
          </cell>
          <cell r="L15">
            <v>2</v>
          </cell>
          <cell r="M15">
            <v>2</v>
          </cell>
        </row>
        <row r="16">
          <cell r="C16">
            <v>6</v>
          </cell>
          <cell r="D16">
            <v>10</v>
          </cell>
          <cell r="E16">
            <v>8</v>
          </cell>
          <cell r="F16">
            <v>8</v>
          </cell>
          <cell r="G16">
            <v>5</v>
          </cell>
          <cell r="H16">
            <v>5</v>
          </cell>
          <cell r="I16">
            <v>2</v>
          </cell>
          <cell r="J16">
            <v>5</v>
          </cell>
          <cell r="K16">
            <v>5</v>
          </cell>
          <cell r="L16">
            <v>6</v>
          </cell>
          <cell r="M16">
            <v>6</v>
          </cell>
        </row>
        <row r="17">
          <cell r="C17">
            <v>6</v>
          </cell>
          <cell r="D17">
            <v>12</v>
          </cell>
          <cell r="E17">
            <v>8</v>
          </cell>
          <cell r="F17">
            <v>8</v>
          </cell>
          <cell r="G17">
            <v>5</v>
          </cell>
          <cell r="H17">
            <v>4</v>
          </cell>
          <cell r="I17">
            <v>3</v>
          </cell>
          <cell r="J17">
            <v>6</v>
          </cell>
          <cell r="K17">
            <v>6</v>
          </cell>
          <cell r="L17">
            <v>6</v>
          </cell>
          <cell r="M17">
            <v>5</v>
          </cell>
        </row>
        <row r="18">
          <cell r="C18">
            <v>6</v>
          </cell>
          <cell r="D18">
            <v>12</v>
          </cell>
          <cell r="E18">
            <v>8</v>
          </cell>
          <cell r="F18">
            <v>8</v>
          </cell>
          <cell r="G18">
            <v>4</v>
          </cell>
          <cell r="H18">
            <v>5</v>
          </cell>
          <cell r="I18">
            <v>3</v>
          </cell>
          <cell r="J18">
            <v>7</v>
          </cell>
          <cell r="K18">
            <v>6</v>
          </cell>
          <cell r="L18">
            <v>5</v>
          </cell>
          <cell r="M18">
            <v>6</v>
          </cell>
        </row>
        <row r="19">
          <cell r="C19">
            <v>7</v>
          </cell>
          <cell r="D19">
            <v>15</v>
          </cell>
          <cell r="E19">
            <v>8</v>
          </cell>
          <cell r="F19">
            <v>8</v>
          </cell>
          <cell r="G19">
            <v>3</v>
          </cell>
          <cell r="H19">
            <v>3</v>
          </cell>
          <cell r="I19">
            <v>3</v>
          </cell>
          <cell r="J19">
            <v>8</v>
          </cell>
          <cell r="K19">
            <v>6</v>
          </cell>
          <cell r="L19">
            <v>7</v>
          </cell>
          <cell r="M19">
            <v>8</v>
          </cell>
        </row>
        <row r="20">
          <cell r="C20">
            <v>7</v>
          </cell>
          <cell r="D20">
            <v>16</v>
          </cell>
          <cell r="E20">
            <v>5</v>
          </cell>
          <cell r="F20">
            <v>5</v>
          </cell>
          <cell r="G20">
            <v>3</v>
          </cell>
          <cell r="H20">
            <v>5</v>
          </cell>
          <cell r="I20">
            <v>4</v>
          </cell>
          <cell r="J20">
            <v>10</v>
          </cell>
          <cell r="K20">
            <v>9</v>
          </cell>
          <cell r="L20">
            <v>6</v>
          </cell>
          <cell r="M20">
            <v>6</v>
          </cell>
        </row>
        <row r="21">
          <cell r="C21">
            <v>2</v>
          </cell>
          <cell r="D21">
            <v>2</v>
          </cell>
          <cell r="E21">
            <v>4</v>
          </cell>
          <cell r="F21">
            <v>4</v>
          </cell>
          <cell r="G21">
            <v>2</v>
          </cell>
          <cell r="H21">
            <v>2</v>
          </cell>
          <cell r="I21">
            <v>2</v>
          </cell>
          <cell r="J21">
            <v>2</v>
          </cell>
          <cell r="K21">
            <v>2</v>
          </cell>
          <cell r="L21">
            <v>2</v>
          </cell>
          <cell r="M21">
            <v>2</v>
          </cell>
        </row>
        <row r="22">
          <cell r="C22">
            <v>10</v>
          </cell>
          <cell r="D22">
            <v>15</v>
          </cell>
          <cell r="E22">
            <v>10</v>
          </cell>
          <cell r="F22">
            <v>8</v>
          </cell>
          <cell r="G22">
            <v>4</v>
          </cell>
          <cell r="H22">
            <v>5</v>
          </cell>
          <cell r="I22">
            <v>3</v>
          </cell>
          <cell r="J22">
            <v>8</v>
          </cell>
          <cell r="K22">
            <v>6</v>
          </cell>
          <cell r="L22">
            <v>6</v>
          </cell>
          <cell r="M22">
            <v>6</v>
          </cell>
        </row>
        <row r="23">
          <cell r="C23">
            <v>6</v>
          </cell>
          <cell r="D23">
            <v>10</v>
          </cell>
          <cell r="E23">
            <v>7</v>
          </cell>
          <cell r="F23">
            <v>8</v>
          </cell>
          <cell r="G23">
            <v>3</v>
          </cell>
          <cell r="H23">
            <v>3</v>
          </cell>
          <cell r="I23">
            <v>4</v>
          </cell>
          <cell r="J23">
            <v>5</v>
          </cell>
          <cell r="K23">
            <v>6</v>
          </cell>
          <cell r="L23">
            <v>6</v>
          </cell>
          <cell r="M23">
            <v>6</v>
          </cell>
        </row>
        <row r="24">
          <cell r="C24">
            <v>9</v>
          </cell>
          <cell r="D24">
            <v>15</v>
          </cell>
          <cell r="E24">
            <v>8</v>
          </cell>
          <cell r="F24">
            <v>8</v>
          </cell>
          <cell r="G24">
            <v>3</v>
          </cell>
          <cell r="H24">
            <v>4</v>
          </cell>
          <cell r="I24">
            <v>3</v>
          </cell>
          <cell r="J24">
            <v>8</v>
          </cell>
          <cell r="K24">
            <v>6</v>
          </cell>
          <cell r="L24">
            <v>5</v>
          </cell>
          <cell r="M24">
            <v>8</v>
          </cell>
        </row>
        <row r="25">
          <cell r="C25">
            <v>7</v>
          </cell>
          <cell r="D25">
            <v>12</v>
          </cell>
          <cell r="E25">
            <v>2</v>
          </cell>
          <cell r="F25">
            <v>8</v>
          </cell>
          <cell r="G25">
            <v>2</v>
          </cell>
          <cell r="H25">
            <v>3</v>
          </cell>
          <cell r="I25">
            <v>3</v>
          </cell>
          <cell r="J25">
            <v>5</v>
          </cell>
          <cell r="K25">
            <v>5</v>
          </cell>
          <cell r="L25">
            <v>5</v>
          </cell>
          <cell r="M25">
            <v>5</v>
          </cell>
        </row>
      </sheetData>
      <sheetData sheetId="8">
        <row r="4">
          <cell r="C4">
            <v>8</v>
          </cell>
          <cell r="D4">
            <v>15</v>
          </cell>
          <cell r="E4">
            <v>8</v>
          </cell>
          <cell r="F4">
            <v>8</v>
          </cell>
          <cell r="G4">
            <v>4</v>
          </cell>
          <cell r="H4">
            <v>3</v>
          </cell>
          <cell r="I4">
            <v>4</v>
          </cell>
          <cell r="J4">
            <v>5</v>
          </cell>
          <cell r="K4">
            <v>8</v>
          </cell>
          <cell r="L4">
            <v>6</v>
          </cell>
          <cell r="M4">
            <v>7</v>
          </cell>
          <cell r="N4">
            <v>76</v>
          </cell>
        </row>
        <row r="5">
          <cell r="C5">
            <v>8</v>
          </cell>
          <cell r="D5">
            <v>12</v>
          </cell>
          <cell r="E5">
            <v>6</v>
          </cell>
          <cell r="F5">
            <v>7</v>
          </cell>
          <cell r="G5">
            <v>3</v>
          </cell>
          <cell r="H5">
            <v>4</v>
          </cell>
          <cell r="I5">
            <v>3</v>
          </cell>
          <cell r="J5">
            <v>7</v>
          </cell>
          <cell r="K5">
            <v>4</v>
          </cell>
          <cell r="L5">
            <v>7</v>
          </cell>
          <cell r="M5">
            <v>7</v>
          </cell>
        </row>
        <row r="6">
          <cell r="C6">
            <v>5</v>
          </cell>
          <cell r="D6">
            <v>10</v>
          </cell>
          <cell r="E6">
            <v>7</v>
          </cell>
          <cell r="F6">
            <v>0</v>
          </cell>
          <cell r="G6">
            <v>0</v>
          </cell>
          <cell r="H6">
            <v>1</v>
          </cell>
          <cell r="I6">
            <v>1</v>
          </cell>
          <cell r="J6">
            <v>5</v>
          </cell>
          <cell r="K6">
            <v>5</v>
          </cell>
          <cell r="L6">
            <v>5</v>
          </cell>
          <cell r="M6">
            <v>5</v>
          </cell>
        </row>
        <row r="7">
          <cell r="C7">
            <v>4</v>
          </cell>
          <cell r="D7">
            <v>8</v>
          </cell>
          <cell r="E7">
            <v>3</v>
          </cell>
          <cell r="F7">
            <v>6</v>
          </cell>
          <cell r="H7">
            <v>3</v>
          </cell>
          <cell r="I7">
            <v>3</v>
          </cell>
          <cell r="J7">
            <v>7</v>
          </cell>
          <cell r="K7">
            <v>5</v>
          </cell>
          <cell r="L7">
            <v>6</v>
          </cell>
          <cell r="M7">
            <v>3</v>
          </cell>
        </row>
        <row r="8">
          <cell r="C8">
            <v>7</v>
          </cell>
          <cell r="D8">
            <v>13</v>
          </cell>
          <cell r="E8">
            <v>7</v>
          </cell>
          <cell r="F8">
            <v>8</v>
          </cell>
          <cell r="G8">
            <v>3</v>
          </cell>
          <cell r="H8">
            <v>3</v>
          </cell>
          <cell r="I8">
            <v>4</v>
          </cell>
          <cell r="J8">
            <v>5</v>
          </cell>
          <cell r="K8">
            <v>5</v>
          </cell>
          <cell r="L8">
            <v>6</v>
          </cell>
          <cell r="M8">
            <v>6</v>
          </cell>
        </row>
        <row r="9">
          <cell r="C9">
            <v>5</v>
          </cell>
          <cell r="D9">
            <v>5</v>
          </cell>
          <cell r="E9">
            <v>6</v>
          </cell>
          <cell r="F9">
            <v>6</v>
          </cell>
          <cell r="G9">
            <v>0</v>
          </cell>
          <cell r="H9">
            <v>2</v>
          </cell>
          <cell r="I9">
            <v>0</v>
          </cell>
          <cell r="J9">
            <v>7</v>
          </cell>
          <cell r="K9">
            <v>2</v>
          </cell>
          <cell r="L9">
            <v>3</v>
          </cell>
          <cell r="M9">
            <v>2</v>
          </cell>
        </row>
        <row r="10">
          <cell r="C10">
            <v>3</v>
          </cell>
          <cell r="D10">
            <v>5</v>
          </cell>
          <cell r="E10">
            <v>7</v>
          </cell>
          <cell r="F10">
            <v>6</v>
          </cell>
          <cell r="G10">
            <v>2</v>
          </cell>
          <cell r="H10">
            <v>3</v>
          </cell>
          <cell r="I10">
            <v>2</v>
          </cell>
          <cell r="J10">
            <v>5</v>
          </cell>
          <cell r="K10">
            <v>4</v>
          </cell>
          <cell r="L10">
            <v>5</v>
          </cell>
          <cell r="M10">
            <v>5</v>
          </cell>
        </row>
        <row r="11">
          <cell r="C11">
            <v>8</v>
          </cell>
          <cell r="D11">
            <v>15</v>
          </cell>
          <cell r="E11">
            <v>7</v>
          </cell>
          <cell r="F11">
            <v>7</v>
          </cell>
          <cell r="G11">
            <v>4</v>
          </cell>
          <cell r="H11">
            <v>3</v>
          </cell>
          <cell r="I11">
            <v>3</v>
          </cell>
          <cell r="J11">
            <v>9</v>
          </cell>
          <cell r="K11">
            <v>7</v>
          </cell>
          <cell r="L11">
            <v>7</v>
          </cell>
          <cell r="M11">
            <v>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>
            <v>8</v>
          </cell>
          <cell r="D14">
            <v>16</v>
          </cell>
          <cell r="E14">
            <v>8</v>
          </cell>
          <cell r="F14">
            <v>8</v>
          </cell>
          <cell r="G14">
            <v>4</v>
          </cell>
          <cell r="H14">
            <v>4</v>
          </cell>
          <cell r="I14">
            <v>4</v>
          </cell>
          <cell r="J14">
            <v>9</v>
          </cell>
          <cell r="K14">
            <v>6</v>
          </cell>
          <cell r="L14">
            <v>7</v>
          </cell>
          <cell r="M14">
            <v>7</v>
          </cell>
        </row>
        <row r="15">
          <cell r="C15">
            <v>7</v>
          </cell>
          <cell r="D15">
            <v>13</v>
          </cell>
          <cell r="E15">
            <v>7</v>
          </cell>
          <cell r="F15">
            <v>0</v>
          </cell>
          <cell r="G15">
            <v>0</v>
          </cell>
          <cell r="H15">
            <v>3</v>
          </cell>
          <cell r="I15">
            <v>3</v>
          </cell>
          <cell r="J15">
            <v>6</v>
          </cell>
          <cell r="K15">
            <v>5</v>
          </cell>
          <cell r="L15">
            <v>7</v>
          </cell>
          <cell r="M15">
            <v>6</v>
          </cell>
        </row>
        <row r="16">
          <cell r="C16">
            <v>5</v>
          </cell>
          <cell r="D16">
            <v>11</v>
          </cell>
          <cell r="E16">
            <v>4</v>
          </cell>
          <cell r="F16">
            <v>5</v>
          </cell>
          <cell r="G16">
            <v>2</v>
          </cell>
          <cell r="H16">
            <v>2</v>
          </cell>
          <cell r="I16">
            <v>2</v>
          </cell>
          <cell r="J16">
            <v>5</v>
          </cell>
          <cell r="K16">
            <v>4</v>
          </cell>
          <cell r="L16">
            <v>3</v>
          </cell>
          <cell r="M16">
            <v>5</v>
          </cell>
        </row>
        <row r="17">
          <cell r="C17">
            <v>8</v>
          </cell>
          <cell r="D17">
            <v>16</v>
          </cell>
          <cell r="E17">
            <v>7</v>
          </cell>
          <cell r="F17">
            <v>8</v>
          </cell>
          <cell r="G17">
            <v>3</v>
          </cell>
          <cell r="H17">
            <v>4</v>
          </cell>
          <cell r="I17">
            <v>4</v>
          </cell>
          <cell r="J17">
            <v>7</v>
          </cell>
          <cell r="K17">
            <v>6</v>
          </cell>
          <cell r="L17">
            <v>7</v>
          </cell>
          <cell r="M17">
            <v>7</v>
          </cell>
        </row>
        <row r="18">
          <cell r="C18">
            <v>7</v>
          </cell>
          <cell r="D18">
            <v>12</v>
          </cell>
          <cell r="E18">
            <v>6</v>
          </cell>
          <cell r="F18">
            <v>6</v>
          </cell>
          <cell r="G18">
            <v>0</v>
          </cell>
          <cell r="H18">
            <v>3</v>
          </cell>
          <cell r="I18">
            <v>4</v>
          </cell>
          <cell r="J18">
            <v>7</v>
          </cell>
          <cell r="K18">
            <v>5</v>
          </cell>
          <cell r="L18">
            <v>6</v>
          </cell>
          <cell r="M18">
            <v>6</v>
          </cell>
        </row>
        <row r="19">
          <cell r="C19">
            <v>5</v>
          </cell>
          <cell r="D19">
            <v>7</v>
          </cell>
          <cell r="E19">
            <v>6</v>
          </cell>
          <cell r="F19">
            <v>0</v>
          </cell>
          <cell r="G19">
            <v>2</v>
          </cell>
          <cell r="H19">
            <v>2</v>
          </cell>
          <cell r="I19">
            <v>2</v>
          </cell>
          <cell r="J19">
            <v>6</v>
          </cell>
          <cell r="K19">
            <v>5</v>
          </cell>
          <cell r="L19">
            <v>3</v>
          </cell>
          <cell r="M19">
            <v>4</v>
          </cell>
        </row>
        <row r="20">
          <cell r="C20">
            <v>8</v>
          </cell>
          <cell r="D20">
            <v>18</v>
          </cell>
          <cell r="E20">
            <v>8</v>
          </cell>
          <cell r="F20">
            <v>8</v>
          </cell>
          <cell r="G20">
            <v>0</v>
          </cell>
          <cell r="H20">
            <v>4</v>
          </cell>
          <cell r="I20">
            <v>3</v>
          </cell>
          <cell r="J20">
            <v>9</v>
          </cell>
          <cell r="K20">
            <v>7</v>
          </cell>
          <cell r="L20">
            <v>8</v>
          </cell>
          <cell r="M20">
            <v>7</v>
          </cell>
        </row>
        <row r="21">
          <cell r="C21">
            <v>7</v>
          </cell>
          <cell r="D21">
            <v>12</v>
          </cell>
          <cell r="E21">
            <v>7</v>
          </cell>
          <cell r="F21">
            <v>7</v>
          </cell>
          <cell r="G21">
            <v>3</v>
          </cell>
          <cell r="H21">
            <v>3</v>
          </cell>
          <cell r="I21">
            <v>4</v>
          </cell>
          <cell r="J21">
            <v>6</v>
          </cell>
          <cell r="K21">
            <v>6</v>
          </cell>
          <cell r="L21">
            <v>6</v>
          </cell>
          <cell r="M21">
            <v>6</v>
          </cell>
        </row>
        <row r="22">
          <cell r="C22">
            <v>8</v>
          </cell>
          <cell r="D22">
            <v>15</v>
          </cell>
          <cell r="E22">
            <v>8</v>
          </cell>
          <cell r="F22">
            <v>0</v>
          </cell>
          <cell r="G22">
            <v>0</v>
          </cell>
          <cell r="H22">
            <v>3</v>
          </cell>
          <cell r="I22">
            <v>3</v>
          </cell>
          <cell r="J22">
            <v>7</v>
          </cell>
          <cell r="K22">
            <v>6</v>
          </cell>
          <cell r="L22">
            <v>6</v>
          </cell>
          <cell r="M22">
            <v>7</v>
          </cell>
        </row>
        <row r="23">
          <cell r="C23">
            <v>7</v>
          </cell>
          <cell r="D23">
            <v>13</v>
          </cell>
          <cell r="E23">
            <v>6</v>
          </cell>
          <cell r="F23">
            <v>0</v>
          </cell>
          <cell r="G23">
            <v>0</v>
          </cell>
          <cell r="H23">
            <v>4</v>
          </cell>
          <cell r="I23">
            <v>3</v>
          </cell>
          <cell r="J23">
            <v>6</v>
          </cell>
          <cell r="K23">
            <v>7</v>
          </cell>
          <cell r="L23">
            <v>6</v>
          </cell>
          <cell r="M23">
            <v>7</v>
          </cell>
        </row>
        <row r="24">
          <cell r="C24">
            <v>7</v>
          </cell>
          <cell r="D24">
            <v>13</v>
          </cell>
          <cell r="E24">
            <v>6</v>
          </cell>
          <cell r="F24">
            <v>8</v>
          </cell>
          <cell r="G24">
            <v>3</v>
          </cell>
          <cell r="H24">
            <v>4</v>
          </cell>
          <cell r="I24">
            <v>3</v>
          </cell>
          <cell r="J24">
            <v>7</v>
          </cell>
          <cell r="K24">
            <v>5</v>
          </cell>
          <cell r="L24">
            <v>6</v>
          </cell>
          <cell r="M24">
            <v>6</v>
          </cell>
        </row>
        <row r="25">
          <cell r="C25">
            <v>8</v>
          </cell>
          <cell r="D25">
            <v>15</v>
          </cell>
          <cell r="E25">
            <v>8</v>
          </cell>
          <cell r="F25">
            <v>7</v>
          </cell>
          <cell r="G25">
            <v>7</v>
          </cell>
          <cell r="H25">
            <v>3</v>
          </cell>
          <cell r="I25">
            <v>3</v>
          </cell>
          <cell r="J25">
            <v>5</v>
          </cell>
          <cell r="K25">
            <v>5</v>
          </cell>
          <cell r="L25">
            <v>6</v>
          </cell>
          <cell r="M25">
            <v>5</v>
          </cell>
        </row>
      </sheetData>
      <sheetData sheetId="9">
        <row r="4">
          <cell r="C4">
            <v>7.5</v>
          </cell>
          <cell r="D4">
            <v>13.6</v>
          </cell>
          <cell r="E4">
            <v>5</v>
          </cell>
          <cell r="F4">
            <v>10</v>
          </cell>
          <cell r="G4">
            <v>3</v>
          </cell>
          <cell r="H4">
            <v>3</v>
          </cell>
          <cell r="I4">
            <v>5</v>
          </cell>
          <cell r="J4">
            <v>8</v>
          </cell>
          <cell r="K4">
            <v>7.5</v>
          </cell>
          <cell r="L4">
            <v>10</v>
          </cell>
          <cell r="M4">
            <v>8</v>
          </cell>
          <cell r="N4">
            <v>80.599999999999994</v>
          </cell>
        </row>
        <row r="5">
          <cell r="C5">
            <v>5</v>
          </cell>
          <cell r="D5">
            <v>5</v>
          </cell>
          <cell r="E5">
            <v>5</v>
          </cell>
          <cell r="F5">
            <v>10</v>
          </cell>
          <cell r="G5">
            <v>0</v>
          </cell>
          <cell r="H5">
            <v>2.5</v>
          </cell>
          <cell r="I5">
            <v>2.5</v>
          </cell>
          <cell r="J5">
            <v>5</v>
          </cell>
          <cell r="K5">
            <v>2.5</v>
          </cell>
          <cell r="L5">
            <v>2</v>
          </cell>
          <cell r="M5">
            <v>5</v>
          </cell>
        </row>
        <row r="6">
          <cell r="C6">
            <v>7.5</v>
          </cell>
          <cell r="D6">
            <v>10</v>
          </cell>
          <cell r="E6">
            <v>5</v>
          </cell>
          <cell r="F6">
            <v>7.5</v>
          </cell>
          <cell r="G6">
            <v>4</v>
          </cell>
          <cell r="H6">
            <v>5</v>
          </cell>
          <cell r="I6">
            <v>2.5</v>
          </cell>
          <cell r="J6">
            <v>5</v>
          </cell>
          <cell r="K6">
            <v>7.5</v>
          </cell>
          <cell r="L6">
            <v>2.5</v>
          </cell>
          <cell r="M6">
            <v>2.5</v>
          </cell>
        </row>
        <row r="7">
          <cell r="C7">
            <v>10</v>
          </cell>
          <cell r="D7">
            <v>15</v>
          </cell>
          <cell r="E7">
            <v>2</v>
          </cell>
          <cell r="F7">
            <v>5</v>
          </cell>
          <cell r="H7">
            <v>5</v>
          </cell>
          <cell r="I7">
            <v>3</v>
          </cell>
          <cell r="J7">
            <v>5</v>
          </cell>
          <cell r="K7">
            <v>8</v>
          </cell>
          <cell r="L7">
            <v>5</v>
          </cell>
          <cell r="M7">
            <v>7.5</v>
          </cell>
        </row>
        <row r="8">
          <cell r="C8">
            <v>5</v>
          </cell>
          <cell r="D8">
            <v>5</v>
          </cell>
          <cell r="E8">
            <v>5</v>
          </cell>
          <cell r="F8">
            <v>2.5</v>
          </cell>
          <cell r="G8">
            <v>1.5</v>
          </cell>
          <cell r="H8">
            <v>2.5</v>
          </cell>
          <cell r="I8">
            <v>3</v>
          </cell>
          <cell r="J8">
            <v>5</v>
          </cell>
          <cell r="K8">
            <v>2.5</v>
          </cell>
          <cell r="L8">
            <v>5</v>
          </cell>
          <cell r="M8">
            <v>2.5</v>
          </cell>
        </row>
        <row r="9">
          <cell r="C9">
            <v>2.5</v>
          </cell>
          <cell r="D9">
            <v>5</v>
          </cell>
          <cell r="E9">
            <v>2.5</v>
          </cell>
          <cell r="F9">
            <v>0</v>
          </cell>
          <cell r="G9">
            <v>1</v>
          </cell>
          <cell r="H9">
            <v>2.5</v>
          </cell>
          <cell r="I9">
            <v>0</v>
          </cell>
          <cell r="J9">
            <v>5</v>
          </cell>
          <cell r="K9">
            <v>2.5</v>
          </cell>
          <cell r="L9">
            <v>0</v>
          </cell>
          <cell r="M9">
            <v>5</v>
          </cell>
        </row>
        <row r="10">
          <cell r="C10">
            <v>7.5</v>
          </cell>
          <cell r="D10">
            <v>15</v>
          </cell>
          <cell r="E10">
            <v>5</v>
          </cell>
          <cell r="F10">
            <v>10</v>
          </cell>
          <cell r="G10">
            <v>4</v>
          </cell>
          <cell r="H10">
            <v>5</v>
          </cell>
          <cell r="I10">
            <v>3.5</v>
          </cell>
          <cell r="J10">
            <v>10</v>
          </cell>
          <cell r="K10">
            <v>7.5</v>
          </cell>
          <cell r="L10">
            <v>10</v>
          </cell>
          <cell r="M10">
            <v>5</v>
          </cell>
        </row>
        <row r="11">
          <cell r="C11">
            <v>7.5</v>
          </cell>
          <cell r="D11">
            <v>11.7</v>
          </cell>
          <cell r="E11">
            <v>10</v>
          </cell>
          <cell r="F11">
            <v>7.5</v>
          </cell>
          <cell r="G11">
            <v>5</v>
          </cell>
          <cell r="H11">
            <v>5</v>
          </cell>
          <cell r="I11">
            <v>3</v>
          </cell>
          <cell r="J11">
            <v>2.5</v>
          </cell>
          <cell r="K11">
            <v>5</v>
          </cell>
          <cell r="L11">
            <v>5</v>
          </cell>
          <cell r="M11">
            <v>2.5</v>
          </cell>
        </row>
        <row r="12">
          <cell r="C12">
            <v>9</v>
          </cell>
          <cell r="D12">
            <v>10.6</v>
          </cell>
          <cell r="E12">
            <v>8</v>
          </cell>
          <cell r="F12">
            <v>8</v>
          </cell>
          <cell r="G12">
            <v>4</v>
          </cell>
          <cell r="H12">
            <v>5</v>
          </cell>
          <cell r="I12">
            <v>4</v>
          </cell>
          <cell r="J12">
            <v>6</v>
          </cell>
          <cell r="K12">
            <v>5</v>
          </cell>
          <cell r="L12">
            <v>4</v>
          </cell>
          <cell r="M12">
            <v>5</v>
          </cell>
        </row>
        <row r="13">
          <cell r="C13">
            <v>7.5</v>
          </cell>
          <cell r="D13">
            <v>18</v>
          </cell>
          <cell r="E13">
            <v>10</v>
          </cell>
          <cell r="F13">
            <v>10</v>
          </cell>
          <cell r="G13">
            <v>3</v>
          </cell>
          <cell r="H13">
            <v>5</v>
          </cell>
          <cell r="I13">
            <v>3</v>
          </cell>
          <cell r="J13">
            <v>6</v>
          </cell>
          <cell r="K13">
            <v>4</v>
          </cell>
          <cell r="L13">
            <v>10</v>
          </cell>
          <cell r="M13">
            <v>5</v>
          </cell>
        </row>
        <row r="14">
          <cell r="C14">
            <v>9</v>
          </cell>
          <cell r="D14">
            <v>10</v>
          </cell>
          <cell r="E14">
            <v>7.5</v>
          </cell>
          <cell r="F14">
            <v>10</v>
          </cell>
          <cell r="G14">
            <v>4.2</v>
          </cell>
          <cell r="H14">
            <v>3</v>
          </cell>
          <cell r="I14">
            <v>3</v>
          </cell>
          <cell r="J14">
            <v>7.5</v>
          </cell>
          <cell r="K14">
            <v>5</v>
          </cell>
          <cell r="L14">
            <v>5</v>
          </cell>
          <cell r="M14">
            <v>5</v>
          </cell>
        </row>
        <row r="15">
          <cell r="C15">
            <v>5</v>
          </cell>
          <cell r="D15">
            <v>10</v>
          </cell>
          <cell r="E15">
            <v>7.5</v>
          </cell>
          <cell r="F15">
            <v>5</v>
          </cell>
          <cell r="G15">
            <v>2.4</v>
          </cell>
          <cell r="H15">
            <v>2.5</v>
          </cell>
          <cell r="I15">
            <v>4</v>
          </cell>
          <cell r="J15">
            <v>5</v>
          </cell>
          <cell r="K15">
            <v>5</v>
          </cell>
          <cell r="L15">
            <v>5</v>
          </cell>
          <cell r="M15">
            <v>5</v>
          </cell>
        </row>
        <row r="16">
          <cell r="C16">
            <v>9</v>
          </cell>
          <cell r="D16">
            <v>15</v>
          </cell>
          <cell r="E16">
            <v>6</v>
          </cell>
          <cell r="F16">
            <v>10</v>
          </cell>
          <cell r="G16">
            <v>1</v>
          </cell>
          <cell r="H16">
            <v>5</v>
          </cell>
          <cell r="I16">
            <v>3</v>
          </cell>
          <cell r="J16">
            <v>7.5</v>
          </cell>
          <cell r="K16">
            <v>7.5</v>
          </cell>
          <cell r="L16">
            <v>7</v>
          </cell>
          <cell r="M16">
            <v>7</v>
          </cell>
        </row>
        <row r="17">
          <cell r="C17">
            <v>7.5</v>
          </cell>
          <cell r="D17">
            <v>17</v>
          </cell>
          <cell r="E17">
            <v>10</v>
          </cell>
          <cell r="F17">
            <v>10</v>
          </cell>
          <cell r="G17">
            <v>2.8</v>
          </cell>
          <cell r="H17">
            <v>5</v>
          </cell>
          <cell r="I17">
            <v>3</v>
          </cell>
          <cell r="J17">
            <v>8</v>
          </cell>
          <cell r="K17">
            <v>8</v>
          </cell>
          <cell r="L17">
            <v>8</v>
          </cell>
          <cell r="M17">
            <v>8</v>
          </cell>
        </row>
        <row r="18">
          <cell r="C18">
            <v>7.5</v>
          </cell>
          <cell r="D18">
            <v>18.100000000000001</v>
          </cell>
          <cell r="E18">
            <v>7.5</v>
          </cell>
          <cell r="F18">
            <v>10</v>
          </cell>
          <cell r="G18">
            <v>2.2999999999999998</v>
          </cell>
          <cell r="H18">
            <v>5</v>
          </cell>
          <cell r="I18">
            <v>2</v>
          </cell>
          <cell r="J18">
            <v>8</v>
          </cell>
          <cell r="K18">
            <v>7.5</v>
          </cell>
          <cell r="L18">
            <v>6</v>
          </cell>
          <cell r="M18">
            <v>5</v>
          </cell>
        </row>
        <row r="19">
          <cell r="C19">
            <v>7.5</v>
          </cell>
          <cell r="D19">
            <v>5</v>
          </cell>
          <cell r="E19">
            <v>7.5</v>
          </cell>
          <cell r="F19">
            <v>10</v>
          </cell>
          <cell r="G19">
            <v>2.5</v>
          </cell>
          <cell r="H19">
            <v>5</v>
          </cell>
          <cell r="I19">
            <v>3</v>
          </cell>
          <cell r="J19">
            <v>5</v>
          </cell>
          <cell r="K19">
            <v>3</v>
          </cell>
          <cell r="L19">
            <v>5</v>
          </cell>
          <cell r="M19">
            <v>5</v>
          </cell>
        </row>
        <row r="20">
          <cell r="C20">
            <v>7.5</v>
          </cell>
          <cell r="D20">
            <v>10</v>
          </cell>
          <cell r="E20">
            <v>7.5</v>
          </cell>
          <cell r="F20">
            <v>7.5</v>
          </cell>
          <cell r="G20">
            <v>3.75</v>
          </cell>
          <cell r="H20">
            <v>2</v>
          </cell>
          <cell r="I20">
            <v>4</v>
          </cell>
          <cell r="J20">
            <v>7.5</v>
          </cell>
          <cell r="K20">
            <v>0</v>
          </cell>
          <cell r="L20">
            <v>4</v>
          </cell>
          <cell r="M20">
            <v>4</v>
          </cell>
        </row>
        <row r="21">
          <cell r="C21">
            <v>10</v>
          </cell>
          <cell r="D21">
            <v>8</v>
          </cell>
          <cell r="E21">
            <v>5</v>
          </cell>
          <cell r="F21">
            <v>10</v>
          </cell>
          <cell r="G21">
            <v>1.5</v>
          </cell>
          <cell r="H21">
            <v>4</v>
          </cell>
          <cell r="I21">
            <v>2</v>
          </cell>
          <cell r="J21">
            <v>8</v>
          </cell>
          <cell r="K21">
            <v>0</v>
          </cell>
          <cell r="L21">
            <v>0</v>
          </cell>
          <cell r="M21">
            <v>5</v>
          </cell>
        </row>
        <row r="22">
          <cell r="C22">
            <v>10</v>
          </cell>
          <cell r="D22">
            <v>15</v>
          </cell>
          <cell r="E22">
            <v>10</v>
          </cell>
          <cell r="F22">
            <v>10</v>
          </cell>
          <cell r="G22">
            <v>4.8</v>
          </cell>
          <cell r="H22">
            <v>5</v>
          </cell>
          <cell r="I22">
            <v>3</v>
          </cell>
          <cell r="J22">
            <v>8</v>
          </cell>
          <cell r="K22">
            <v>5</v>
          </cell>
          <cell r="L22">
            <v>5</v>
          </cell>
          <cell r="M22">
            <v>0</v>
          </cell>
        </row>
        <row r="23">
          <cell r="C23">
            <v>7.5</v>
          </cell>
          <cell r="D23">
            <v>18.7</v>
          </cell>
          <cell r="E23">
            <v>6</v>
          </cell>
          <cell r="F23">
            <v>10</v>
          </cell>
          <cell r="G23">
            <v>2</v>
          </cell>
          <cell r="H23">
            <v>4</v>
          </cell>
          <cell r="I23">
            <v>4</v>
          </cell>
          <cell r="J23">
            <v>8</v>
          </cell>
          <cell r="K23">
            <v>6</v>
          </cell>
          <cell r="L23">
            <v>7</v>
          </cell>
          <cell r="M23">
            <v>7</v>
          </cell>
        </row>
        <row r="24">
          <cell r="C24">
            <v>10</v>
          </cell>
          <cell r="D24">
            <v>15</v>
          </cell>
          <cell r="E24">
            <v>7.5</v>
          </cell>
          <cell r="F24">
            <v>5</v>
          </cell>
          <cell r="G24">
            <v>4.5</v>
          </cell>
          <cell r="H24">
            <v>5</v>
          </cell>
          <cell r="I24">
            <v>0</v>
          </cell>
          <cell r="J24">
            <v>10</v>
          </cell>
          <cell r="K24">
            <v>7.5</v>
          </cell>
          <cell r="L24">
            <v>5</v>
          </cell>
          <cell r="M24">
            <v>10</v>
          </cell>
        </row>
        <row r="25">
          <cell r="C25">
            <v>7.5</v>
          </cell>
          <cell r="D25">
            <v>10</v>
          </cell>
          <cell r="E25">
            <v>5</v>
          </cell>
          <cell r="F25">
            <v>7.5</v>
          </cell>
          <cell r="G25">
            <v>2.75</v>
          </cell>
          <cell r="H25">
            <v>5</v>
          </cell>
          <cell r="I25">
            <v>2.5</v>
          </cell>
          <cell r="J25">
            <v>5</v>
          </cell>
          <cell r="K25">
            <v>5</v>
          </cell>
          <cell r="L25">
            <v>2.5</v>
          </cell>
          <cell r="M25">
            <v>7.5</v>
          </cell>
        </row>
      </sheetData>
      <sheetData sheetId="10">
        <row r="4">
          <cell r="C4">
            <v>7</v>
          </cell>
          <cell r="D4">
            <v>16</v>
          </cell>
          <cell r="E4">
            <v>7</v>
          </cell>
          <cell r="F4">
            <v>8</v>
          </cell>
          <cell r="G4">
            <v>4</v>
          </cell>
          <cell r="H4">
            <v>4</v>
          </cell>
          <cell r="I4">
            <v>5</v>
          </cell>
          <cell r="J4">
            <v>8</v>
          </cell>
          <cell r="K4">
            <v>7</v>
          </cell>
          <cell r="L4">
            <v>7</v>
          </cell>
          <cell r="M4">
            <v>7</v>
          </cell>
          <cell r="N4">
            <v>80</v>
          </cell>
        </row>
        <row r="5">
          <cell r="C5">
            <v>8</v>
          </cell>
          <cell r="D5">
            <v>16</v>
          </cell>
          <cell r="E5">
            <v>7</v>
          </cell>
          <cell r="F5">
            <v>4</v>
          </cell>
          <cell r="G5">
            <v>3</v>
          </cell>
          <cell r="H5">
            <v>3</v>
          </cell>
          <cell r="I5">
            <v>2</v>
          </cell>
          <cell r="J5">
            <v>9</v>
          </cell>
          <cell r="K5">
            <v>6</v>
          </cell>
          <cell r="L5">
            <v>8</v>
          </cell>
          <cell r="M5">
            <v>9</v>
          </cell>
        </row>
        <row r="6">
          <cell r="C6">
            <v>6</v>
          </cell>
          <cell r="D6">
            <v>11</v>
          </cell>
          <cell r="E6">
            <v>8</v>
          </cell>
          <cell r="F6">
            <v>6</v>
          </cell>
          <cell r="G6">
            <v>3</v>
          </cell>
          <cell r="H6">
            <v>3</v>
          </cell>
          <cell r="I6">
            <v>2</v>
          </cell>
          <cell r="J6">
            <v>7</v>
          </cell>
          <cell r="K6">
            <v>4</v>
          </cell>
          <cell r="L6">
            <v>6</v>
          </cell>
          <cell r="M6">
            <v>4</v>
          </cell>
        </row>
        <row r="7">
          <cell r="C7">
            <v>1</v>
          </cell>
          <cell r="D7">
            <v>5</v>
          </cell>
          <cell r="E7">
            <v>2</v>
          </cell>
          <cell r="F7">
            <v>2</v>
          </cell>
          <cell r="H7">
            <v>1</v>
          </cell>
          <cell r="I7">
            <v>1</v>
          </cell>
          <cell r="J7">
            <v>5</v>
          </cell>
          <cell r="K7">
            <v>7</v>
          </cell>
          <cell r="L7">
            <v>7</v>
          </cell>
          <cell r="M7">
            <v>5</v>
          </cell>
        </row>
        <row r="8">
          <cell r="C8">
            <v>5</v>
          </cell>
          <cell r="D8">
            <v>10</v>
          </cell>
          <cell r="E8">
            <v>6</v>
          </cell>
          <cell r="F8">
            <v>3</v>
          </cell>
          <cell r="G8">
            <v>1</v>
          </cell>
          <cell r="H8">
            <v>2</v>
          </cell>
          <cell r="I8">
            <v>1</v>
          </cell>
          <cell r="J8">
            <v>5</v>
          </cell>
          <cell r="K8">
            <v>2</v>
          </cell>
          <cell r="L8">
            <v>5</v>
          </cell>
          <cell r="M8">
            <v>5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6</v>
          </cell>
          <cell r="D10">
            <v>14</v>
          </cell>
          <cell r="E10">
            <v>6</v>
          </cell>
          <cell r="F10">
            <v>10</v>
          </cell>
          <cell r="G10">
            <v>4</v>
          </cell>
          <cell r="H10">
            <v>3</v>
          </cell>
          <cell r="I10">
            <v>4</v>
          </cell>
          <cell r="J10">
            <v>8</v>
          </cell>
          <cell r="K10">
            <v>5</v>
          </cell>
          <cell r="L10">
            <v>5</v>
          </cell>
          <cell r="M10">
            <v>7</v>
          </cell>
        </row>
        <row r="11">
          <cell r="C11">
            <v>7</v>
          </cell>
          <cell r="D11">
            <v>16</v>
          </cell>
          <cell r="E11">
            <v>7</v>
          </cell>
          <cell r="F11">
            <v>8</v>
          </cell>
          <cell r="G11">
            <v>4</v>
          </cell>
          <cell r="H11">
            <v>2</v>
          </cell>
          <cell r="I11">
            <v>4</v>
          </cell>
          <cell r="J11">
            <v>8</v>
          </cell>
          <cell r="K11">
            <v>7</v>
          </cell>
          <cell r="L11">
            <v>7</v>
          </cell>
          <cell r="M11">
            <v>7</v>
          </cell>
        </row>
        <row r="12">
          <cell r="C12">
            <v>7</v>
          </cell>
          <cell r="D12">
            <v>10</v>
          </cell>
          <cell r="E12">
            <v>7</v>
          </cell>
          <cell r="F12">
            <v>7</v>
          </cell>
          <cell r="G12">
            <v>2</v>
          </cell>
          <cell r="H12">
            <v>2</v>
          </cell>
          <cell r="I12">
            <v>4</v>
          </cell>
          <cell r="J12">
            <v>8</v>
          </cell>
          <cell r="K12">
            <v>7</v>
          </cell>
          <cell r="L12">
            <v>8</v>
          </cell>
          <cell r="M12">
            <v>6</v>
          </cell>
        </row>
        <row r="13">
          <cell r="C13">
            <v>7</v>
          </cell>
          <cell r="D13">
            <v>10</v>
          </cell>
          <cell r="E13">
            <v>7</v>
          </cell>
          <cell r="F13">
            <v>8</v>
          </cell>
          <cell r="G13">
            <v>4</v>
          </cell>
          <cell r="H13">
            <v>4</v>
          </cell>
          <cell r="I13">
            <v>3</v>
          </cell>
          <cell r="J13">
            <v>6</v>
          </cell>
          <cell r="K13">
            <v>4</v>
          </cell>
          <cell r="L13">
            <v>8</v>
          </cell>
          <cell r="M13">
            <v>5</v>
          </cell>
        </row>
        <row r="14">
          <cell r="C14">
            <v>6</v>
          </cell>
          <cell r="D14">
            <v>9</v>
          </cell>
          <cell r="E14">
            <v>7</v>
          </cell>
          <cell r="F14">
            <v>9</v>
          </cell>
          <cell r="G14">
            <v>4</v>
          </cell>
          <cell r="H14">
            <v>4</v>
          </cell>
          <cell r="I14">
            <v>2</v>
          </cell>
          <cell r="J14">
            <v>6</v>
          </cell>
          <cell r="K14">
            <v>4</v>
          </cell>
          <cell r="L14">
            <v>7</v>
          </cell>
          <cell r="M14">
            <v>6</v>
          </cell>
        </row>
        <row r="15">
          <cell r="C15">
            <v>6</v>
          </cell>
          <cell r="D15">
            <v>9</v>
          </cell>
          <cell r="E15">
            <v>7</v>
          </cell>
          <cell r="F15">
            <v>7</v>
          </cell>
          <cell r="G15">
            <v>3</v>
          </cell>
          <cell r="H15">
            <v>4</v>
          </cell>
          <cell r="I15">
            <v>2</v>
          </cell>
          <cell r="J15">
            <v>6</v>
          </cell>
          <cell r="K15">
            <v>5</v>
          </cell>
          <cell r="L15">
            <v>8</v>
          </cell>
          <cell r="M15">
            <v>5</v>
          </cell>
        </row>
        <row r="16">
          <cell r="C16">
            <v>4</v>
          </cell>
          <cell r="D16">
            <v>10</v>
          </cell>
          <cell r="E16">
            <v>4</v>
          </cell>
          <cell r="F16">
            <v>6</v>
          </cell>
          <cell r="G16">
            <v>4</v>
          </cell>
          <cell r="H16">
            <v>3</v>
          </cell>
          <cell r="I16">
            <v>5</v>
          </cell>
          <cell r="J16">
            <v>7</v>
          </cell>
          <cell r="K16">
            <v>5</v>
          </cell>
          <cell r="L16">
            <v>6</v>
          </cell>
          <cell r="M16">
            <v>6</v>
          </cell>
        </row>
        <row r="17">
          <cell r="C17">
            <v>5</v>
          </cell>
          <cell r="D17">
            <v>12</v>
          </cell>
          <cell r="E17">
            <v>5</v>
          </cell>
          <cell r="F17">
            <v>7</v>
          </cell>
          <cell r="G17">
            <v>4</v>
          </cell>
          <cell r="H17">
            <v>4</v>
          </cell>
          <cell r="I17">
            <v>2</v>
          </cell>
          <cell r="J17">
            <v>6</v>
          </cell>
          <cell r="K17">
            <v>6</v>
          </cell>
          <cell r="L17">
            <v>7</v>
          </cell>
          <cell r="M17">
            <v>7</v>
          </cell>
        </row>
        <row r="18">
          <cell r="C18">
            <v>7</v>
          </cell>
          <cell r="D18">
            <v>10</v>
          </cell>
          <cell r="E18">
            <v>6</v>
          </cell>
          <cell r="F18">
            <v>7</v>
          </cell>
          <cell r="G18">
            <v>2</v>
          </cell>
          <cell r="H18">
            <v>3</v>
          </cell>
          <cell r="I18">
            <v>4</v>
          </cell>
          <cell r="J18">
            <v>7</v>
          </cell>
          <cell r="K18">
            <v>5</v>
          </cell>
          <cell r="L18">
            <v>7</v>
          </cell>
          <cell r="M18">
            <v>6</v>
          </cell>
        </row>
        <row r="19">
          <cell r="C19">
            <v>4</v>
          </cell>
          <cell r="D19">
            <v>9</v>
          </cell>
          <cell r="E19">
            <v>5</v>
          </cell>
          <cell r="F19">
            <v>7</v>
          </cell>
          <cell r="G19">
            <v>2</v>
          </cell>
          <cell r="H19">
            <v>3</v>
          </cell>
          <cell r="I19">
            <v>2</v>
          </cell>
          <cell r="J19">
            <v>7</v>
          </cell>
          <cell r="K19">
            <v>7</v>
          </cell>
          <cell r="L19">
            <v>7</v>
          </cell>
          <cell r="M19">
            <v>7</v>
          </cell>
        </row>
        <row r="20">
          <cell r="C20">
            <v>5</v>
          </cell>
          <cell r="D20">
            <v>13</v>
          </cell>
          <cell r="E20">
            <v>6</v>
          </cell>
          <cell r="F20">
            <v>7</v>
          </cell>
          <cell r="G20">
            <v>4</v>
          </cell>
          <cell r="H20">
            <v>4</v>
          </cell>
          <cell r="I20">
            <v>3</v>
          </cell>
          <cell r="J20">
            <v>8</v>
          </cell>
          <cell r="K20">
            <v>2</v>
          </cell>
          <cell r="L20">
            <v>6</v>
          </cell>
          <cell r="M20">
            <v>6</v>
          </cell>
        </row>
        <row r="21">
          <cell r="C21">
            <v>6</v>
          </cell>
          <cell r="D21">
            <v>11</v>
          </cell>
          <cell r="E21">
            <v>6</v>
          </cell>
          <cell r="F21">
            <v>7</v>
          </cell>
          <cell r="G21">
            <v>2</v>
          </cell>
          <cell r="H21">
            <v>3</v>
          </cell>
          <cell r="I21">
            <v>3</v>
          </cell>
          <cell r="J21">
            <v>8</v>
          </cell>
          <cell r="K21">
            <v>7</v>
          </cell>
          <cell r="L21">
            <v>5</v>
          </cell>
          <cell r="M21">
            <v>7</v>
          </cell>
        </row>
        <row r="22">
          <cell r="C22">
            <v>7</v>
          </cell>
          <cell r="D22">
            <v>11</v>
          </cell>
          <cell r="E22">
            <v>7</v>
          </cell>
          <cell r="F22">
            <v>9</v>
          </cell>
          <cell r="G22">
            <v>2</v>
          </cell>
          <cell r="H22">
            <v>2</v>
          </cell>
          <cell r="I22">
            <v>4</v>
          </cell>
          <cell r="J22">
            <v>7</v>
          </cell>
          <cell r="K22">
            <v>8</v>
          </cell>
          <cell r="L22">
            <v>5</v>
          </cell>
          <cell r="M22">
            <v>7</v>
          </cell>
        </row>
        <row r="23">
          <cell r="C23">
            <v>6</v>
          </cell>
          <cell r="D23">
            <v>10</v>
          </cell>
          <cell r="E23">
            <v>7</v>
          </cell>
          <cell r="F23">
            <v>8</v>
          </cell>
          <cell r="G23">
            <v>4</v>
          </cell>
          <cell r="H23">
            <v>4</v>
          </cell>
          <cell r="I23">
            <v>4</v>
          </cell>
          <cell r="J23">
            <v>6</v>
          </cell>
          <cell r="K23">
            <v>8</v>
          </cell>
          <cell r="L23">
            <v>6</v>
          </cell>
          <cell r="M23">
            <v>7</v>
          </cell>
        </row>
        <row r="24">
          <cell r="C24">
            <v>6</v>
          </cell>
          <cell r="D24">
            <v>10</v>
          </cell>
          <cell r="E24">
            <v>7</v>
          </cell>
          <cell r="F24">
            <v>7</v>
          </cell>
          <cell r="G24">
            <v>4</v>
          </cell>
          <cell r="H24">
            <v>3</v>
          </cell>
          <cell r="I24">
            <v>4</v>
          </cell>
          <cell r="J24">
            <v>6</v>
          </cell>
          <cell r="K24">
            <v>8</v>
          </cell>
          <cell r="L24">
            <v>6</v>
          </cell>
          <cell r="M24">
            <v>7</v>
          </cell>
        </row>
        <row r="25">
          <cell r="C25">
            <v>7</v>
          </cell>
          <cell r="D25">
            <v>10</v>
          </cell>
          <cell r="E25">
            <v>7</v>
          </cell>
          <cell r="F25">
            <v>8</v>
          </cell>
          <cell r="G25">
            <v>2</v>
          </cell>
          <cell r="H25">
            <v>3</v>
          </cell>
          <cell r="I25">
            <v>2</v>
          </cell>
          <cell r="J25">
            <v>7</v>
          </cell>
          <cell r="K25">
            <v>6</v>
          </cell>
          <cell r="L25">
            <v>7</v>
          </cell>
          <cell r="M25">
            <v>6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0" workbookViewId="0">
      <selection activeCell="B17" sqref="B17"/>
    </sheetView>
  </sheetViews>
  <sheetFormatPr defaultRowHeight="14.4"/>
  <cols>
    <col min="1" max="1" width="18.6640625" bestFit="1" customWidth="1"/>
    <col min="2" max="3" width="18.6640625" style="126" customWidth="1"/>
    <col min="4" max="4" width="17.5546875" bestFit="1" customWidth="1"/>
    <col min="5" max="6" width="15.33203125" bestFit="1" customWidth="1"/>
    <col min="7" max="7" width="17" style="126" customWidth="1"/>
  </cols>
  <sheetData>
    <row r="1" spans="1:8" ht="28.8">
      <c r="A1" s="217" t="s">
        <v>286</v>
      </c>
      <c r="B1" s="217" t="s">
        <v>287</v>
      </c>
      <c r="C1" s="217" t="s">
        <v>288</v>
      </c>
      <c r="D1" s="218" t="s">
        <v>192</v>
      </c>
      <c r="E1" s="218" t="s">
        <v>193</v>
      </c>
      <c r="F1" s="218" t="s">
        <v>194</v>
      </c>
      <c r="G1" s="235" t="s">
        <v>307</v>
      </c>
      <c r="H1" s="231" t="s">
        <v>276</v>
      </c>
    </row>
    <row r="2" spans="1:8">
      <c r="A2" s="217" t="s">
        <v>160</v>
      </c>
      <c r="B2" s="217" t="s">
        <v>289</v>
      </c>
      <c r="C2" s="217" t="s">
        <v>290</v>
      </c>
      <c r="D2" s="219">
        <f>'1. Initial Review Scores'!O4</f>
        <v>81.177777777777777</v>
      </c>
      <c r="E2" s="219">
        <f>'2. Finalists Review Scores'!K11</f>
        <v>86.190476190476204</v>
      </c>
      <c r="F2" s="220">
        <f>'3. Final Award Request'!C2</f>
        <v>3831143</v>
      </c>
      <c r="G2" s="228">
        <v>3831143</v>
      </c>
      <c r="H2" t="s">
        <v>279</v>
      </c>
    </row>
    <row r="3" spans="1:8">
      <c r="A3" s="217" t="s">
        <v>11</v>
      </c>
      <c r="B3" s="217" t="s">
        <v>291</v>
      </c>
      <c r="C3" s="236" t="s">
        <v>292</v>
      </c>
      <c r="D3" s="219">
        <f>'1. Initial Review Scores'!O11</f>
        <v>79.27000000000001</v>
      </c>
      <c r="E3" s="219">
        <f>'2. Finalists Review Scores'!K22</f>
        <v>80.476190476190482</v>
      </c>
      <c r="F3" s="220">
        <f>'3. Final Award Request'!C16</f>
        <v>2115131</v>
      </c>
      <c r="G3" s="228">
        <v>6674286</v>
      </c>
      <c r="H3" t="s">
        <v>282</v>
      </c>
    </row>
    <row r="4" spans="1:8">
      <c r="A4" s="217" t="s">
        <v>121</v>
      </c>
      <c r="B4" s="217" t="s">
        <v>293</v>
      </c>
      <c r="C4" s="236" t="s">
        <v>294</v>
      </c>
      <c r="D4" s="219">
        <f>'1. Initial Review Scores'!O12</f>
        <v>77.95</v>
      </c>
      <c r="E4" s="219">
        <f>'2. Finalists Review Scores'!K34</f>
        <v>83.877551020408177</v>
      </c>
      <c r="F4" s="220">
        <f>'3. Final Award Request'!C22</f>
        <v>1468258</v>
      </c>
      <c r="G4" s="228">
        <v>2115131</v>
      </c>
      <c r="H4" t="s">
        <v>281</v>
      </c>
    </row>
    <row r="5" spans="1:8">
      <c r="A5" s="217" t="s">
        <v>190</v>
      </c>
      <c r="B5" s="217" t="s">
        <v>295</v>
      </c>
      <c r="C5" s="237" t="s">
        <v>296</v>
      </c>
      <c r="D5" s="219">
        <f>'1. Initial Review Scores'!O13</f>
        <v>76.0625</v>
      </c>
      <c r="E5" s="219">
        <f>'2. Finalists Review Scores'!K45</f>
        <v>58.809523809523803</v>
      </c>
      <c r="F5" s="220">
        <f>'3. Final Award Request'!C31</f>
        <v>6674286.2999999998</v>
      </c>
      <c r="G5" s="228">
        <v>1468258</v>
      </c>
      <c r="H5" t="s">
        <v>278</v>
      </c>
    </row>
    <row r="6" spans="1:8">
      <c r="A6" s="217" t="s">
        <v>123</v>
      </c>
      <c r="B6" s="217" t="s">
        <v>297</v>
      </c>
      <c r="C6" s="236" t="s">
        <v>298</v>
      </c>
      <c r="D6" s="219">
        <f>'1. Initial Review Scores'!O17</f>
        <v>77.811111111111103</v>
      </c>
      <c r="E6" s="219">
        <f>'2. Finalists Review Scores'!K56</f>
        <v>84.761904761904773</v>
      </c>
      <c r="F6" s="220">
        <f>'3. Final Award Request'!C46</f>
        <v>7950316</v>
      </c>
      <c r="G6" s="228">
        <v>7663683</v>
      </c>
      <c r="H6" t="s">
        <v>277</v>
      </c>
    </row>
    <row r="7" spans="1:8">
      <c r="A7" s="217" t="s">
        <v>124</v>
      </c>
      <c r="B7" s="217" t="s">
        <v>299</v>
      </c>
      <c r="C7" s="217" t="s">
        <v>300</v>
      </c>
      <c r="D7" s="219">
        <f>'1. Initial Review Scores'!O20</f>
        <v>73.075000000000003</v>
      </c>
      <c r="E7" s="219">
        <f>'2. Finalists Review Scores'!K66</f>
        <v>80.857142857142861</v>
      </c>
      <c r="F7" s="220">
        <f>'3. Final Award Request'!C52</f>
        <v>1882870</v>
      </c>
      <c r="G7" s="228">
        <v>1882870</v>
      </c>
      <c r="H7" t="s">
        <v>283</v>
      </c>
    </row>
    <row r="8" spans="1:8">
      <c r="A8" s="217" t="s">
        <v>157</v>
      </c>
      <c r="B8" s="217" t="s">
        <v>301</v>
      </c>
      <c r="C8" s="246" t="s">
        <v>302</v>
      </c>
      <c r="D8" s="247"/>
      <c r="E8" s="219">
        <f>'2. Finalists Review Scores'!K78</f>
        <v>76.938775510204081</v>
      </c>
      <c r="F8" s="220">
        <f>'3. Final Award Request'!C57</f>
        <v>3100000</v>
      </c>
      <c r="G8" s="228">
        <v>3100000</v>
      </c>
      <c r="H8" t="s">
        <v>280</v>
      </c>
    </row>
    <row r="9" spans="1:8">
      <c r="A9" s="217" t="s">
        <v>191</v>
      </c>
      <c r="B9" s="217" t="s">
        <v>303</v>
      </c>
      <c r="C9" s="246" t="s">
        <v>304</v>
      </c>
      <c r="D9" s="247"/>
      <c r="E9" s="219">
        <f>'2. Finalists Review Scores'!K89</f>
        <v>82.142857142857153</v>
      </c>
      <c r="F9" s="220">
        <f>'3. Final Award Request'!C61</f>
        <v>1147000</v>
      </c>
      <c r="G9" s="228">
        <v>1147000</v>
      </c>
      <c r="H9" t="s">
        <v>283</v>
      </c>
    </row>
    <row r="10" spans="1:8" ht="15" thickBot="1">
      <c r="A10" s="222" t="s">
        <v>158</v>
      </c>
      <c r="B10" s="222" t="s">
        <v>305</v>
      </c>
      <c r="C10" s="236" t="s">
        <v>306</v>
      </c>
      <c r="D10" s="223">
        <f>'1. Initial Review Scores'!O24</f>
        <v>72.05</v>
      </c>
      <c r="E10" s="223">
        <f>'2. Finalists Review Scores'!K101</f>
        <v>84.897959183673464</v>
      </c>
      <c r="F10" s="224">
        <f>'3. Final Award Request'!C65</f>
        <v>2692475</v>
      </c>
      <c r="G10" s="228">
        <v>2692475</v>
      </c>
      <c r="H10" t="s">
        <v>277</v>
      </c>
    </row>
    <row r="11" spans="1:8">
      <c r="A11" s="104"/>
      <c r="B11" s="104"/>
      <c r="C11" s="104"/>
      <c r="D11" s="104"/>
      <c r="E11" s="104"/>
      <c r="F11" s="221">
        <f>SUM(F2:F10)</f>
        <v>30861479.300000001</v>
      </c>
      <c r="G11" s="228">
        <f>SUM(G2:G10)</f>
        <v>30574846</v>
      </c>
    </row>
    <row r="13" spans="1:8">
      <c r="A13" s="184" t="s">
        <v>148</v>
      </c>
      <c r="B13" s="184" t="s">
        <v>285</v>
      </c>
      <c r="C13" s="216"/>
    </row>
    <row r="14" spans="1:8">
      <c r="A14" t="s">
        <v>130</v>
      </c>
      <c r="B14" s="46">
        <v>2203496</v>
      </c>
      <c r="C14" s="46"/>
    </row>
    <row r="15" spans="1:8">
      <c r="A15" t="s">
        <v>164</v>
      </c>
      <c r="B15" s="46">
        <v>1627647</v>
      </c>
      <c r="C15" s="46">
        <f>B14+B15</f>
        <v>3831143</v>
      </c>
    </row>
    <row r="16" spans="1:8">
      <c r="A16" t="s">
        <v>16</v>
      </c>
      <c r="B16" s="46">
        <v>559972</v>
      </c>
      <c r="C16" s="46"/>
      <c r="E16" s="83"/>
    </row>
    <row r="17" spans="1:3">
      <c r="A17" t="s">
        <v>131</v>
      </c>
      <c r="B17" s="46">
        <f>3443930+672</f>
        <v>3444602</v>
      </c>
      <c r="C17" s="46"/>
    </row>
    <row r="18" spans="1:3">
      <c r="A18" t="s">
        <v>46</v>
      </c>
      <c r="B18" s="46">
        <v>774884</v>
      </c>
      <c r="C18" s="46"/>
    </row>
    <row r="19" spans="1:3">
      <c r="A19" t="s">
        <v>133</v>
      </c>
      <c r="B19" s="46">
        <v>473874</v>
      </c>
      <c r="C19" s="46"/>
    </row>
    <row r="20" spans="1:3">
      <c r="A20" t="s">
        <v>132</v>
      </c>
      <c r="B20" s="46">
        <v>1205375</v>
      </c>
      <c r="C20" s="46">
        <v>6674286</v>
      </c>
    </row>
    <row r="21" spans="1:3">
      <c r="A21" t="s">
        <v>134</v>
      </c>
      <c r="B21" s="46">
        <v>215579</v>
      </c>
      <c r="C21" s="46">
        <f>SUM(B16:B21)</f>
        <v>6674286</v>
      </c>
    </row>
    <row r="22" spans="1:3">
      <c r="A22" t="s">
        <v>11</v>
      </c>
      <c r="B22" s="46">
        <v>2115131</v>
      </c>
      <c r="C22" s="46">
        <f>C20-C21</f>
        <v>0</v>
      </c>
    </row>
    <row r="23" spans="1:3">
      <c r="A23" t="s">
        <v>121</v>
      </c>
      <c r="B23" s="46">
        <v>1468258</v>
      </c>
      <c r="C23" s="46"/>
    </row>
    <row r="24" spans="1:3">
      <c r="A24" t="s">
        <v>56</v>
      </c>
      <c r="B24" s="232">
        <v>2228020</v>
      </c>
      <c r="C24" s="232"/>
    </row>
    <row r="25" spans="1:3">
      <c r="A25" t="s">
        <v>146</v>
      </c>
      <c r="B25" s="46">
        <v>1230145</v>
      </c>
      <c r="C25" s="46"/>
    </row>
    <row r="26" spans="1:3">
      <c r="A26" t="s">
        <v>136</v>
      </c>
      <c r="B26" s="46">
        <v>818927</v>
      </c>
      <c r="C26" s="46"/>
    </row>
    <row r="27" spans="1:3">
      <c r="A27" t="s">
        <v>137</v>
      </c>
      <c r="B27" s="46">
        <v>1263046</v>
      </c>
      <c r="C27" s="46"/>
    </row>
    <row r="28" spans="1:3">
      <c r="A28" t="s">
        <v>145</v>
      </c>
      <c r="B28" s="46">
        <v>1856312</v>
      </c>
      <c r="C28" s="46"/>
    </row>
    <row r="29" spans="1:3">
      <c r="A29" t="s">
        <v>135</v>
      </c>
      <c r="B29" s="199">
        <v>267233</v>
      </c>
      <c r="C29" s="199"/>
    </row>
    <row r="30" spans="1:3">
      <c r="A30" t="s">
        <v>139</v>
      </c>
      <c r="B30" s="46">
        <v>1094623</v>
      </c>
      <c r="C30" s="46"/>
    </row>
    <row r="31" spans="1:3">
      <c r="A31" t="s">
        <v>138</v>
      </c>
      <c r="B31" s="46">
        <v>788247</v>
      </c>
      <c r="C31" s="46"/>
    </row>
    <row r="32" spans="1:3">
      <c r="A32" t="s">
        <v>140</v>
      </c>
      <c r="B32" s="46">
        <v>1033333.3333333334</v>
      </c>
      <c r="C32" s="46"/>
    </row>
    <row r="33" spans="1:3">
      <c r="A33" t="s">
        <v>64</v>
      </c>
      <c r="B33" s="46">
        <v>1033333.3333333334</v>
      </c>
      <c r="C33" s="46"/>
    </row>
    <row r="34" spans="1:3">
      <c r="A34" t="s">
        <v>141</v>
      </c>
      <c r="B34" s="46">
        <v>1033333.3333333334</v>
      </c>
      <c r="C34" s="46"/>
    </row>
    <row r="35" spans="1:3">
      <c r="A35" t="s">
        <v>144</v>
      </c>
      <c r="B35" s="46">
        <v>1147000</v>
      </c>
      <c r="C35" s="46"/>
    </row>
    <row r="36" spans="1:3">
      <c r="A36" t="s">
        <v>143</v>
      </c>
      <c r="B36" s="46">
        <v>494005</v>
      </c>
      <c r="C36" s="46"/>
    </row>
    <row r="37" spans="1:3">
      <c r="A37" t="s">
        <v>142</v>
      </c>
      <c r="B37" s="46">
        <v>734447</v>
      </c>
      <c r="C37" s="46"/>
    </row>
    <row r="38" spans="1:3">
      <c r="A38" t="s">
        <v>22</v>
      </c>
      <c r="B38" s="199">
        <v>1464022.9973513253</v>
      </c>
      <c r="C38" s="226"/>
    </row>
    <row r="39" spans="1:3">
      <c r="B39" s="46">
        <f>SUM(B14:B38)</f>
        <v>30574845.997351322</v>
      </c>
      <c r="C39" s="46"/>
    </row>
    <row r="40" spans="1:3">
      <c r="B40" s="83"/>
    </row>
  </sheetData>
  <mergeCells count="2">
    <mergeCell ref="C8:D8"/>
    <mergeCell ref="C9:D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42" sqref="J42"/>
    </sheetView>
  </sheetViews>
  <sheetFormatPr defaultColWidth="9.109375" defaultRowHeight="13.8"/>
  <cols>
    <col min="1" max="1" width="3" style="127" customWidth="1"/>
    <col min="2" max="2" width="20.109375" style="127" customWidth="1"/>
    <col min="3" max="3" width="11.109375" style="127" customWidth="1"/>
    <col min="4" max="4" width="13.6640625" style="127" customWidth="1"/>
    <col min="5" max="5" width="12.33203125" style="127" customWidth="1"/>
    <col min="6" max="6" width="12.44140625" style="127" customWidth="1"/>
    <col min="7" max="7" width="13.33203125" style="127" customWidth="1"/>
    <col min="8" max="8" width="13.6640625" style="127" customWidth="1"/>
    <col min="9" max="9" width="14" style="127" customWidth="1"/>
    <col min="10" max="11" width="12.33203125" style="127" customWidth="1"/>
    <col min="12" max="12" width="14" style="127" customWidth="1"/>
    <col min="13" max="13" width="12.6640625" style="127" customWidth="1"/>
    <col min="14" max="14" width="8" style="127" customWidth="1"/>
    <col min="15" max="15" width="10.6640625" style="127" customWidth="1"/>
    <col min="16" max="16384" width="9.109375" style="127"/>
  </cols>
  <sheetData>
    <row r="1" spans="1:16" ht="24" customHeight="1">
      <c r="A1" s="252" t="s">
        <v>0</v>
      </c>
      <c r="B1" s="253"/>
      <c r="C1" s="254" t="s">
        <v>183</v>
      </c>
      <c r="D1" s="255"/>
      <c r="E1" s="255"/>
      <c r="F1" s="255"/>
      <c r="G1" s="4"/>
      <c r="H1" s="1"/>
      <c r="I1" s="1"/>
      <c r="J1" s="1"/>
      <c r="K1" s="1"/>
      <c r="L1" s="1"/>
      <c r="M1" s="1"/>
      <c r="N1" s="1"/>
    </row>
    <row r="2" spans="1:16" ht="12.75" customHeight="1">
      <c r="A2" s="256" t="s">
        <v>2</v>
      </c>
      <c r="B2" s="256"/>
      <c r="C2" s="257" t="s">
        <v>26</v>
      </c>
      <c r="D2" s="259" t="s">
        <v>84</v>
      </c>
      <c r="E2" s="259" t="s">
        <v>27</v>
      </c>
      <c r="F2" s="250" t="s">
        <v>28</v>
      </c>
      <c r="G2" s="250" t="s">
        <v>29</v>
      </c>
      <c r="H2" s="248" t="s">
        <v>30</v>
      </c>
      <c r="I2" s="248" t="s">
        <v>31</v>
      </c>
      <c r="J2" s="248" t="s">
        <v>32</v>
      </c>
      <c r="K2" s="248" t="s">
        <v>33</v>
      </c>
      <c r="L2" s="250" t="s">
        <v>34</v>
      </c>
      <c r="M2" s="248" t="s">
        <v>35</v>
      </c>
      <c r="N2" s="248" t="s">
        <v>1</v>
      </c>
      <c r="O2" s="249" t="s">
        <v>184</v>
      </c>
    </row>
    <row r="3" spans="1:16" ht="38.25" customHeight="1">
      <c r="A3" s="256"/>
      <c r="B3" s="256"/>
      <c r="C3" s="258"/>
      <c r="D3" s="260"/>
      <c r="E3" s="260"/>
      <c r="F3" s="251"/>
      <c r="G3" s="251"/>
      <c r="H3" s="248"/>
      <c r="I3" s="248"/>
      <c r="J3" s="248"/>
      <c r="K3" s="248"/>
      <c r="L3" s="251"/>
      <c r="M3" s="248"/>
      <c r="N3" s="248"/>
      <c r="O3" s="249"/>
    </row>
    <row r="4" spans="1:16" ht="30" customHeight="1">
      <c r="A4" s="212">
        <v>1</v>
      </c>
      <c r="B4" s="213" t="s">
        <v>4</v>
      </c>
      <c r="C4" s="214">
        <f>[2]Guterman!C4+[2]Perman!C4+[2]Tildon!C4+[2]Luckner!C4+[2]Feeney!C4+[2]Boutwell!C4+[2]Schuster!C4+[2]Zumbrum!C4+[2]Ports!C4+[2]Martin!C4</f>
        <v>75.5</v>
      </c>
      <c r="D4" s="214">
        <f>[2]Guterman!D4+[2]Perman!D4+[2]Tildon!D4+[2]Luckner!D4+[2]Feeney!D4+[2]Boutwell!D4+[2]Schuster!D4+[2]Zumbrum!D4+[2]Ports!D4+[2]Martin!D4</f>
        <v>141.6</v>
      </c>
      <c r="E4" s="214">
        <f>[2]Guterman!E4+[2]Perman!E4+[2]Tildon!E4+[2]Luckner!E4+[2]Feeney!E4+[2]Boutwell!E4+[2]Schuster!E4+[2]Zumbrum!E4+[2]Ports!E4+[2]Martin!E4</f>
        <v>74</v>
      </c>
      <c r="F4" s="214">
        <f>[2]Guterman!F4+[2]Perman!F4+[2]Tildon!F4+[2]Luckner!F4+[2]Feeney!F4+[2]Boutwell!F4+[2]Schuster!F4+[2]Zumbrum!F4+[2]Ports!F4+[2]Martin!F4</f>
        <v>62</v>
      </c>
      <c r="G4" s="214">
        <f>[2]Guterman!G4+[2]Perman!G4+[2]Tildon!G4+[2]Luckner!G4+[2]Feeney!G4+[2]Boutwell!G4+[2]Schuster!G4+[2]Zumbrum!G4+[2]Ports!G4+[2]Martin!G4</f>
        <v>33</v>
      </c>
      <c r="H4" s="214">
        <f>[2]Guterman!H4+[2]Perman!H4+[2]Tildon!H4+[2]Luckner!H4+[2]Feeney!H4+[2]Boutwell!H4+[2]Schuster!H4+[2]Zumbrum!H4+[2]Ports!H4+[2]Martin!H4</f>
        <v>35</v>
      </c>
      <c r="I4" s="214">
        <f>[2]Guterman!I4+[2]Perman!I4+[2]Tildon!I4+[2]Luckner!I4+[2]Feeney!I4+[2]Boutwell!I4+[2]Schuster!I4+[2]Zumbrum!I4+[2]Ports!I4+[2]Martin!I4</f>
        <v>42</v>
      </c>
      <c r="J4" s="214">
        <f>[2]Guterman!J4+[2]Perman!J4+[2]Tildon!J4+[2]Luckner!J4+[2]Feeney!J4+[2]Boutwell!J4+[2]Schuster!J4+[2]Zumbrum!J4+[2]Ports!J4+[2]Martin!J4</f>
        <v>68</v>
      </c>
      <c r="K4" s="214">
        <f>[2]Guterman!K4+[2]Perman!K4+[2]Tildon!K4+[2]Luckner!K4+[2]Feeney!K4+[2]Boutwell!K4+[2]Schuster!K4+[2]Zumbrum!K4+[2]Ports!K4+[2]Martin!K4</f>
        <v>64.5</v>
      </c>
      <c r="L4" s="214">
        <f>[2]Guterman!L4+[2]Perman!L4+[2]Tildon!L4+[2]Luckner!L4+[2]Feeney!L4+[2]Boutwell!L4+[2]Schuster!L4+[2]Zumbrum!L4+[2]Ports!L4+[2]Martin!L4</f>
        <v>70</v>
      </c>
      <c r="M4" s="214">
        <f>[2]Guterman!M4+[2]Perman!M4+[2]Tildon!M4+[2]Luckner!M4+[2]Feeney!M4+[2]Boutwell!M4+[2]Schuster!M4+[2]Zumbrum!M4+[2]Ports!M4+[2]Martin!M4</f>
        <v>65</v>
      </c>
      <c r="N4" s="214">
        <f>[2]Guterman!N4+[2]Perman!N4+[2]Tildon!N4+[2]Luckner!N4+[2]Feeney!N4+[2]Boutwell!N4+[2]Schuster!N4+[2]Zumbrum!N4+[2]Ports!N4+[2]Martin!N4</f>
        <v>730.6</v>
      </c>
      <c r="O4" s="215">
        <f>N4/9</f>
        <v>81.177777777777777</v>
      </c>
    </row>
    <row r="5" spans="1:16" ht="30" hidden="1" customHeight="1">
      <c r="A5" s="212">
        <v>2</v>
      </c>
      <c r="B5" s="213" t="s">
        <v>5</v>
      </c>
      <c r="C5" s="214">
        <f>[2]Guterman!C5+[2]Perman!C5+[2]Tildon!C5+[2]Luckner!C5+[2]Feeney!C5+[2]Boutwell!C5+[2]Schuster!C5+[2]Zumbrum!C5+[2]Ports!C5+[2]Martin!C5</f>
        <v>64</v>
      </c>
      <c r="D5" s="214">
        <f>[2]Guterman!D5+[2]Perman!D5+[2]Tildon!D5+[2]Luckner!D5+[2]Feeney!D5+[2]Boutwell!D5+[2]Schuster!D5+[2]Zumbrum!D5+[2]Ports!D5+[2]Martin!D5</f>
        <v>110</v>
      </c>
      <c r="E5" s="214">
        <f>[2]Guterman!E5+[2]Perman!E5+[2]Tildon!E5+[2]Luckner!E5+[2]Feeney!E5+[2]Boutwell!E5+[2]Schuster!E5+[2]Zumbrum!E5+[2]Ports!E5+[2]Martin!E5</f>
        <v>60</v>
      </c>
      <c r="F5" s="214">
        <f>[2]Guterman!F5+[2]Perman!F5+[2]Tildon!F5+[2]Luckner!F5+[2]Feeney!F5+[2]Boutwell!F5+[2]Schuster!F5+[2]Zumbrum!F5+[2]Ports!F5+[2]Martin!F5</f>
        <v>54</v>
      </c>
      <c r="G5" s="214">
        <f>[2]Guterman!G5+[2]Perman!G5+[2]Tildon!G5+[2]Luckner!G5+[2]Feeney!G5+[2]Boutwell!G5+[2]Schuster!G5+[2]Zumbrum!G5+[2]Ports!G5+[2]Martin!G5</f>
        <v>22</v>
      </c>
      <c r="H5" s="214">
        <f>[2]Guterman!H5+[2]Perman!H5+[2]Tildon!H5+[2]Luckner!H5+[2]Feeney!H5+[2]Boutwell!H5+[2]Schuster!H5+[2]Zumbrum!H5+[2]Ports!H5+[2]Martin!H5</f>
        <v>33.5</v>
      </c>
      <c r="I5" s="214">
        <f>[2]Guterman!I5+[2]Perman!I5+[2]Tildon!I5+[2]Luckner!I5+[2]Feeney!I5+[2]Boutwell!I5+[2]Schuster!I5+[2]Zumbrum!I5+[2]Ports!I5+[2]Martin!I5</f>
        <v>25.5</v>
      </c>
      <c r="J5" s="214">
        <f>[2]Guterman!J5+[2]Perman!J5+[2]Tildon!J5+[2]Luckner!J5+[2]Feeney!J5+[2]Boutwell!J5+[2]Schuster!J5+[2]Zumbrum!J5+[2]Ports!J5+[2]Martin!J5</f>
        <v>75</v>
      </c>
      <c r="K5" s="214">
        <f>[2]Guterman!K5+[2]Perman!K5+[2]Tildon!K5+[2]Luckner!K5+[2]Feeney!K5+[2]Boutwell!K5+[2]Schuster!K5+[2]Zumbrum!K5+[2]Ports!K5+[2]Martin!K5</f>
        <v>42.5</v>
      </c>
      <c r="L5" s="214">
        <f>[2]Guterman!L5+[2]Perman!L5+[2]Tildon!L5+[2]Luckner!L5+[2]Feeney!L5+[2]Boutwell!L5+[2]Schuster!L5+[2]Zumbrum!L5+[2]Ports!L5+[2]Martin!L5</f>
        <v>48</v>
      </c>
      <c r="M5" s="214">
        <f>[2]Guterman!M5+[2]Perman!M5+[2]Tildon!M5+[2]Luckner!M5+[2]Feeney!M5+[2]Boutwell!M5+[2]Schuster!M5+[2]Zumbrum!M5+[2]Ports!M5+[2]Martin!M5</f>
        <v>65</v>
      </c>
      <c r="N5" s="212">
        <f t="shared" ref="N5:N25" si="0">SUM(C5:M5)</f>
        <v>599.5</v>
      </c>
      <c r="O5" s="215">
        <f t="shared" ref="O5:O10" si="1">N5/10</f>
        <v>59.95</v>
      </c>
    </row>
    <row r="6" spans="1:16" ht="30" hidden="1" customHeight="1">
      <c r="A6" s="212">
        <v>3</v>
      </c>
      <c r="B6" s="213" t="s">
        <v>6</v>
      </c>
      <c r="C6" s="214">
        <f>[2]Guterman!C6+[2]Perman!C6+[2]Tildon!C6+[2]Luckner!C6+[2]Feeney!C6+[2]Boutwell!C6+[2]Schuster!C6+[2]Zumbrum!C6+[2]Ports!C6+[2]Martin!C6</f>
        <v>66.5</v>
      </c>
      <c r="D6" s="214">
        <f>[2]Guterman!D6+[2]Perman!D6+[2]Tildon!D6+[2]Luckner!D6+[2]Feeney!D6+[2]Boutwell!D6+[2]Schuster!D6+[2]Zumbrum!D6+[2]Ports!D6+[2]Martin!D6</f>
        <v>102</v>
      </c>
      <c r="E6" s="214">
        <f>[2]Guterman!E6+[2]Perman!E6+[2]Tildon!E6+[2]Luckner!E6+[2]Feeney!E6+[2]Boutwell!E6+[2]Schuster!E6+[2]Zumbrum!E6+[2]Ports!E6+[2]Martin!E6</f>
        <v>65</v>
      </c>
      <c r="F6" s="214">
        <f>[2]Guterman!F6+[2]Perman!F6+[2]Tildon!F6+[2]Luckner!F6+[2]Feeney!F6+[2]Boutwell!F6+[2]Schuster!F6+[2]Zumbrum!F6+[2]Ports!F6+[2]Martin!F6</f>
        <v>40.5</v>
      </c>
      <c r="G6" s="214">
        <f>[2]Guterman!G6+[2]Perman!G6+[2]Tildon!G6+[2]Luckner!G6+[2]Feeney!G6+[2]Boutwell!G6+[2]Schuster!G6+[2]Zumbrum!G6+[2]Ports!G6+[2]Martin!G6</f>
        <v>22</v>
      </c>
      <c r="H6" s="214">
        <f>[2]Guterman!H6+[2]Perman!H6+[2]Tildon!H6+[2]Luckner!H6+[2]Feeney!H6+[2]Boutwell!H6+[2]Schuster!H6+[2]Zumbrum!H6+[2]Ports!H6+[2]Martin!H6</f>
        <v>25</v>
      </c>
      <c r="I6" s="214">
        <f>[2]Guterman!I6+[2]Perman!I6+[2]Tildon!I6+[2]Luckner!I6+[2]Feeney!I6+[2]Boutwell!I6+[2]Schuster!I6+[2]Zumbrum!I6+[2]Ports!I6+[2]Martin!I6</f>
        <v>22.5</v>
      </c>
      <c r="J6" s="214">
        <f>[2]Guterman!J6+[2]Perman!J6+[2]Tildon!J6+[2]Luckner!J6+[2]Feeney!J6+[2]Boutwell!J6+[2]Schuster!J6+[2]Zumbrum!J6+[2]Ports!J6+[2]Martin!J6</f>
        <v>57</v>
      </c>
      <c r="K6" s="214">
        <f>[2]Guterman!K6+[2]Perman!K6+[2]Tildon!K6+[2]Luckner!K6+[2]Feeney!K6+[2]Boutwell!K6+[2]Schuster!K6+[2]Zumbrum!K6+[2]Ports!K6+[2]Martin!K6</f>
        <v>47.5</v>
      </c>
      <c r="L6" s="214">
        <f>[2]Guterman!L6+[2]Perman!L6+[2]Tildon!L6+[2]Luckner!L6+[2]Feeney!L6+[2]Boutwell!L6+[2]Schuster!L6+[2]Zumbrum!L6+[2]Ports!L6+[2]Martin!L6</f>
        <v>49.5</v>
      </c>
      <c r="M6" s="214">
        <f>[2]Guterman!M6+[2]Perman!M6+[2]Tildon!M6+[2]Luckner!M6+[2]Feeney!M6+[2]Boutwell!M6+[2]Schuster!M6+[2]Zumbrum!M6+[2]Ports!M6+[2]Martin!M6</f>
        <v>45.5</v>
      </c>
      <c r="N6" s="212">
        <f t="shared" si="0"/>
        <v>543</v>
      </c>
      <c r="O6" s="215">
        <f t="shared" si="1"/>
        <v>54.3</v>
      </c>
      <c r="P6" s="3"/>
    </row>
    <row r="7" spans="1:16" ht="30" hidden="1" customHeight="1">
      <c r="A7" s="212">
        <v>4</v>
      </c>
      <c r="B7" s="213" t="s">
        <v>7</v>
      </c>
      <c r="C7" s="214">
        <f>[2]Guterman!C7+[2]Perman!C7+[2]Tildon!C7+[2]Luckner!C7+[2]Feeney!C7+[2]Boutwell!C7+[2]Schuster!C7+[2]Zumbrum!C7+[2]Ports!C7+[2]Martin!C7</f>
        <v>51</v>
      </c>
      <c r="D7" s="214">
        <f>[2]Guterman!D7+[2]Perman!D7+[2]Tildon!D7+[2]Luckner!D7+[2]Feeney!D7+[2]Boutwell!D7+[2]Schuster!D7+[2]Zumbrum!D7+[2]Ports!D7+[2]Martin!D7</f>
        <v>103</v>
      </c>
      <c r="E7" s="214">
        <f>[2]Guterman!E7+[2]Perman!E7+[2]Tildon!E7+[2]Luckner!E7+[2]Feeney!E7+[2]Boutwell!E7+[2]Schuster!E7+[2]Zumbrum!E7+[2]Ports!E7+[2]Martin!E7</f>
        <v>34</v>
      </c>
      <c r="F7" s="214">
        <f>[2]Guterman!F7+[2]Perman!F7+[2]Tildon!F7+[2]Luckner!F7+[2]Feeney!F7+[2]Boutwell!F7+[2]Schuster!F7+[2]Zumbrum!F7+[2]Ports!F7+[2]Martin!F7</f>
        <v>39</v>
      </c>
      <c r="G7" s="214">
        <v>2.5</v>
      </c>
      <c r="H7" s="214">
        <f>[2]Guterman!H7+[2]Perman!H7+[2]Tildon!H7+[2]Luckner!H7+[2]Feeney!H7+[2]Boutwell!H7+[2]Schuster!H7+[2]Zumbrum!H7+[2]Ports!H7+[2]Martin!H7</f>
        <v>36</v>
      </c>
      <c r="I7" s="214">
        <f>[2]Guterman!I7+[2]Perman!I7+[2]Tildon!I7+[2]Luckner!I7+[2]Feeney!I7+[2]Boutwell!I7+[2]Schuster!I7+[2]Zumbrum!I7+[2]Ports!I7+[2]Martin!I7</f>
        <v>25</v>
      </c>
      <c r="J7" s="214">
        <f>[2]Guterman!J7+[2]Perman!J7+[2]Tildon!J7+[2]Luckner!J7+[2]Feeney!J7+[2]Boutwell!J7+[2]Schuster!J7+[2]Zumbrum!J7+[2]Ports!J7+[2]Martin!J7</f>
        <v>58</v>
      </c>
      <c r="K7" s="214">
        <f>[2]Guterman!K7+[2]Perman!K7+[2]Tildon!K7+[2]Luckner!K7+[2]Feeney!K7+[2]Boutwell!K7+[2]Schuster!K7+[2]Zumbrum!K7+[2]Ports!K7+[2]Martin!K7</f>
        <v>49</v>
      </c>
      <c r="L7" s="214">
        <f>[2]Guterman!L7+[2]Perman!L7+[2]Tildon!L7+[2]Luckner!L7+[2]Feeney!L7+[2]Boutwell!L7+[2]Schuster!L7+[2]Zumbrum!L7+[2]Ports!L7+[2]Martin!L7</f>
        <v>49</v>
      </c>
      <c r="M7" s="214">
        <f>[2]Guterman!M7+[2]Perman!M7+[2]Tildon!M7+[2]Luckner!M7+[2]Feeney!M7+[2]Boutwell!M7+[2]Schuster!M7+[2]Zumbrum!M7+[2]Ports!M7+[2]Martin!M7</f>
        <v>53.5</v>
      </c>
      <c r="N7" s="212">
        <f t="shared" si="0"/>
        <v>500</v>
      </c>
      <c r="O7" s="215">
        <f t="shared" si="1"/>
        <v>50</v>
      </c>
    </row>
    <row r="8" spans="1:16" ht="30" hidden="1" customHeight="1">
      <c r="A8" s="212">
        <v>5</v>
      </c>
      <c r="B8" s="213" t="s">
        <v>8</v>
      </c>
      <c r="C8" s="214">
        <f>[2]Guterman!C8+[2]Perman!C8+[2]Tildon!C8+[2]Luckner!C8+[2]Feeney!C8+[2]Boutwell!C8+[2]Schuster!C8+[2]Zumbrum!C8+[2]Ports!C8+[2]Martin!C8</f>
        <v>73</v>
      </c>
      <c r="D8" s="214">
        <f>[2]Guterman!D8+[2]Perman!D8+[2]Tildon!D8+[2]Luckner!D8+[2]Feeney!D8+[2]Boutwell!D8+[2]Schuster!D8+[2]Zumbrum!D8+[2]Ports!D8+[2]Martin!D8</f>
        <v>121</v>
      </c>
      <c r="E8" s="214">
        <f>[2]Guterman!E8+[2]Perman!E8+[2]Tildon!E8+[2]Luckner!E8+[2]Feeney!E8+[2]Boutwell!E8+[2]Schuster!E8+[2]Zumbrum!E8+[2]Ports!E8+[2]Martin!E8</f>
        <v>76</v>
      </c>
      <c r="F8" s="214">
        <f>[2]Guterman!F8+[2]Perman!F8+[2]Tildon!F8+[2]Luckner!F8+[2]Feeney!F8+[2]Boutwell!F8+[2]Schuster!F8+[2]Zumbrum!F8+[2]Ports!F8+[2]Martin!F8</f>
        <v>52.5</v>
      </c>
      <c r="G8" s="214">
        <f>[2]Guterman!G8+[2]Perman!G8+[2]Tildon!G8+[2]Luckner!G8+[2]Feeney!G8+[2]Boutwell!G8+[2]Schuster!G8+[2]Zumbrum!G8+[2]Ports!G8+[2]Martin!G8</f>
        <v>22.5</v>
      </c>
      <c r="H8" s="214">
        <f>[2]Guterman!H8+[2]Perman!H8+[2]Tildon!H8+[2]Luckner!H8+[2]Feeney!H8+[2]Boutwell!H8+[2]Schuster!H8+[2]Zumbrum!H8+[2]Ports!H8+[2]Martin!H8</f>
        <v>33.5</v>
      </c>
      <c r="I8" s="214">
        <f>[2]Guterman!I8+[2]Perman!I8+[2]Tildon!I8+[2]Luckner!I8+[2]Feeney!I8+[2]Boutwell!I8+[2]Schuster!I8+[2]Zumbrum!I8+[2]Ports!I8+[2]Martin!I8</f>
        <v>36</v>
      </c>
      <c r="J8" s="214">
        <f>[2]Guterman!J8+[2]Perman!J8+[2]Tildon!J8+[2]Luckner!J8+[2]Feeney!J8+[2]Boutwell!J8+[2]Schuster!J8+[2]Zumbrum!J8+[2]Ports!J8+[2]Martin!J8</f>
        <v>61</v>
      </c>
      <c r="K8" s="214">
        <f>[2]Guterman!K8+[2]Perman!K8+[2]Tildon!K8+[2]Luckner!K8+[2]Feeney!K8+[2]Boutwell!K8+[2]Schuster!K8+[2]Zumbrum!K8+[2]Ports!K8+[2]Martin!K8</f>
        <v>48.5</v>
      </c>
      <c r="L8" s="214">
        <f>[2]Guterman!L8+[2]Perman!L8+[2]Tildon!L8+[2]Luckner!L8+[2]Feeney!L8+[2]Boutwell!L8+[2]Schuster!L8+[2]Zumbrum!L8+[2]Ports!L8+[2]Martin!L8</f>
        <v>55</v>
      </c>
      <c r="M8" s="214">
        <f>[2]Guterman!M8+[2]Perman!M8+[2]Tildon!M8+[2]Luckner!M8+[2]Feeney!M8+[2]Boutwell!M8+[2]Schuster!M8+[2]Zumbrum!M8+[2]Ports!M8+[2]Martin!M8</f>
        <v>61.5</v>
      </c>
      <c r="N8" s="212">
        <f t="shared" si="0"/>
        <v>640.5</v>
      </c>
      <c r="O8" s="215">
        <f t="shared" si="1"/>
        <v>64.05</v>
      </c>
    </row>
    <row r="9" spans="1:16" ht="30" hidden="1" customHeight="1">
      <c r="A9" s="212">
        <v>6</v>
      </c>
      <c r="B9" s="213" t="s">
        <v>9</v>
      </c>
      <c r="C9" s="214">
        <f>[2]Guterman!C9+[2]Perman!C9+[2]Tildon!C9+[2]Luckner!C9+[2]Feeney!C9+[2]Boutwell!C9+[2]Schuster!C9+[2]Zumbrum!C9+[2]Ports!C9+[2]Martin!C9</f>
        <v>26.5</v>
      </c>
      <c r="D9" s="214">
        <f>[2]Guterman!D9+[2]Perman!D9+[2]Tildon!D9+[2]Luckner!D9+[2]Feeney!D9+[2]Boutwell!D9+[2]Schuster!D9+[2]Zumbrum!D9+[2]Ports!D9+[2]Martin!D9</f>
        <v>53</v>
      </c>
      <c r="E9" s="214">
        <f>[2]Guterman!E9+[2]Perman!E9+[2]Tildon!E9+[2]Luckner!E9+[2]Feeney!E9+[2]Boutwell!E9+[2]Schuster!E9+[2]Zumbrum!E9+[2]Ports!E9+[2]Martin!E9</f>
        <v>33.5</v>
      </c>
      <c r="F9" s="214">
        <f>[2]Guterman!F9+[2]Perman!F9+[2]Tildon!F9+[2]Luckner!F9+[2]Feeney!F9+[2]Boutwell!F9+[2]Schuster!F9+[2]Zumbrum!F9+[2]Ports!F9+[2]Martin!F9</f>
        <v>22</v>
      </c>
      <c r="G9" s="214">
        <f>[2]Guterman!G9+[2]Perman!G9+[2]Tildon!G9+[2]Luckner!G9+[2]Feeney!G9+[2]Boutwell!G9+[2]Schuster!G9+[2]Zumbrum!G9+[2]Ports!G9+[2]Martin!G9</f>
        <v>14</v>
      </c>
      <c r="H9" s="214">
        <f>[2]Guterman!H9+[2]Perman!H9+[2]Tildon!H9+[2]Luckner!H9+[2]Feeney!H9+[2]Boutwell!H9+[2]Schuster!H9+[2]Zumbrum!H9+[2]Ports!H9+[2]Martin!H9</f>
        <v>19.5</v>
      </c>
      <c r="I9" s="214">
        <f>[2]Guterman!I9+[2]Perman!I9+[2]Tildon!I9+[2]Luckner!I9+[2]Feeney!I9+[2]Boutwell!I9+[2]Schuster!I9+[2]Zumbrum!I9+[2]Ports!I9+[2]Martin!I9</f>
        <v>5</v>
      </c>
      <c r="J9" s="214">
        <f>[2]Guterman!J9+[2]Perman!J9+[2]Tildon!J9+[2]Luckner!J9+[2]Feeney!J9+[2]Boutwell!J9+[2]Schuster!J9+[2]Zumbrum!J9+[2]Ports!J9+[2]Martin!J9</f>
        <v>38</v>
      </c>
      <c r="K9" s="214">
        <f>[2]Guterman!K9+[2]Perman!K9+[2]Tildon!K9+[2]Luckner!K9+[2]Feeney!K9+[2]Boutwell!K9+[2]Schuster!K9+[2]Zumbrum!K9+[2]Ports!K9+[2]Martin!K9</f>
        <v>21.5</v>
      </c>
      <c r="L9" s="214">
        <f>[2]Guterman!L9+[2]Perman!L9+[2]Tildon!L9+[2]Luckner!L9+[2]Feeney!L9+[2]Boutwell!L9+[2]Schuster!L9+[2]Zumbrum!L9+[2]Ports!L9+[2]Martin!L9</f>
        <v>28</v>
      </c>
      <c r="M9" s="214">
        <f>[2]Guterman!M9+[2]Perman!M9+[2]Tildon!M9+[2]Luckner!M9+[2]Feeney!M9+[2]Boutwell!M9+[2]Schuster!M9+[2]Zumbrum!M9+[2]Ports!M9+[2]Martin!M9</f>
        <v>37</v>
      </c>
      <c r="N9" s="212">
        <f t="shared" si="0"/>
        <v>298</v>
      </c>
      <c r="O9" s="215">
        <f t="shared" si="1"/>
        <v>29.8</v>
      </c>
    </row>
    <row r="10" spans="1:16" ht="30" hidden="1" customHeight="1">
      <c r="A10" s="212">
        <v>7</v>
      </c>
      <c r="B10" s="213" t="s">
        <v>10</v>
      </c>
      <c r="C10" s="214">
        <f>[2]Guterman!C10+[2]Perman!C10+[2]Tildon!C10+[2]Luckner!C10+[2]Feeney!C10+[2]Boutwell!C10+[2]Schuster!C10+[2]Zumbrum!C10+[2]Ports!C10+[2]Martin!C10</f>
        <v>54.5</v>
      </c>
      <c r="D10" s="214">
        <f>[2]Guterman!D10+[2]Perman!D10+[2]Tildon!D10+[2]Luckner!D10+[2]Feeney!D10+[2]Boutwell!D10+[2]Schuster!D10+[2]Zumbrum!D10+[2]Ports!D10+[2]Martin!D10</f>
        <v>99</v>
      </c>
      <c r="E10" s="214">
        <f>[2]Guterman!E10+[2]Perman!E10+[2]Tildon!E10+[2]Luckner!E10+[2]Feeney!E10+[2]Boutwell!E10+[2]Schuster!E10+[2]Zumbrum!E10+[2]Ports!E10+[2]Martin!E10</f>
        <v>65</v>
      </c>
      <c r="F10" s="214">
        <f>[2]Guterman!F10+[2]Perman!F10+[2]Tildon!F10+[2]Luckner!F10+[2]Feeney!F10+[2]Boutwell!F10+[2]Schuster!F10+[2]Zumbrum!F10+[2]Ports!F10+[2]Martin!F10</f>
        <v>65</v>
      </c>
      <c r="G10" s="214">
        <f>[2]Guterman!G10+[2]Perman!G10+[2]Tildon!G10+[2]Luckner!G10+[2]Feeney!G10+[2]Boutwell!G10+[2]Schuster!G10+[2]Zumbrum!G10+[2]Ports!G10+[2]Martin!G10</f>
        <v>28</v>
      </c>
      <c r="H10" s="214">
        <f>[2]Guterman!H10+[2]Perman!H10+[2]Tildon!H10+[2]Luckner!H10+[2]Feeney!H10+[2]Boutwell!H10+[2]Schuster!H10+[2]Zumbrum!H10+[2]Ports!H10+[2]Martin!H10</f>
        <v>37</v>
      </c>
      <c r="I10" s="214">
        <f>[2]Guterman!I10+[2]Perman!I10+[2]Tildon!I10+[2]Luckner!I10+[2]Feeney!I10+[2]Boutwell!I10+[2]Schuster!I10+[2]Zumbrum!I10+[2]Ports!I10+[2]Martin!I10</f>
        <v>32.5</v>
      </c>
      <c r="J10" s="214">
        <f>[2]Guterman!J10+[2]Perman!J10+[2]Tildon!J10+[2]Luckner!J10+[2]Feeney!J10+[2]Boutwell!J10+[2]Schuster!J10+[2]Zumbrum!J10+[2]Ports!J10+[2]Martin!J10</f>
        <v>63</v>
      </c>
      <c r="K10" s="214">
        <f>[2]Guterman!K10+[2]Perman!K10+[2]Tildon!K10+[2]Luckner!K10+[2]Feeney!K10+[2]Boutwell!K10+[2]Schuster!K10+[2]Zumbrum!K10+[2]Ports!K10+[2]Martin!K10</f>
        <v>42.5</v>
      </c>
      <c r="L10" s="214">
        <f>[2]Guterman!L10+[2]Perman!L10+[2]Tildon!L10+[2]Luckner!L10+[2]Feeney!L10+[2]Boutwell!L10+[2]Schuster!L10+[2]Zumbrum!L10+[2]Ports!L10+[2]Martin!L10</f>
        <v>53</v>
      </c>
      <c r="M10" s="214">
        <f>[2]Guterman!M10+[2]Perman!M10+[2]Tildon!M10+[2]Luckner!M10+[2]Feeney!M10+[2]Boutwell!M10+[2]Schuster!M10+[2]Zumbrum!M10+[2]Ports!M10+[2]Martin!M10</f>
        <v>51</v>
      </c>
      <c r="N10" s="212">
        <f t="shared" si="0"/>
        <v>590.5</v>
      </c>
      <c r="O10" s="215">
        <f t="shared" si="1"/>
        <v>59.05</v>
      </c>
    </row>
    <row r="11" spans="1:16" ht="30" customHeight="1">
      <c r="A11" s="212">
        <v>8</v>
      </c>
      <c r="B11" s="213" t="s">
        <v>11</v>
      </c>
      <c r="C11" s="214">
        <f>[2]Guterman!C11+[2]Perman!C11+[2]Tildon!C11+[2]Luckner!C11+[2]Feeney!C11+[2]Boutwell!C11+[2]Schuster!C11+[2]Zumbrum!C11+[2]Ports!C11+[2]Martin!C11</f>
        <v>83.5</v>
      </c>
      <c r="D11" s="214">
        <f>[2]Guterman!D11+[2]Perman!D11+[2]Tildon!D11+[2]Luckner!D11+[2]Feeney!D11+[2]Boutwell!D11+[2]Schuster!D11+[2]Zumbrum!D11+[2]Ports!D11+[2]Martin!D11</f>
        <v>160.69999999999999</v>
      </c>
      <c r="E11" s="214">
        <f>[2]Guterman!E11+[2]Perman!E11+[2]Tildon!E11+[2]Luckner!E11+[2]Feeney!E11+[2]Boutwell!E11+[2]Schuster!E11+[2]Zumbrum!E11+[2]Ports!E11+[2]Martin!E11</f>
        <v>87</v>
      </c>
      <c r="F11" s="214">
        <f>[2]Guterman!F11+[2]Perman!F11+[2]Tildon!F11+[2]Luckner!F11+[2]Feeney!F11+[2]Boutwell!F11+[2]Schuster!F11+[2]Zumbrum!F11+[2]Ports!F11+[2]Martin!F11</f>
        <v>67.5</v>
      </c>
      <c r="G11" s="214">
        <f>[2]Guterman!G11+[2]Perman!G11+[2]Tildon!G11+[2]Luckner!G11+[2]Feeney!G11+[2]Boutwell!G11+[2]Schuster!G11+[2]Zumbrum!G11+[2]Ports!G11+[2]Martin!G11</f>
        <v>35</v>
      </c>
      <c r="H11" s="214">
        <f>[2]Guterman!H11+[2]Perman!H11+[2]Tildon!H11+[2]Luckner!H11+[2]Feeney!H11+[2]Boutwell!H11+[2]Schuster!H11+[2]Zumbrum!H11+[2]Ports!H11+[2]Martin!H11</f>
        <v>40</v>
      </c>
      <c r="I11" s="214">
        <f>[2]Guterman!I11+[2]Perman!I11+[2]Tildon!I11+[2]Luckner!I11+[2]Feeney!I11+[2]Boutwell!I11+[2]Schuster!I11+[2]Zumbrum!I11+[2]Ports!I11+[2]Martin!I11</f>
        <v>36</v>
      </c>
      <c r="J11" s="214">
        <f>[2]Guterman!J11+[2]Perman!J11+[2]Tildon!J11+[2]Luckner!J11+[2]Feeney!J11+[2]Boutwell!J11+[2]Schuster!J11+[2]Zumbrum!J11+[2]Ports!J11+[2]Martin!J11</f>
        <v>76.5</v>
      </c>
      <c r="K11" s="214">
        <f>[2]Guterman!K11+[2]Perman!K11+[2]Tildon!K11+[2]Luckner!K11+[2]Feeney!K11+[2]Boutwell!K11+[2]Schuster!K11+[2]Zumbrum!K11+[2]Ports!K11+[2]Martin!K11</f>
        <v>71</v>
      </c>
      <c r="L11" s="214">
        <f>[2]Guterman!L11+[2]Perman!L11+[2]Tildon!L11+[2]Luckner!L11+[2]Feeney!L11+[2]Boutwell!L11+[2]Schuster!L11+[2]Zumbrum!L11+[2]Ports!L11+[2]Martin!L11</f>
        <v>68</v>
      </c>
      <c r="M11" s="214">
        <f>[2]Guterman!M11+[2]Perman!M11+[2]Tildon!M11+[2]Luckner!M11+[2]Feeney!M11+[2]Boutwell!M11+[2]Schuster!M11+[2]Zumbrum!M11+[2]Ports!M11+[2]Martin!M11</f>
        <v>67.5</v>
      </c>
      <c r="N11" s="212">
        <f t="shared" si="0"/>
        <v>792.7</v>
      </c>
      <c r="O11" s="215">
        <f>N11/10</f>
        <v>79.27000000000001</v>
      </c>
    </row>
    <row r="12" spans="1:16" ht="30" customHeight="1">
      <c r="A12" s="212">
        <v>9</v>
      </c>
      <c r="B12" s="213" t="s">
        <v>12</v>
      </c>
      <c r="C12" s="214">
        <f>[2]Guterman!C12+[2]Perman!C12+[2]Tildon!C12+[2]Luckner!C12+[2]Feeney!C12+[2]Boutwell!C12+[2]Schuster!C12+[2]Zumbrum!C12+[2]Ports!C12+[2]Martin!C12</f>
        <v>70</v>
      </c>
      <c r="D12" s="214">
        <f>[2]Guterman!D12+[2]Perman!D12+[2]Tildon!D12+[2]Luckner!D12+[2]Feeney!D12+[2]Boutwell!D12+[2]Schuster!D12+[2]Zumbrum!D12+[2]Ports!D12+[2]Martin!D12</f>
        <v>115.6</v>
      </c>
      <c r="E12" s="214">
        <f>[2]Guterman!E12+[2]Perman!E12+[2]Tildon!E12+[2]Luckner!E12+[2]Feeney!E12+[2]Boutwell!E12+[2]Schuster!E12+[2]Zumbrum!E12+[2]Ports!E12+[2]Martin!E12</f>
        <v>65</v>
      </c>
      <c r="F12" s="214">
        <f>[2]Guterman!F12+[2]Perman!F12+[2]Tildon!F12+[2]Luckner!F12+[2]Feeney!F12+[2]Boutwell!F12+[2]Schuster!F12+[2]Zumbrum!F12+[2]Ports!F12+[2]Martin!F12</f>
        <v>54</v>
      </c>
      <c r="G12" s="214">
        <f>[2]Guterman!G12+[2]Perman!G12+[2]Tildon!G12+[2]Luckner!G12+[2]Feeney!G12+[2]Boutwell!G12+[2]Schuster!G12+[2]Zumbrum!G12+[2]Ports!G12+[2]Martin!G12</f>
        <v>28</v>
      </c>
      <c r="H12" s="214">
        <f>[2]Guterman!H12+[2]Perman!H12+[2]Tildon!H12+[2]Luckner!H12+[2]Feeney!H12+[2]Boutwell!H12+[2]Schuster!H12+[2]Zumbrum!H12+[2]Ports!H12+[2]Martin!H12</f>
        <v>33</v>
      </c>
      <c r="I12" s="214">
        <f>[2]Guterman!I12+[2]Perman!I12+[2]Tildon!I12+[2]Luckner!I12+[2]Feeney!I12+[2]Boutwell!I12+[2]Schuster!I12+[2]Zumbrum!I12+[2]Ports!I12+[2]Martin!I12</f>
        <v>30</v>
      </c>
      <c r="J12" s="214">
        <f>[2]Guterman!J12+[2]Perman!J12+[2]Tildon!J12+[2]Luckner!J12+[2]Feeney!J12+[2]Boutwell!J12+[2]Schuster!J12+[2]Zumbrum!J12+[2]Ports!J12+[2]Martin!J12</f>
        <v>64</v>
      </c>
      <c r="K12" s="214">
        <f>[2]Guterman!K12+[2]Perman!K12+[2]Tildon!K12+[2]Luckner!K12+[2]Feeney!K12+[2]Boutwell!K12+[2]Schuster!K12+[2]Zumbrum!K12+[2]Ports!K12+[2]Martin!K12</f>
        <v>52</v>
      </c>
      <c r="L12" s="214">
        <f>[2]Guterman!L12+[2]Perman!L12+[2]Tildon!L12+[2]Luckner!L12+[2]Feeney!L12+[2]Boutwell!L12+[2]Schuster!L12+[2]Zumbrum!L12+[2]Ports!L12+[2]Martin!L12</f>
        <v>55</v>
      </c>
      <c r="M12" s="214">
        <f>[2]Guterman!M12+[2]Perman!M12+[2]Tildon!M12+[2]Luckner!M12+[2]Feeney!M12+[2]Boutwell!M12+[2]Schuster!M12+[2]Zumbrum!M12+[2]Ports!M12+[2]Martin!M12</f>
        <v>57</v>
      </c>
      <c r="N12" s="212">
        <f t="shared" si="0"/>
        <v>623.6</v>
      </c>
      <c r="O12" s="215">
        <f>N12/8</f>
        <v>77.95</v>
      </c>
    </row>
    <row r="13" spans="1:16" ht="30" customHeight="1">
      <c r="A13" s="212">
        <v>10</v>
      </c>
      <c r="B13" s="213" t="s">
        <v>13</v>
      </c>
      <c r="C13" s="214">
        <f>[2]Guterman!C13+[2]Perman!C13+[2]Tildon!C13+[2]Luckner!C13+[2]Feeney!C13+[2]Boutwell!C13+[2]Schuster!C13+[2]Zumbrum!C13+[2]Ports!C13+[2]Martin!C13</f>
        <v>66.5</v>
      </c>
      <c r="D13" s="214">
        <f>[2]Guterman!D13+[2]Perman!D13+[2]Tildon!D13+[2]Luckner!D13+[2]Feeney!D13+[2]Boutwell!D13+[2]Schuster!D13+[2]Zumbrum!D13+[2]Ports!D13+[2]Martin!D13</f>
        <v>121</v>
      </c>
      <c r="E13" s="214">
        <f>[2]Guterman!E13+[2]Perman!E13+[2]Tildon!E13+[2]Luckner!E13+[2]Feeney!E13+[2]Boutwell!E13+[2]Schuster!E13+[2]Zumbrum!E13+[2]Ports!E13+[2]Martin!E13</f>
        <v>69</v>
      </c>
      <c r="F13" s="214">
        <f>[2]Guterman!F13+[2]Perman!F13+[2]Tildon!F13+[2]Luckner!F13+[2]Feeney!F13+[2]Boutwell!F13+[2]Schuster!F13+[2]Zumbrum!F13+[2]Ports!F13+[2]Martin!F13</f>
        <v>54</v>
      </c>
      <c r="G13" s="214">
        <f>[2]Guterman!G13+[2]Perman!G13+[2]Tildon!G13+[2]Luckner!G13+[2]Feeney!G13+[2]Boutwell!G13+[2]Schuster!G13+[2]Zumbrum!G13+[2]Ports!G13+[2]Martin!G13</f>
        <v>27</v>
      </c>
      <c r="H13" s="214">
        <f>[2]Guterman!H13+[2]Perman!H13+[2]Tildon!H13+[2]Luckner!H13+[2]Feeney!H13+[2]Boutwell!H13+[2]Schuster!H13+[2]Zumbrum!H13+[2]Ports!H13+[2]Martin!H13</f>
        <v>33</v>
      </c>
      <c r="I13" s="214">
        <f>[2]Guterman!I13+[2]Perman!I13+[2]Tildon!I13+[2]Luckner!I13+[2]Feeney!I13+[2]Boutwell!I13+[2]Schuster!I13+[2]Zumbrum!I13+[2]Ports!I13+[2]Martin!I13</f>
        <v>28</v>
      </c>
      <c r="J13" s="214">
        <f>[2]Guterman!J13+[2]Perman!J13+[2]Tildon!J13+[2]Luckner!J13+[2]Feeney!J13+[2]Boutwell!J13+[2]Schuster!J13+[2]Zumbrum!J13+[2]Ports!J13+[2]Martin!J13</f>
        <v>59</v>
      </c>
      <c r="K13" s="214">
        <f>[2]Guterman!K13+[2]Perman!K13+[2]Tildon!K13+[2]Luckner!K13+[2]Feeney!K13+[2]Boutwell!K13+[2]Schuster!K13+[2]Zumbrum!K13+[2]Ports!K13+[2]Martin!K13</f>
        <v>42</v>
      </c>
      <c r="L13" s="214">
        <f>[2]Guterman!L13+[2]Perman!L13+[2]Tildon!L13+[2]Luckner!L13+[2]Feeney!L13+[2]Boutwell!L13+[2]Schuster!L13+[2]Zumbrum!L13+[2]Ports!L13+[2]Martin!L13</f>
        <v>60</v>
      </c>
      <c r="M13" s="214">
        <f>[2]Guterman!M13+[2]Perman!M13+[2]Tildon!M13+[2]Luckner!M13+[2]Feeney!M13+[2]Boutwell!M13+[2]Schuster!M13+[2]Zumbrum!M13+[2]Ports!M13+[2]Martin!M13</f>
        <v>49</v>
      </c>
      <c r="N13" s="212">
        <f t="shared" si="0"/>
        <v>608.5</v>
      </c>
      <c r="O13" s="215">
        <f>N13/8</f>
        <v>76.0625</v>
      </c>
    </row>
    <row r="14" spans="1:16" ht="30" hidden="1" customHeight="1">
      <c r="A14" s="212">
        <v>11</v>
      </c>
      <c r="B14" s="213" t="s">
        <v>14</v>
      </c>
      <c r="C14" s="214">
        <f>[2]Guterman!C14+[2]Perman!C14+[2]Tildon!C14+[2]Luckner!C14+[2]Feeney!C14+[2]Boutwell!C14+[2]Schuster!C14+[2]Zumbrum!C14+[2]Ports!C14+[2]Martin!C14</f>
        <v>78</v>
      </c>
      <c r="D14" s="214">
        <f>[2]Guterman!D14+[2]Perman!D14+[2]Tildon!D14+[2]Luckner!D14+[2]Feeney!D14+[2]Boutwell!D14+[2]Schuster!D14+[2]Zumbrum!D14+[2]Ports!D14+[2]Martin!D14</f>
        <v>130</v>
      </c>
      <c r="E14" s="214">
        <f>[2]Guterman!E14+[2]Perman!E14+[2]Tildon!E14+[2]Luckner!E14+[2]Feeney!E14+[2]Boutwell!E14+[2]Schuster!E14+[2]Zumbrum!E14+[2]Ports!E14+[2]Martin!E14</f>
        <v>83.5</v>
      </c>
      <c r="F14" s="214">
        <f>[2]Guterman!F14+[2]Perman!F14+[2]Tildon!F14+[2]Luckner!F14+[2]Feeney!F14+[2]Boutwell!F14+[2]Schuster!F14+[2]Zumbrum!F14+[2]Ports!F14+[2]Martin!F14</f>
        <v>69</v>
      </c>
      <c r="G14" s="214">
        <f>[2]Guterman!G14+[2]Perman!G14+[2]Tildon!G14+[2]Luckner!G14+[2]Feeney!G14+[2]Boutwell!G14+[2]Schuster!G14+[2]Zumbrum!G14+[2]Ports!G14+[2]Martin!G14</f>
        <v>38.200000000000003</v>
      </c>
      <c r="H14" s="214">
        <f>[2]Guterman!H14+[2]Perman!H14+[2]Tildon!H14+[2]Luckner!H14+[2]Feeney!H14+[2]Boutwell!H14+[2]Schuster!H14+[2]Zumbrum!H14+[2]Ports!H14+[2]Martin!H14</f>
        <v>41</v>
      </c>
      <c r="I14" s="214">
        <f>[2]Guterman!I14+[2]Perman!I14+[2]Tildon!I14+[2]Luckner!I14+[2]Feeney!I14+[2]Boutwell!I14+[2]Schuster!I14+[2]Zumbrum!I14+[2]Ports!I14+[2]Martin!I14</f>
        <v>36</v>
      </c>
      <c r="J14" s="214">
        <f>[2]Guterman!J14+[2]Perman!J14+[2]Tildon!J14+[2]Luckner!J14+[2]Feeney!J14+[2]Boutwell!J14+[2]Schuster!J14+[2]Zumbrum!J14+[2]Ports!J14+[2]Martin!J14</f>
        <v>75.5</v>
      </c>
      <c r="K14" s="214">
        <f>[2]Guterman!K14+[2]Perman!K14+[2]Tildon!K14+[2]Luckner!K14+[2]Feeney!K14+[2]Boutwell!K14+[2]Schuster!K14+[2]Zumbrum!K14+[2]Ports!K14+[2]Martin!K14</f>
        <v>59</v>
      </c>
      <c r="L14" s="214">
        <f>[2]Guterman!L14+[2]Perman!L14+[2]Tildon!L14+[2]Luckner!L14+[2]Feeney!L14+[2]Boutwell!L14+[2]Schuster!L14+[2]Zumbrum!L14+[2]Ports!L14+[2]Martin!L14</f>
        <v>73</v>
      </c>
      <c r="M14" s="214">
        <f>[2]Guterman!M14+[2]Perman!M14+[2]Tildon!M14+[2]Luckner!M14+[2]Feeney!M14+[2]Boutwell!M14+[2]Schuster!M14+[2]Zumbrum!M14+[2]Ports!M14+[2]Martin!M14</f>
        <v>67</v>
      </c>
      <c r="N14" s="212">
        <f t="shared" si="0"/>
        <v>750.2</v>
      </c>
      <c r="O14" s="215">
        <f t="shared" ref="O14:O25" si="2">N14/10</f>
        <v>75.02000000000001</v>
      </c>
    </row>
    <row r="15" spans="1:16" ht="30" hidden="1" customHeight="1">
      <c r="A15" s="212">
        <v>12</v>
      </c>
      <c r="B15" s="213" t="s">
        <v>15</v>
      </c>
      <c r="C15" s="214">
        <f>[2]Guterman!C15+[2]Perman!C15+[2]Tildon!C15+[2]Luckner!C15+[2]Feeney!C15+[2]Boutwell!C15+[2]Schuster!C15+[2]Zumbrum!C15+[2]Ports!C15+[2]Martin!C15</f>
        <v>62</v>
      </c>
      <c r="D15" s="214">
        <f>[2]Guterman!D15+[2]Perman!D15+[2]Tildon!D15+[2]Luckner!D15+[2]Feeney!D15+[2]Boutwell!D15+[2]Schuster!D15+[2]Zumbrum!D15+[2]Ports!D15+[2]Martin!D15</f>
        <v>124</v>
      </c>
      <c r="E15" s="214">
        <f>[2]Guterman!E15+[2]Perman!E15+[2]Tildon!E15+[2]Luckner!E15+[2]Feeney!E15+[2]Boutwell!E15+[2]Schuster!E15+[2]Zumbrum!E15+[2]Ports!E15+[2]Martin!E15</f>
        <v>74.5</v>
      </c>
      <c r="F15" s="214">
        <f>[2]Guterman!F15+[2]Perman!F15+[2]Tildon!F15+[2]Luckner!F15+[2]Feeney!F15+[2]Boutwell!F15+[2]Schuster!F15+[2]Zumbrum!F15+[2]Ports!F15+[2]Martin!F15</f>
        <v>48</v>
      </c>
      <c r="G15" s="214">
        <f>[2]Guterman!G15+[2]Perman!G15+[2]Tildon!G15+[2]Luckner!G15+[2]Feeney!G15+[2]Boutwell!G15+[2]Schuster!G15+[2]Zumbrum!G15+[2]Ports!G15+[2]Martin!G15</f>
        <v>28.4</v>
      </c>
      <c r="H15" s="214">
        <f>[2]Guterman!H15+[2]Perman!H15+[2]Tildon!H15+[2]Luckner!H15+[2]Feeney!H15+[2]Boutwell!H15+[2]Schuster!H15+[2]Zumbrum!H15+[2]Ports!H15+[2]Martin!H15</f>
        <v>32.5</v>
      </c>
      <c r="I15" s="214">
        <f>[2]Guterman!I15+[2]Perman!I15+[2]Tildon!I15+[2]Luckner!I15+[2]Feeney!I15+[2]Boutwell!I15+[2]Schuster!I15+[2]Zumbrum!I15+[2]Ports!I15+[2]Martin!I15</f>
        <v>37</v>
      </c>
      <c r="J15" s="214">
        <f>[2]Guterman!J15+[2]Perman!J15+[2]Tildon!J15+[2]Luckner!J15+[2]Feeney!J15+[2]Boutwell!J15+[2]Schuster!J15+[2]Zumbrum!J15+[2]Ports!J15+[2]Martin!J15</f>
        <v>71</v>
      </c>
      <c r="K15" s="214">
        <f>[2]Guterman!K15+[2]Perman!K15+[2]Tildon!K15+[2]Luckner!K15+[2]Feeney!K15+[2]Boutwell!K15+[2]Schuster!K15+[2]Zumbrum!K15+[2]Ports!K15+[2]Martin!K15</f>
        <v>60</v>
      </c>
      <c r="L15" s="214">
        <f>[2]Guterman!L15+[2]Perman!L15+[2]Tildon!L15+[2]Luckner!L15+[2]Feeney!L15+[2]Boutwell!L15+[2]Schuster!L15+[2]Zumbrum!L15+[2]Ports!L15+[2]Martin!L15</f>
        <v>65</v>
      </c>
      <c r="M15" s="214">
        <f>[2]Guterman!M15+[2]Perman!M15+[2]Tildon!M15+[2]Luckner!M15+[2]Feeney!M15+[2]Boutwell!M15+[2]Schuster!M15+[2]Zumbrum!M15+[2]Ports!M15+[2]Martin!M15</f>
        <v>53</v>
      </c>
      <c r="N15" s="212">
        <f t="shared" si="0"/>
        <v>655.4</v>
      </c>
      <c r="O15" s="215">
        <f t="shared" si="2"/>
        <v>65.539999999999992</v>
      </c>
    </row>
    <row r="16" spans="1:16" ht="30" hidden="1" customHeight="1">
      <c r="A16" s="212">
        <v>13</v>
      </c>
      <c r="B16" s="213" t="s">
        <v>16</v>
      </c>
      <c r="C16" s="214">
        <f>[2]Guterman!C16+[2]Perman!C16+[2]Tildon!C16+[2]Luckner!C16+[2]Feeney!C16+[2]Boutwell!C16+[2]Schuster!C16+[2]Zumbrum!C16+[2]Ports!C16+[2]Martin!C16</f>
        <v>64</v>
      </c>
      <c r="D16" s="214">
        <f>[2]Guterman!D16+[2]Perman!D16+[2]Tildon!D16+[2]Luckner!D16+[2]Feeney!D16+[2]Boutwell!D16+[2]Schuster!D16+[2]Zumbrum!D16+[2]Ports!D16+[2]Martin!D16</f>
        <v>123</v>
      </c>
      <c r="E16" s="214">
        <f>[2]Guterman!E16+[2]Perman!E16+[2]Tildon!E16+[2]Luckner!E16+[2]Feeney!E16+[2]Boutwell!E16+[2]Schuster!E16+[2]Zumbrum!E16+[2]Ports!E16+[2]Martin!E16</f>
        <v>61</v>
      </c>
      <c r="F16" s="214">
        <f>[2]Guterman!F16+[2]Perman!F16+[2]Tildon!F16+[2]Luckner!F16+[2]Feeney!F16+[2]Boutwell!F16+[2]Schuster!F16+[2]Zumbrum!F16+[2]Ports!F16+[2]Martin!F16</f>
        <v>50</v>
      </c>
      <c r="G16" s="214">
        <f>[2]Guterman!G16+[2]Perman!G16+[2]Tildon!G16+[2]Luckner!G16+[2]Feeney!G16+[2]Boutwell!G16+[2]Schuster!G16+[2]Zumbrum!G16+[2]Ports!G16+[2]Martin!G16</f>
        <v>35</v>
      </c>
      <c r="H16" s="214">
        <f>[2]Guterman!H16+[2]Perman!H16+[2]Tildon!H16+[2]Luckner!H16+[2]Feeney!H16+[2]Boutwell!H16+[2]Schuster!H16+[2]Zumbrum!H16+[2]Ports!H16+[2]Martin!H16</f>
        <v>39</v>
      </c>
      <c r="I16" s="214">
        <f>[2]Guterman!I16+[2]Perman!I16+[2]Tildon!I16+[2]Luckner!I16+[2]Feeney!I16+[2]Boutwell!I16+[2]Schuster!I16+[2]Zumbrum!I16+[2]Ports!I16+[2]Martin!I16</f>
        <v>33</v>
      </c>
      <c r="J16" s="214">
        <f>[2]Guterman!J16+[2]Perman!J16+[2]Tildon!J16+[2]Luckner!J16+[2]Feeney!J16+[2]Boutwell!J16+[2]Schuster!J16+[2]Zumbrum!J16+[2]Ports!J16+[2]Martin!J16</f>
        <v>64.5</v>
      </c>
      <c r="K16" s="214">
        <f>[2]Guterman!K16+[2]Perman!K16+[2]Tildon!K16+[2]Luckner!K16+[2]Feeney!K16+[2]Boutwell!K16+[2]Schuster!K16+[2]Zumbrum!K16+[2]Ports!K16+[2]Martin!K16</f>
        <v>56.5</v>
      </c>
      <c r="L16" s="214">
        <f>[2]Guterman!L16+[2]Perman!L16+[2]Tildon!L16+[2]Luckner!L16+[2]Feeney!L16+[2]Boutwell!L16+[2]Schuster!L16+[2]Zumbrum!L16+[2]Ports!L16+[2]Martin!L16</f>
        <v>55</v>
      </c>
      <c r="M16" s="214">
        <f>[2]Guterman!M16+[2]Perman!M16+[2]Tildon!M16+[2]Luckner!M16+[2]Feeney!M16+[2]Boutwell!M16+[2]Schuster!M16+[2]Zumbrum!M16+[2]Ports!M16+[2]Martin!M16</f>
        <v>59</v>
      </c>
      <c r="N16" s="212">
        <f t="shared" si="0"/>
        <v>640</v>
      </c>
      <c r="O16" s="215">
        <f t="shared" si="2"/>
        <v>64</v>
      </c>
    </row>
    <row r="17" spans="1:15" ht="30" customHeight="1">
      <c r="A17" s="212">
        <v>14</v>
      </c>
      <c r="B17" s="213" t="s">
        <v>3</v>
      </c>
      <c r="C17" s="214">
        <f>[2]Guterman!C17+[2]Perman!C17+[2]Tildon!C17+[2]Luckner!C17+[2]Feeney!C17+[2]Boutwell!C17+[2]Schuster!C17+[2]Zumbrum!C17+[2]Ports!C17+[2]Martin!C17</f>
        <v>68.5</v>
      </c>
      <c r="D17" s="214">
        <f>[2]Guterman!D17+[2]Perman!D17+[2]Tildon!D17+[2]Luckner!D17+[2]Feeney!D17+[2]Boutwell!D17+[2]Schuster!D17+[2]Zumbrum!D17+[2]Ports!D17+[2]Martin!D17</f>
        <v>138</v>
      </c>
      <c r="E17" s="214">
        <f>[2]Guterman!E17+[2]Perman!E17+[2]Tildon!E17+[2]Luckner!E17+[2]Feeney!E17+[2]Boutwell!E17+[2]Schuster!E17+[2]Zumbrum!E17+[2]Ports!E17+[2]Martin!E17</f>
        <v>71</v>
      </c>
      <c r="F17" s="214">
        <f>[2]Guterman!F17+[2]Perman!F17+[2]Tildon!F17+[2]Luckner!F17+[2]Feeney!F17+[2]Boutwell!F17+[2]Schuster!F17+[2]Zumbrum!F17+[2]Ports!F17+[2]Martin!F17</f>
        <v>56</v>
      </c>
      <c r="G17" s="214">
        <f>[2]Guterman!G17+[2]Perman!G17+[2]Tildon!G17+[2]Luckner!G17+[2]Feeney!G17+[2]Boutwell!G17+[2]Schuster!G17+[2]Zumbrum!G17+[2]Ports!G17+[2]Martin!G17</f>
        <v>31.8</v>
      </c>
      <c r="H17" s="214">
        <f>[2]Guterman!H17+[2]Perman!H17+[2]Tildon!H17+[2]Luckner!H17+[2]Feeney!H17+[2]Boutwell!H17+[2]Schuster!H17+[2]Zumbrum!H17+[2]Ports!H17+[2]Martin!H17</f>
        <v>40</v>
      </c>
      <c r="I17" s="214">
        <f>[2]Guterman!I17+[2]Perman!I17+[2]Tildon!I17+[2]Luckner!I17+[2]Feeney!I17+[2]Boutwell!I17+[2]Schuster!I17+[2]Zumbrum!I17+[2]Ports!I17+[2]Martin!I17</f>
        <v>34</v>
      </c>
      <c r="J17" s="214">
        <f>[2]Guterman!J17+[2]Perman!J17+[2]Tildon!J17+[2]Luckner!J17+[2]Feeney!J17+[2]Boutwell!J17+[2]Schuster!J17+[2]Zumbrum!J17+[2]Ports!J17+[2]Martin!J17</f>
        <v>70</v>
      </c>
      <c r="K17" s="214">
        <f>[2]Guterman!K17+[2]Perman!K17+[2]Tildon!K17+[2]Luckner!K17+[2]Feeney!K17+[2]Boutwell!K17+[2]Schuster!K17+[2]Zumbrum!K17+[2]Ports!K17+[2]Martin!K17</f>
        <v>60</v>
      </c>
      <c r="L17" s="214">
        <f>[2]Guterman!L17+[2]Perman!L17+[2]Tildon!L17+[2]Luckner!L17+[2]Feeney!L17+[2]Boutwell!L17+[2]Schuster!L17+[2]Zumbrum!L17+[2]Ports!L17+[2]Martin!L17</f>
        <v>67</v>
      </c>
      <c r="M17" s="214">
        <f>[2]Guterman!M17+[2]Perman!M17+[2]Tildon!M17+[2]Luckner!M17+[2]Feeney!M17+[2]Boutwell!M17+[2]Schuster!M17+[2]Zumbrum!M17+[2]Ports!M17+[2]Martin!M17</f>
        <v>64</v>
      </c>
      <c r="N17" s="212">
        <f t="shared" si="0"/>
        <v>700.3</v>
      </c>
      <c r="O17" s="215">
        <f>N17/9</f>
        <v>77.811111111111103</v>
      </c>
    </row>
    <row r="18" spans="1:15" ht="30" hidden="1" customHeight="1">
      <c r="A18" s="212">
        <v>15</v>
      </c>
      <c r="B18" s="213" t="s">
        <v>17</v>
      </c>
      <c r="C18" s="214">
        <f>[2]Guterman!C18+[2]Perman!C18+[2]Tildon!C18+[2]Luckner!C18+[2]Feeney!C18+[2]Boutwell!C18+[2]Schuster!C18+[2]Zumbrum!C18+[2]Ports!C18+[2]Martin!C18</f>
        <v>70.5</v>
      </c>
      <c r="D18" s="214">
        <f>[2]Guterman!D18+[2]Perman!D18+[2]Tildon!D18+[2]Luckner!D18+[2]Feeney!D18+[2]Boutwell!D18+[2]Schuster!D18+[2]Zumbrum!D18+[2]Ports!D18+[2]Martin!D18</f>
        <v>125.1</v>
      </c>
      <c r="E18" s="214">
        <f>[2]Guterman!E18+[2]Perman!E18+[2]Tildon!E18+[2]Luckner!E18+[2]Feeney!E18+[2]Boutwell!E18+[2]Schuster!E18+[2]Zumbrum!E18+[2]Ports!E18+[2]Martin!E18</f>
        <v>71.5</v>
      </c>
      <c r="F18" s="214">
        <f>[2]Guterman!F18+[2]Perman!F18+[2]Tildon!F18+[2]Luckner!F18+[2]Feeney!F18+[2]Boutwell!F18+[2]Schuster!F18+[2]Zumbrum!F18+[2]Ports!F18+[2]Martin!F18</f>
        <v>62</v>
      </c>
      <c r="G18" s="214">
        <f>[2]Guterman!G18+[2]Perman!G18+[2]Tildon!G18+[2]Luckner!G18+[2]Feeney!G18+[2]Boutwell!G18+[2]Schuster!G18+[2]Zumbrum!G18+[2]Ports!G18+[2]Martin!G18</f>
        <v>30.3</v>
      </c>
      <c r="H18" s="214">
        <f>[2]Guterman!H18+[2]Perman!H18+[2]Tildon!H18+[2]Luckner!H18+[2]Feeney!H18+[2]Boutwell!H18+[2]Schuster!H18+[2]Zumbrum!H18+[2]Ports!H18+[2]Martin!H18</f>
        <v>38</v>
      </c>
      <c r="I18" s="214">
        <f>[2]Guterman!I18+[2]Perman!I18+[2]Tildon!I18+[2]Luckner!I18+[2]Feeney!I18+[2]Boutwell!I18+[2]Schuster!I18+[2]Zumbrum!I18+[2]Ports!I18+[2]Martin!I18</f>
        <v>36</v>
      </c>
      <c r="J18" s="214">
        <f>[2]Guterman!J18+[2]Perman!J18+[2]Tildon!J18+[2]Luckner!J18+[2]Feeney!J18+[2]Boutwell!J18+[2]Schuster!J18+[2]Zumbrum!J18+[2]Ports!J18+[2]Martin!J18</f>
        <v>75</v>
      </c>
      <c r="K18" s="214">
        <f>[2]Guterman!K18+[2]Perman!K18+[2]Tildon!K18+[2]Luckner!K18+[2]Feeney!K18+[2]Boutwell!K18+[2]Schuster!K18+[2]Zumbrum!K18+[2]Ports!K18+[2]Martin!K18</f>
        <v>58.5</v>
      </c>
      <c r="L18" s="214">
        <f>[2]Guterman!L18+[2]Perman!L18+[2]Tildon!L18+[2]Luckner!L18+[2]Feeney!L18+[2]Boutwell!L18+[2]Schuster!L18+[2]Zumbrum!L18+[2]Ports!L18+[2]Martin!L18</f>
        <v>63</v>
      </c>
      <c r="M18" s="214">
        <f>[2]Guterman!M18+[2]Perman!M18+[2]Tildon!M18+[2]Luckner!M18+[2]Feeney!M18+[2]Boutwell!M18+[2]Schuster!M18+[2]Zumbrum!M18+[2]Ports!M18+[2]Martin!M18</f>
        <v>58</v>
      </c>
      <c r="N18" s="212">
        <f t="shared" si="0"/>
        <v>687.90000000000009</v>
      </c>
      <c r="O18" s="215">
        <f t="shared" si="2"/>
        <v>68.790000000000006</v>
      </c>
    </row>
    <row r="19" spans="1:15" ht="30" hidden="1" customHeight="1">
      <c r="A19" s="212">
        <v>16</v>
      </c>
      <c r="B19" s="213" t="s">
        <v>18</v>
      </c>
      <c r="C19" s="214">
        <f>[2]Guterman!C19+[2]Perman!C19+[2]Tildon!C19+[2]Luckner!C19+[2]Feeney!C19+[2]Boutwell!C19+[2]Schuster!C19+[2]Zumbrum!C19+[2]Ports!C19+[2]Martin!C19</f>
        <v>68.5</v>
      </c>
      <c r="D19" s="214">
        <f>[2]Guterman!D19+[2]Perman!D19+[2]Tildon!D19+[2]Luckner!D19+[2]Feeney!D19+[2]Boutwell!D19+[2]Schuster!D19+[2]Zumbrum!D19+[2]Ports!D19+[2]Martin!D19</f>
        <v>104</v>
      </c>
      <c r="E19" s="214">
        <f>[2]Guterman!E19+[2]Perman!E19+[2]Tildon!E19+[2]Luckner!E19+[2]Feeney!E19+[2]Boutwell!E19+[2]Schuster!E19+[2]Zumbrum!E19+[2]Ports!E19+[2]Martin!E19</f>
        <v>66.5</v>
      </c>
      <c r="F19" s="214">
        <f>[2]Guterman!F19+[2]Perman!F19+[2]Tildon!F19+[2]Luckner!F19+[2]Feeney!F19+[2]Boutwell!F19+[2]Schuster!F19+[2]Zumbrum!F19+[2]Ports!F19+[2]Martin!F19</f>
        <v>54</v>
      </c>
      <c r="G19" s="214">
        <f>[2]Guterman!G19+[2]Perman!G19+[2]Tildon!G19+[2]Luckner!G19+[2]Feeney!G19+[2]Boutwell!G19+[2]Schuster!G19+[2]Zumbrum!G19+[2]Ports!G19+[2]Martin!G19</f>
        <v>27.5</v>
      </c>
      <c r="H19" s="214">
        <f>[2]Guterman!H19+[2]Perman!H19+[2]Tildon!H19+[2]Luckner!H19+[2]Feeney!H19+[2]Boutwell!H19+[2]Schuster!H19+[2]Zumbrum!H19+[2]Ports!H19+[2]Martin!H19</f>
        <v>30</v>
      </c>
      <c r="I19" s="214">
        <f>[2]Guterman!I19+[2]Perman!I19+[2]Tildon!I19+[2]Luckner!I19+[2]Feeney!I19+[2]Boutwell!I19+[2]Schuster!I19+[2]Zumbrum!I19+[2]Ports!I19+[2]Martin!I19</f>
        <v>26</v>
      </c>
      <c r="J19" s="214">
        <f>[2]Guterman!J19+[2]Perman!J19+[2]Tildon!J19+[2]Luckner!J19+[2]Feeney!J19+[2]Boutwell!J19+[2]Schuster!J19+[2]Zumbrum!J19+[2]Ports!J19+[2]Martin!J19</f>
        <v>61</v>
      </c>
      <c r="K19" s="214">
        <f>[2]Guterman!K19+[2]Perman!K19+[2]Tildon!K19+[2]Luckner!K19+[2]Feeney!K19+[2]Boutwell!K19+[2]Schuster!K19+[2]Zumbrum!K19+[2]Ports!K19+[2]Martin!K19</f>
        <v>53</v>
      </c>
      <c r="L19" s="214">
        <f>[2]Guterman!L19+[2]Perman!L19+[2]Tildon!L19+[2]Luckner!L19+[2]Feeney!L19+[2]Boutwell!L19+[2]Schuster!L19+[2]Zumbrum!L19+[2]Ports!L19+[2]Martin!L19</f>
        <v>53</v>
      </c>
      <c r="M19" s="214">
        <f>[2]Guterman!M19+[2]Perman!M19+[2]Tildon!M19+[2]Luckner!M19+[2]Feeney!M19+[2]Boutwell!M19+[2]Schuster!M19+[2]Zumbrum!M19+[2]Ports!M19+[2]Martin!M19</f>
        <v>62</v>
      </c>
      <c r="N19" s="212">
        <f t="shared" si="0"/>
        <v>605.5</v>
      </c>
      <c r="O19" s="215">
        <f t="shared" si="2"/>
        <v>60.55</v>
      </c>
    </row>
    <row r="20" spans="1:15" ht="30" customHeight="1">
      <c r="A20" s="212">
        <v>17</v>
      </c>
      <c r="B20" s="213" t="s">
        <v>19</v>
      </c>
      <c r="C20" s="214">
        <f>[2]Guterman!C20+[2]Perman!C20+[2]Tildon!C20+[2]Luckner!C20+[2]Feeney!C20+[2]Boutwell!C20+[2]Schuster!C20+[2]Zumbrum!C20+[2]Ports!C20+[2]Martin!C20</f>
        <v>77.5</v>
      </c>
      <c r="D20" s="214">
        <f>[2]Guterman!D20+[2]Perman!D20+[2]Tildon!D20+[2]Luckner!D20+[2]Feeney!D20+[2]Boutwell!D20+[2]Schuster!D20+[2]Zumbrum!D20+[2]Ports!D20+[2]Martin!D20</f>
        <v>154</v>
      </c>
      <c r="E20" s="214">
        <f>[2]Guterman!E20+[2]Perman!E20+[2]Tildon!E20+[2]Luckner!E20+[2]Feeney!E20+[2]Boutwell!E20+[2]Schuster!E20+[2]Zumbrum!E20+[2]Ports!E20+[2]Martin!E20</f>
        <v>76.5</v>
      </c>
      <c r="F20" s="214">
        <f>[2]Guterman!F20+[2]Perman!F20+[2]Tildon!F20+[2]Luckner!F20+[2]Feeney!F20+[2]Boutwell!F20+[2]Schuster!F20+[2]Zumbrum!F20+[2]Ports!F20+[2]Martin!F20</f>
        <v>55.5</v>
      </c>
      <c r="G20" s="214">
        <f>[2]Guterman!G20+[2]Perman!G20+[2]Tildon!G20+[2]Luckner!G20+[2]Feeney!G20+[2]Boutwell!G20+[2]Schuster!G20+[2]Zumbrum!G20+[2]Ports!G20+[2]Martin!G20</f>
        <v>29.75</v>
      </c>
      <c r="H20" s="214">
        <f>[2]Guterman!H20+[2]Perman!H20+[2]Tildon!H20+[2]Luckner!H20+[2]Feeney!H20+[2]Boutwell!H20+[2]Schuster!H20+[2]Zumbrum!H20+[2]Ports!H20+[2]Martin!H20</f>
        <v>40</v>
      </c>
      <c r="I20" s="214">
        <f>[2]Guterman!I20+[2]Perman!I20+[2]Tildon!I20+[2]Luckner!I20+[2]Feeney!I20+[2]Boutwell!I20+[2]Schuster!I20+[2]Zumbrum!I20+[2]Ports!I20+[2]Martin!I20</f>
        <v>36</v>
      </c>
      <c r="J20" s="214">
        <f>[2]Guterman!J20+[2]Perman!J20+[2]Tildon!J20+[2]Luckner!J20+[2]Feeney!J20+[2]Boutwell!J20+[2]Schuster!J20+[2]Zumbrum!J20+[2]Ports!J20+[2]Martin!J20</f>
        <v>83.5</v>
      </c>
      <c r="K20" s="214">
        <f>[2]Guterman!K20+[2]Perman!K20+[2]Tildon!K20+[2]Luckner!K20+[2]Feeney!K20+[2]Boutwell!K20+[2]Schuster!K20+[2]Zumbrum!K20+[2]Ports!K20+[2]Martin!K20</f>
        <v>48</v>
      </c>
      <c r="L20" s="214">
        <f>[2]Guterman!L20+[2]Perman!L20+[2]Tildon!L20+[2]Luckner!L20+[2]Feeney!L20+[2]Boutwell!L20+[2]Schuster!L20+[2]Zumbrum!L20+[2]Ports!L20+[2]Martin!L20</f>
        <v>63</v>
      </c>
      <c r="M20" s="214">
        <f>[2]Guterman!M20+[2]Perman!M20+[2]Tildon!M20+[2]Luckner!M20+[2]Feeney!M20+[2]Boutwell!M20+[2]Schuster!M20+[2]Zumbrum!M20+[2]Ports!M20+[2]Martin!M20</f>
        <v>67</v>
      </c>
      <c r="N20" s="212">
        <f t="shared" si="0"/>
        <v>730.75</v>
      </c>
      <c r="O20" s="215">
        <f t="shared" si="2"/>
        <v>73.075000000000003</v>
      </c>
    </row>
    <row r="21" spans="1:15" ht="30" hidden="1" customHeight="1">
      <c r="A21" s="212">
        <v>18</v>
      </c>
      <c r="B21" s="213" t="s">
        <v>20</v>
      </c>
      <c r="C21" s="214">
        <f>[2]Guterman!C21+[2]Perman!C21+[2]Tildon!C21+[2]Luckner!C21+[2]Feeney!C21+[2]Boutwell!C21+[2]Schuster!C21+[2]Zumbrum!C21+[2]Ports!C21+[2]Martin!C21</f>
        <v>68</v>
      </c>
      <c r="D21" s="214">
        <f>[2]Guterman!D21+[2]Perman!D21+[2]Tildon!D21+[2]Luckner!D21+[2]Feeney!D21+[2]Boutwell!D21+[2]Schuster!D21+[2]Zumbrum!D21+[2]Ports!D21+[2]Martin!D21</f>
        <v>106</v>
      </c>
      <c r="E21" s="214">
        <f>[2]Guterman!E21+[2]Perman!E21+[2]Tildon!E21+[2]Luckner!E21+[2]Feeney!E21+[2]Boutwell!E21+[2]Schuster!E21+[2]Zumbrum!E21+[2]Ports!E21+[2]Martin!E21</f>
        <v>67</v>
      </c>
      <c r="F21" s="214">
        <f>[2]Guterman!F21+[2]Perman!F21+[2]Tildon!F21+[2]Luckner!F21+[2]Feeney!F21+[2]Boutwell!F21+[2]Schuster!F21+[2]Zumbrum!F21+[2]Ports!F21+[2]Martin!F21</f>
        <v>53</v>
      </c>
      <c r="G21" s="214">
        <f>[2]Guterman!G21+[2]Perman!G21+[2]Tildon!G21+[2]Luckner!G21+[2]Feeney!G21+[2]Boutwell!G21+[2]Schuster!G21+[2]Zumbrum!G21+[2]Ports!G21+[2]Martin!G21</f>
        <v>25.5</v>
      </c>
      <c r="H21" s="214">
        <f>[2]Guterman!H21+[2]Perman!H21+[2]Tildon!H21+[2]Luckner!H21+[2]Feeney!H21+[2]Boutwell!H21+[2]Schuster!H21+[2]Zumbrum!H21+[2]Ports!H21+[2]Martin!H21</f>
        <v>36</v>
      </c>
      <c r="I21" s="214">
        <f>[2]Guterman!I21+[2]Perman!I21+[2]Tildon!I21+[2]Luckner!I21+[2]Feeney!I21+[2]Boutwell!I21+[2]Schuster!I21+[2]Zumbrum!I21+[2]Ports!I21+[2]Martin!I21</f>
        <v>32</v>
      </c>
      <c r="J21" s="214">
        <f>[2]Guterman!J21+[2]Perman!J21+[2]Tildon!J21+[2]Luckner!J21+[2]Feeney!J21+[2]Boutwell!J21+[2]Schuster!J21+[2]Zumbrum!J21+[2]Ports!J21+[2]Martin!J21</f>
        <v>64</v>
      </c>
      <c r="K21" s="214">
        <f>[2]Guterman!K21+[2]Perman!K21+[2]Tildon!K21+[2]Luckner!K21+[2]Feeney!K21+[2]Boutwell!K21+[2]Schuster!K21+[2]Zumbrum!K21+[2]Ports!K21+[2]Martin!K21</f>
        <v>51</v>
      </c>
      <c r="L21" s="214">
        <f>[2]Guterman!L21+[2]Perman!L21+[2]Tildon!L21+[2]Luckner!L21+[2]Feeney!L21+[2]Boutwell!L21+[2]Schuster!L21+[2]Zumbrum!L21+[2]Ports!L21+[2]Martin!L21</f>
        <v>53</v>
      </c>
      <c r="M21" s="214">
        <f>[2]Guterman!M21+[2]Perman!M21+[2]Tildon!M21+[2]Luckner!M21+[2]Feeney!M21+[2]Boutwell!M21+[2]Schuster!M21+[2]Zumbrum!M21+[2]Ports!M21+[2]Martin!M21</f>
        <v>58</v>
      </c>
      <c r="N21" s="212">
        <f t="shared" si="0"/>
        <v>613.5</v>
      </c>
      <c r="O21" s="215">
        <f t="shared" si="2"/>
        <v>61.35</v>
      </c>
    </row>
    <row r="22" spans="1:15" ht="30" customHeight="1">
      <c r="A22" s="212">
        <v>19</v>
      </c>
      <c r="B22" s="213" t="s">
        <v>21</v>
      </c>
      <c r="C22" s="214">
        <f>[2]Guterman!C22+[2]Perman!C22+[2]Tildon!C22+[2]Luckner!C22+[2]Feeney!C22+[2]Boutwell!C22+[2]Schuster!C22+[2]Zumbrum!C22+[2]Ports!C22+[2]Martin!C22</f>
        <v>85</v>
      </c>
      <c r="D22" s="214">
        <f>[2]Guterman!D22+[2]Perman!D22+[2]Tildon!D22+[2]Luckner!D22+[2]Feeney!D22+[2]Boutwell!D22+[2]Schuster!D22+[2]Zumbrum!D22+[2]Ports!D22+[2]Martin!D22</f>
        <v>146</v>
      </c>
      <c r="E22" s="214">
        <f>[2]Guterman!E22+[2]Perman!E22+[2]Tildon!E22+[2]Luckner!E22+[2]Feeney!E22+[2]Boutwell!E22+[2]Schuster!E22+[2]Zumbrum!E22+[2]Ports!E22+[2]Martin!E22</f>
        <v>81</v>
      </c>
      <c r="F22" s="214">
        <f>[2]Guterman!F22+[2]Perman!F22+[2]Tildon!F22+[2]Luckner!F22+[2]Feeney!F22+[2]Boutwell!F22+[2]Schuster!F22+[2]Zumbrum!F22+[2]Ports!F22+[2]Martin!F22</f>
        <v>60</v>
      </c>
      <c r="G22" s="214">
        <f>[2]Guterman!G22+[2]Perman!G22+[2]Tildon!G22+[2]Luckner!G22+[2]Feeney!G22+[2]Boutwell!G22+[2]Schuster!G22+[2]Zumbrum!G22+[2]Ports!G22+[2]Martin!G22</f>
        <v>35.799999999999997</v>
      </c>
      <c r="H22" s="214">
        <f>[2]Guterman!H22+[2]Perman!H22+[2]Tildon!H22+[2]Luckner!H22+[2]Feeney!H22+[2]Boutwell!H22+[2]Schuster!H22+[2]Zumbrum!H22+[2]Ports!H22+[2]Martin!H22</f>
        <v>39</v>
      </c>
      <c r="I22" s="214">
        <f>[2]Guterman!I22+[2]Perman!I22+[2]Tildon!I22+[2]Luckner!I22+[2]Feeney!I22+[2]Boutwell!I22+[2]Schuster!I22+[2]Zumbrum!I22+[2]Ports!I22+[2]Martin!I22</f>
        <v>34</v>
      </c>
      <c r="J22" s="214">
        <f>[2]Guterman!J22+[2]Perman!J22+[2]Tildon!J22+[2]Luckner!J22+[2]Feeney!J22+[2]Boutwell!J22+[2]Schuster!J22+[2]Zumbrum!J22+[2]Ports!J22+[2]Martin!J22</f>
        <v>71</v>
      </c>
      <c r="K22" s="214">
        <f>[2]Guterman!K22+[2]Perman!K22+[2]Tildon!K22+[2]Luckner!K22+[2]Feeney!K22+[2]Boutwell!K22+[2]Schuster!K22+[2]Zumbrum!K22+[2]Ports!K22+[2]Martin!K22</f>
        <v>60</v>
      </c>
      <c r="L22" s="214">
        <f>[2]Guterman!L22+[2]Perman!L22+[2]Tildon!L22+[2]Luckner!L22+[2]Feeney!L22+[2]Boutwell!L22+[2]Schuster!L22+[2]Zumbrum!L22+[2]Ports!L22+[2]Martin!L22</f>
        <v>68</v>
      </c>
      <c r="M22" s="214">
        <f>[2]Guterman!M22+[2]Perman!M22+[2]Tildon!M22+[2]Luckner!M22+[2]Feeney!M22+[2]Boutwell!M22+[2]Schuster!M22+[2]Zumbrum!M22+[2]Ports!M22+[2]Martin!M22</f>
        <v>58</v>
      </c>
      <c r="N22" s="212">
        <f t="shared" si="0"/>
        <v>737.8</v>
      </c>
      <c r="O22" s="215">
        <f t="shared" si="2"/>
        <v>73.78</v>
      </c>
    </row>
    <row r="23" spans="1:15" ht="39" customHeight="1">
      <c r="A23" s="212">
        <v>20</v>
      </c>
      <c r="B23" s="213" t="s">
        <v>25</v>
      </c>
      <c r="C23" s="214">
        <f>[2]Guterman!C23+[2]Perman!C23+[2]Tildon!C23+[2]Luckner!C23+[2]Feeney!C23+[2]Boutwell!C23+[2]Schuster!C23+[2]Zumbrum!C23+[2]Ports!C23+[2]Martin!C23</f>
        <v>69.5</v>
      </c>
      <c r="D23" s="214">
        <f>[2]Guterman!D23+[2]Perman!D23+[2]Tildon!D23+[2]Luckner!D23+[2]Feeney!D23+[2]Boutwell!D23+[2]Schuster!D23+[2]Zumbrum!D23+[2]Ports!D23+[2]Martin!D23</f>
        <v>137.69999999999999</v>
      </c>
      <c r="E23" s="214">
        <f>[2]Guterman!E23+[2]Perman!E23+[2]Tildon!E23+[2]Luckner!E23+[2]Feeney!E23+[2]Boutwell!E23+[2]Schuster!E23+[2]Zumbrum!E23+[2]Ports!E23+[2]Martin!E23</f>
        <v>72</v>
      </c>
      <c r="F23" s="214">
        <f>[2]Guterman!F23+[2]Perman!F23+[2]Tildon!F23+[2]Luckner!F23+[2]Feeney!F23+[2]Boutwell!F23+[2]Schuster!F23+[2]Zumbrum!F23+[2]Ports!F23+[2]Martin!F23</f>
        <v>54</v>
      </c>
      <c r="G23" s="214">
        <f>[2]Guterman!G23+[2]Perman!G23+[2]Tildon!G23+[2]Luckner!G23+[2]Feeney!G23+[2]Boutwell!G23+[2]Schuster!G23+[2]Zumbrum!G23+[2]Ports!G23+[2]Martin!G23</f>
        <v>26</v>
      </c>
      <c r="H23" s="214">
        <f>[2]Guterman!H23+[2]Perman!H23+[2]Tildon!H23+[2]Luckner!H23+[2]Feeney!H23+[2]Boutwell!H23+[2]Schuster!H23+[2]Zumbrum!H23+[2]Ports!H23+[2]Martin!H23</f>
        <v>40</v>
      </c>
      <c r="I23" s="214">
        <f>[2]Guterman!I23+[2]Perman!I23+[2]Tildon!I23+[2]Luckner!I23+[2]Feeney!I23+[2]Boutwell!I23+[2]Schuster!I23+[2]Zumbrum!I23+[2]Ports!I23+[2]Martin!I23</f>
        <v>44</v>
      </c>
      <c r="J23" s="214">
        <f>[2]Guterman!J23+[2]Perman!J23+[2]Tildon!J23+[2]Luckner!J23+[2]Feeney!J23+[2]Boutwell!J23+[2]Schuster!J23+[2]Zumbrum!J23+[2]Ports!J23+[2]Martin!J23</f>
        <v>64</v>
      </c>
      <c r="K23" s="214">
        <f>[2]Guterman!K23+[2]Perman!K23+[2]Tildon!K23+[2]Luckner!K23+[2]Feeney!K23+[2]Boutwell!K23+[2]Schuster!K23+[2]Zumbrum!K23+[2]Ports!K23+[2]Martin!K23</f>
        <v>63</v>
      </c>
      <c r="L23" s="214">
        <f>[2]Guterman!L23+[2]Perman!L23+[2]Tildon!L23+[2]Luckner!L23+[2]Feeney!L23+[2]Boutwell!L23+[2]Schuster!L23+[2]Zumbrum!L23+[2]Ports!L23+[2]Martin!L23</f>
        <v>66</v>
      </c>
      <c r="M23" s="214">
        <f>[2]Guterman!M23+[2]Perman!M23+[2]Tildon!M23+[2]Luckner!M23+[2]Feeney!M23+[2]Boutwell!M23+[2]Schuster!M23+[2]Zumbrum!M23+[2]Ports!M23+[2]Martin!M23</f>
        <v>70</v>
      </c>
      <c r="N23" s="212">
        <f t="shared" si="0"/>
        <v>706.2</v>
      </c>
      <c r="O23" s="215">
        <f t="shared" si="2"/>
        <v>70.62</v>
      </c>
    </row>
    <row r="24" spans="1:15" ht="30" customHeight="1">
      <c r="A24" s="212">
        <v>21</v>
      </c>
      <c r="B24" s="213" t="s">
        <v>23</v>
      </c>
      <c r="C24" s="214">
        <f>[2]Guterman!C24+[2]Perman!C24+[2]Tildon!C24+[2]Luckner!C24+[2]Feeney!C24+[2]Boutwell!C24+[2]Schuster!C24+[2]Zumbrum!C24+[2]Ports!C24+[2]Martin!C24</f>
        <v>80</v>
      </c>
      <c r="D24" s="214">
        <f>[2]Guterman!D24+[2]Perman!D24+[2]Tildon!D24+[2]Luckner!D24+[2]Feeney!D24+[2]Boutwell!D24+[2]Schuster!D24+[2]Zumbrum!D24+[2]Ports!D24+[2]Martin!D24</f>
        <v>141</v>
      </c>
      <c r="E24" s="214">
        <f>[2]Guterman!E24+[2]Perman!E24+[2]Tildon!E24+[2]Luckner!E24+[2]Feeney!E24+[2]Boutwell!E24+[2]Schuster!E24+[2]Zumbrum!E24+[2]Ports!E24+[2]Martin!E24</f>
        <v>73.5</v>
      </c>
      <c r="F24" s="214">
        <f>[2]Guterman!F24+[2]Perman!F24+[2]Tildon!F24+[2]Luckner!F24+[2]Feeney!F24+[2]Boutwell!F24+[2]Schuster!F24+[2]Zumbrum!F24+[2]Ports!F24+[2]Martin!F24</f>
        <v>53</v>
      </c>
      <c r="G24" s="214">
        <f>[2]Guterman!G24+[2]Perman!G24+[2]Tildon!G24+[2]Luckner!G24+[2]Feeney!G24+[2]Boutwell!G24+[2]Schuster!G24+[2]Zumbrum!G24+[2]Ports!G24+[2]Martin!G24</f>
        <v>33.5</v>
      </c>
      <c r="H24" s="214">
        <f>[2]Guterman!H24+[2]Perman!H24+[2]Tildon!H24+[2]Luckner!H24+[2]Feeney!H24+[2]Boutwell!H24+[2]Schuster!H24+[2]Zumbrum!H24+[2]Ports!H24+[2]Martin!H24</f>
        <v>37</v>
      </c>
      <c r="I24" s="214">
        <f>[2]Guterman!I24+[2]Perman!I24+[2]Tildon!I24+[2]Luckner!I24+[2]Feeney!I24+[2]Boutwell!I24+[2]Schuster!I24+[2]Zumbrum!I24+[2]Ports!I24+[2]Martin!I24</f>
        <v>27</v>
      </c>
      <c r="J24" s="214">
        <f>[2]Guterman!J24+[2]Perman!J24+[2]Tildon!J24+[2]Luckner!J24+[2]Feeney!J24+[2]Boutwell!J24+[2]Schuster!J24+[2]Zumbrum!J24+[2]Ports!J24+[2]Martin!J24</f>
        <v>67</v>
      </c>
      <c r="K24" s="214">
        <f>[2]Guterman!K24+[2]Perman!K24+[2]Tildon!K24+[2]Luckner!K24+[2]Feeney!K24+[2]Boutwell!K24+[2]Schuster!K24+[2]Zumbrum!K24+[2]Ports!K24+[2]Martin!K24</f>
        <v>67.5</v>
      </c>
      <c r="L24" s="214">
        <f>[2]Guterman!L24+[2]Perman!L24+[2]Tildon!L24+[2]Luckner!L24+[2]Feeney!L24+[2]Boutwell!L24+[2]Schuster!L24+[2]Zumbrum!L24+[2]Ports!L24+[2]Martin!L24</f>
        <v>68</v>
      </c>
      <c r="M24" s="214">
        <f>[2]Guterman!M24+[2]Perman!M24+[2]Tildon!M24+[2]Luckner!M24+[2]Feeney!M24+[2]Boutwell!M24+[2]Schuster!M24+[2]Zumbrum!M24+[2]Ports!M24+[2]Martin!M24</f>
        <v>73</v>
      </c>
      <c r="N24" s="212">
        <f t="shared" si="0"/>
        <v>720.5</v>
      </c>
      <c r="O24" s="215">
        <f t="shared" si="2"/>
        <v>72.05</v>
      </c>
    </row>
    <row r="25" spans="1:15" ht="30" hidden="1" customHeight="1">
      <c r="A25" s="185">
        <v>22</v>
      </c>
      <c r="B25" s="186" t="s">
        <v>24</v>
      </c>
      <c r="C25" s="187">
        <f>[2]Guterman!C25+[2]Perman!C25+[2]Tildon!C25+[2]Luckner!C25+[2]Feeney!C25+[2]Boutwell!C25+[2]Schuster!C25+[2]Zumbrum!C25+[2]Ports!C25+[2]Martin!C25</f>
        <v>77.5</v>
      </c>
      <c r="D25" s="187">
        <f>[2]Guterman!D25+[2]Perman!D25+[2]Tildon!D25+[2]Luckner!D25+[2]Feeney!D25+[2]Boutwell!D25+[2]Schuster!D25+[2]Zumbrum!D25+[2]Ports!D25+[2]Martin!D25</f>
        <v>130</v>
      </c>
      <c r="E25" s="187">
        <f>[2]Guterman!E25+[2]Perman!E25+[2]Tildon!E25+[2]Luckner!E25+[2]Feeney!E25+[2]Boutwell!E25+[2]Schuster!E25+[2]Zumbrum!E25+[2]Ports!E25+[2]Martin!E25</f>
        <v>67</v>
      </c>
      <c r="F25" s="187">
        <f>[2]Guterman!F25+[2]Perman!F25+[2]Tildon!F25+[2]Luckner!F25+[2]Feeney!F25+[2]Boutwell!F25+[2]Schuster!F25+[2]Zumbrum!F25+[2]Ports!F25+[2]Martin!F25</f>
        <v>59.5</v>
      </c>
      <c r="G25" s="187">
        <f>[2]Guterman!G25+[2]Perman!G25+[2]Tildon!G25+[2]Luckner!G25+[2]Feeney!G25+[2]Boutwell!G25+[2]Schuster!G25+[2]Zumbrum!G25+[2]Ports!G25+[2]Martin!G25</f>
        <v>30.75</v>
      </c>
      <c r="H25" s="187">
        <f>[2]Guterman!H25+[2]Perman!H25+[2]Tildon!H25+[2]Luckner!H25+[2]Feeney!H25+[2]Boutwell!H25+[2]Schuster!H25+[2]Zumbrum!H25+[2]Ports!H25+[2]Martin!H25</f>
        <v>33</v>
      </c>
      <c r="I25" s="187">
        <f>[2]Guterman!I25+[2]Perman!I25+[2]Tildon!I25+[2]Luckner!I25+[2]Feeney!I25+[2]Boutwell!I25+[2]Schuster!I25+[2]Zumbrum!I25+[2]Ports!I25</f>
        <v>28.5</v>
      </c>
      <c r="J25" s="187">
        <f>[2]Guterman!J25+[2]Perman!J25+[2]Tildon!J25+[2]Luckner!J25+[2]Feeney!J25+[2]Boutwell!J25+[2]Schuster!J25+[2]Zumbrum!J25+[2]Ports!J25+[2]Martin!J25</f>
        <v>61</v>
      </c>
      <c r="K25" s="187">
        <f>[2]Guterman!K25+[2]Perman!K25+[2]Tildon!K25+[2]Luckner!K25+[2]Feeney!K25+[2]Boutwell!K25+[2]Schuster!K25+[2]Zumbrum!K25+[2]Ports!K25+[2]Martin!K25</f>
        <v>51</v>
      </c>
      <c r="L25" s="187">
        <f>[2]Guterman!L25+[2]Perman!L25+[2]Tildon!L25+[2]Luckner!L25+[2]Feeney!L25+[2]Boutwell!L25+[2]Schuster!L25+[2]Zumbrum!L25+[2]Ports!L25+[2]Martin!L25</f>
        <v>57.5</v>
      </c>
      <c r="M25" s="187">
        <f>[2]Guterman!M25+[2]Perman!M25+[2]Tildon!M25+[2]Luckner!M25+[2]Feeney!M25+[2]Boutwell!M25+[2]Schuster!M25+[2]Zumbrum!M25+[2]Ports!M25+[2]Martin!M25</f>
        <v>60.5</v>
      </c>
      <c r="N25" s="185">
        <f t="shared" si="0"/>
        <v>656.25</v>
      </c>
      <c r="O25" s="188">
        <f t="shared" si="2"/>
        <v>65.625</v>
      </c>
    </row>
    <row r="26" spans="1:15">
      <c r="O26" s="188"/>
    </row>
  </sheetData>
  <mergeCells count="16">
    <mergeCell ref="A1:B1"/>
    <mergeCell ref="C1:F1"/>
    <mergeCell ref="A2:B3"/>
    <mergeCell ref="C2:C3"/>
    <mergeCell ref="D2:D3"/>
    <mergeCell ref="E2:E3"/>
    <mergeCell ref="F2:F3"/>
    <mergeCell ref="M2:M3"/>
    <mergeCell ref="N2:N3"/>
    <mergeCell ref="O2:O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5" scale="9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O11" sqref="O11"/>
    </sheetView>
  </sheetViews>
  <sheetFormatPr defaultRowHeight="14.4"/>
  <cols>
    <col min="2" max="2" width="14.6640625" bestFit="1" customWidth="1"/>
    <col min="4" max="4" width="12" customWidth="1"/>
    <col min="5" max="5" width="13.5546875" bestFit="1" customWidth="1"/>
    <col min="6" max="6" width="7.88671875" bestFit="1" customWidth="1"/>
    <col min="7" max="7" width="16.109375" bestFit="1" customWidth="1"/>
    <col min="8" max="8" width="13.88671875" customWidth="1"/>
    <col min="9" max="9" width="11.5546875" bestFit="1" customWidth="1"/>
    <col min="10" max="10" width="10.88671875" bestFit="1" customWidth="1"/>
    <col min="11" max="11" width="11.5546875" bestFit="1" customWidth="1"/>
  </cols>
  <sheetData>
    <row r="1" spans="1:11" s="183" customFormat="1" ht="57.6">
      <c r="C1" s="183" t="s">
        <v>182</v>
      </c>
      <c r="D1" s="183" t="s">
        <v>165</v>
      </c>
      <c r="E1" s="183" t="s">
        <v>166</v>
      </c>
      <c r="F1" s="183" t="s">
        <v>167</v>
      </c>
      <c r="G1" s="183" t="s">
        <v>168</v>
      </c>
      <c r="H1" s="183" t="s">
        <v>169</v>
      </c>
      <c r="I1" s="183" t="s">
        <v>170</v>
      </c>
      <c r="J1" s="183" t="s">
        <v>171</v>
      </c>
      <c r="K1" s="183" t="s">
        <v>185</v>
      </c>
    </row>
    <row r="2" spans="1:11">
      <c r="A2" s="262" t="s">
        <v>160</v>
      </c>
      <c r="B2" s="179" t="s">
        <v>160</v>
      </c>
      <c r="C2" t="s">
        <v>173</v>
      </c>
      <c r="D2" s="126">
        <v>4.5</v>
      </c>
      <c r="E2" s="126">
        <v>4.5</v>
      </c>
      <c r="F2" s="126">
        <v>4</v>
      </c>
      <c r="G2" s="126">
        <v>3.5</v>
      </c>
      <c r="H2" s="126">
        <v>4</v>
      </c>
      <c r="I2" s="126">
        <v>4</v>
      </c>
      <c r="J2" s="126">
        <v>4</v>
      </c>
      <c r="K2">
        <f t="shared" ref="K2:K8" si="0">AVERAGE(D2:J2)</f>
        <v>4.0714285714285712</v>
      </c>
    </row>
    <row r="3" spans="1:11">
      <c r="A3" s="262"/>
      <c r="C3" t="s">
        <v>178</v>
      </c>
      <c r="D3" s="126">
        <v>4</v>
      </c>
      <c r="E3" s="126">
        <v>3</v>
      </c>
      <c r="F3" s="126">
        <v>3.5</v>
      </c>
      <c r="G3" s="126">
        <v>5</v>
      </c>
      <c r="H3" s="126">
        <v>5</v>
      </c>
      <c r="I3" s="126">
        <v>4</v>
      </c>
      <c r="J3" s="126">
        <v>4.5</v>
      </c>
      <c r="K3">
        <f t="shared" si="0"/>
        <v>4.1428571428571432</v>
      </c>
    </row>
    <row r="4" spans="1:11">
      <c r="A4" s="262"/>
      <c r="C4" t="s">
        <v>177</v>
      </c>
      <c r="D4" s="183">
        <v>4</v>
      </c>
      <c r="E4" s="183">
        <v>4</v>
      </c>
      <c r="F4" s="183">
        <v>4</v>
      </c>
      <c r="G4" s="183">
        <v>3</v>
      </c>
      <c r="H4" s="183">
        <v>4</v>
      </c>
      <c r="I4" s="183">
        <v>4</v>
      </c>
      <c r="J4" s="183">
        <v>4</v>
      </c>
      <c r="K4" s="126">
        <f t="shared" si="0"/>
        <v>3.8571428571428572</v>
      </c>
    </row>
    <row r="5" spans="1:11">
      <c r="A5" s="262"/>
      <c r="C5" t="s">
        <v>175</v>
      </c>
      <c r="D5" s="126">
        <v>5</v>
      </c>
      <c r="E5" s="126">
        <v>5</v>
      </c>
      <c r="F5" s="126">
        <v>5</v>
      </c>
      <c r="G5" s="126">
        <v>5</v>
      </c>
      <c r="H5" s="126">
        <v>5</v>
      </c>
      <c r="I5" s="126">
        <v>5</v>
      </c>
      <c r="J5" s="126">
        <v>5</v>
      </c>
      <c r="K5" s="126">
        <f t="shared" si="0"/>
        <v>5</v>
      </c>
    </row>
    <row r="6" spans="1:11">
      <c r="A6" s="262"/>
      <c r="C6" t="s">
        <v>174</v>
      </c>
      <c r="D6" s="183">
        <v>5</v>
      </c>
      <c r="E6" s="183">
        <v>5</v>
      </c>
      <c r="F6" s="183">
        <v>5</v>
      </c>
      <c r="G6" s="183">
        <v>4</v>
      </c>
      <c r="H6" s="183">
        <v>4</v>
      </c>
      <c r="I6" s="183">
        <v>5</v>
      </c>
      <c r="J6" s="183">
        <v>5</v>
      </c>
      <c r="K6" s="126">
        <f t="shared" si="0"/>
        <v>4.7142857142857144</v>
      </c>
    </row>
    <row r="7" spans="1:11">
      <c r="A7" s="262"/>
      <c r="B7" s="184"/>
      <c r="C7" s="184" t="s">
        <v>172</v>
      </c>
      <c r="D7" s="184">
        <v>4</v>
      </c>
      <c r="E7" s="184">
        <v>4</v>
      </c>
      <c r="F7" s="184">
        <v>4</v>
      </c>
      <c r="G7" s="184">
        <v>5</v>
      </c>
      <c r="H7" s="184">
        <v>3</v>
      </c>
      <c r="I7" s="184">
        <v>4</v>
      </c>
      <c r="J7" s="184">
        <v>4.5</v>
      </c>
      <c r="K7" s="184">
        <f t="shared" si="0"/>
        <v>4.0714285714285712</v>
      </c>
    </row>
    <row r="8" spans="1:11">
      <c r="A8" s="262"/>
      <c r="B8" t="s">
        <v>185</v>
      </c>
      <c r="D8">
        <f t="shared" ref="D8:J8" si="1">SUM(D2:D7)/6</f>
        <v>4.416666666666667</v>
      </c>
      <c r="E8" s="126">
        <f t="shared" si="1"/>
        <v>4.25</v>
      </c>
      <c r="F8" s="126">
        <f t="shared" si="1"/>
        <v>4.25</v>
      </c>
      <c r="G8" s="126">
        <f t="shared" si="1"/>
        <v>4.25</v>
      </c>
      <c r="H8" s="126">
        <f t="shared" si="1"/>
        <v>4.166666666666667</v>
      </c>
      <c r="I8" s="126">
        <f t="shared" si="1"/>
        <v>4.333333333333333</v>
      </c>
      <c r="J8" s="126">
        <f t="shared" si="1"/>
        <v>4.5</v>
      </c>
      <c r="K8" s="193">
        <f t="shared" si="0"/>
        <v>4.3095238095238093</v>
      </c>
    </row>
    <row r="9" spans="1:11" s="126" customFormat="1">
      <c r="A9" s="262"/>
      <c r="B9" s="192" t="s">
        <v>187</v>
      </c>
      <c r="D9" s="126">
        <v>1</v>
      </c>
      <c r="E9" s="126">
        <v>1</v>
      </c>
      <c r="F9" s="126">
        <v>1</v>
      </c>
      <c r="G9" s="126">
        <v>1</v>
      </c>
      <c r="H9" s="126">
        <v>1</v>
      </c>
      <c r="I9" s="126">
        <v>1</v>
      </c>
      <c r="J9" s="126">
        <v>1</v>
      </c>
      <c r="K9" s="190"/>
    </row>
    <row r="10" spans="1:11">
      <c r="A10" s="262"/>
      <c r="B10" t="s">
        <v>188</v>
      </c>
      <c r="D10">
        <f>D8*D9</f>
        <v>4.416666666666667</v>
      </c>
      <c r="E10" s="126">
        <f t="shared" ref="E10:J10" si="2">E8*E9</f>
        <v>4.25</v>
      </c>
      <c r="F10" s="126">
        <f t="shared" si="2"/>
        <v>4.25</v>
      </c>
      <c r="G10" s="126">
        <f t="shared" si="2"/>
        <v>4.25</v>
      </c>
      <c r="H10" s="126">
        <f t="shared" si="2"/>
        <v>4.166666666666667</v>
      </c>
      <c r="I10" s="126">
        <f t="shared" si="2"/>
        <v>4.333333333333333</v>
      </c>
      <c r="J10" s="126">
        <f t="shared" si="2"/>
        <v>4.5</v>
      </c>
      <c r="K10" s="189">
        <f>SUM(D10:J10)</f>
        <v>30.166666666666668</v>
      </c>
    </row>
    <row r="11" spans="1:11">
      <c r="A11" s="262"/>
      <c r="B11" t="s">
        <v>189</v>
      </c>
      <c r="K11" s="194">
        <f>(K10*100)/35</f>
        <v>86.190476190476204</v>
      </c>
    </row>
    <row r="12" spans="1:11" s="126" customFormat="1">
      <c r="K12" s="195"/>
    </row>
    <row r="13" spans="1:11">
      <c r="A13" s="262" t="s">
        <v>11</v>
      </c>
      <c r="B13" s="179" t="s">
        <v>11</v>
      </c>
      <c r="C13" t="s">
        <v>173</v>
      </c>
      <c r="D13" s="126">
        <v>3.5</v>
      </c>
      <c r="E13" s="126">
        <v>3</v>
      </c>
      <c r="F13" s="126">
        <v>4</v>
      </c>
      <c r="G13" s="126">
        <v>4</v>
      </c>
      <c r="H13" s="126">
        <v>4</v>
      </c>
      <c r="I13" s="126">
        <v>4</v>
      </c>
      <c r="J13" s="126">
        <v>3.5</v>
      </c>
      <c r="K13">
        <f>AVERAGE(D13:J13)</f>
        <v>3.7142857142857144</v>
      </c>
    </row>
    <row r="14" spans="1:11">
      <c r="A14" s="262"/>
      <c r="C14" t="s">
        <v>178</v>
      </c>
      <c r="D14">
        <v>2.5</v>
      </c>
      <c r="E14">
        <v>3</v>
      </c>
      <c r="F14">
        <v>4</v>
      </c>
      <c r="G14">
        <v>4</v>
      </c>
      <c r="H14">
        <v>5</v>
      </c>
      <c r="I14">
        <v>4</v>
      </c>
      <c r="J14">
        <v>3.5</v>
      </c>
      <c r="K14" s="126">
        <f t="shared" ref="K14:K19" si="3">AVERAGE(D14:J14)</f>
        <v>3.7142857142857144</v>
      </c>
    </row>
    <row r="15" spans="1:11">
      <c r="A15" s="262"/>
      <c r="C15" t="s">
        <v>179</v>
      </c>
      <c r="D15">
        <v>4</v>
      </c>
      <c r="E15">
        <v>3</v>
      </c>
      <c r="F15">
        <v>4</v>
      </c>
      <c r="G15">
        <v>4</v>
      </c>
      <c r="H15">
        <v>3</v>
      </c>
      <c r="I15">
        <v>4</v>
      </c>
      <c r="J15">
        <v>3.5</v>
      </c>
      <c r="K15" s="126">
        <f t="shared" si="3"/>
        <v>3.6428571428571428</v>
      </c>
    </row>
    <row r="16" spans="1:11">
      <c r="A16" s="262"/>
      <c r="C16" t="s">
        <v>175</v>
      </c>
      <c r="D16" s="126">
        <v>5</v>
      </c>
      <c r="E16" s="126">
        <v>4</v>
      </c>
      <c r="F16" s="126">
        <v>4</v>
      </c>
      <c r="G16" s="126">
        <v>5</v>
      </c>
      <c r="H16" s="126">
        <v>4</v>
      </c>
      <c r="I16" s="126">
        <v>5</v>
      </c>
      <c r="J16" s="126">
        <v>4</v>
      </c>
      <c r="K16" s="126">
        <f t="shared" si="3"/>
        <v>4.4285714285714288</v>
      </c>
    </row>
    <row r="17" spans="1:11">
      <c r="A17" s="262"/>
      <c r="C17" t="s">
        <v>174</v>
      </c>
      <c r="D17" s="183">
        <v>5</v>
      </c>
      <c r="E17" s="183">
        <v>4</v>
      </c>
      <c r="F17" s="183">
        <v>4</v>
      </c>
      <c r="G17" s="183">
        <v>5</v>
      </c>
      <c r="H17" s="183">
        <v>4</v>
      </c>
      <c r="I17" s="183">
        <v>4</v>
      </c>
      <c r="J17" s="183">
        <v>5</v>
      </c>
      <c r="K17" s="126">
        <f t="shared" si="3"/>
        <v>4.4285714285714288</v>
      </c>
    </row>
    <row r="18" spans="1:11">
      <c r="A18" s="262"/>
      <c r="B18" s="184"/>
      <c r="C18" s="184" t="s">
        <v>172</v>
      </c>
      <c r="D18" s="184">
        <v>3.5</v>
      </c>
      <c r="E18" s="184">
        <v>4</v>
      </c>
      <c r="F18" s="184">
        <v>4</v>
      </c>
      <c r="G18" s="184">
        <v>5</v>
      </c>
      <c r="H18" s="184">
        <v>5</v>
      </c>
      <c r="I18" s="184">
        <v>4</v>
      </c>
      <c r="J18" s="184">
        <v>4</v>
      </c>
      <c r="K18" s="184">
        <f t="shared" si="3"/>
        <v>4.2142857142857144</v>
      </c>
    </row>
    <row r="19" spans="1:11" s="126" customFormat="1">
      <c r="A19" s="262"/>
      <c r="B19" s="126" t="s">
        <v>185</v>
      </c>
      <c r="D19" s="126">
        <f t="shared" ref="D19:J19" si="4">SUM(D13:D18)/6</f>
        <v>3.9166666666666665</v>
      </c>
      <c r="E19" s="126">
        <f t="shared" si="4"/>
        <v>3.5</v>
      </c>
      <c r="F19" s="126">
        <f t="shared" si="4"/>
        <v>4</v>
      </c>
      <c r="G19" s="126">
        <f t="shared" si="4"/>
        <v>4.5</v>
      </c>
      <c r="H19" s="126">
        <f t="shared" si="4"/>
        <v>4.166666666666667</v>
      </c>
      <c r="I19" s="126">
        <f t="shared" si="4"/>
        <v>4.166666666666667</v>
      </c>
      <c r="J19" s="126">
        <f t="shared" si="4"/>
        <v>3.9166666666666665</v>
      </c>
      <c r="K19" s="193">
        <f t="shared" si="3"/>
        <v>4.0238095238095237</v>
      </c>
    </row>
    <row r="20" spans="1:11" s="126" customFormat="1">
      <c r="A20" s="262"/>
      <c r="B20" s="192" t="s">
        <v>187</v>
      </c>
      <c r="D20" s="126">
        <v>1</v>
      </c>
      <c r="E20" s="126">
        <v>1</v>
      </c>
      <c r="F20" s="126">
        <v>1</v>
      </c>
      <c r="G20" s="126">
        <v>1</v>
      </c>
      <c r="H20" s="126">
        <v>1</v>
      </c>
      <c r="I20" s="126">
        <v>1</v>
      </c>
      <c r="J20" s="126">
        <v>1</v>
      </c>
      <c r="K20" s="190"/>
    </row>
    <row r="21" spans="1:11" s="126" customFormat="1">
      <c r="A21" s="262"/>
      <c r="B21" s="126" t="s">
        <v>186</v>
      </c>
      <c r="D21" s="126">
        <f>D19*D20</f>
        <v>3.9166666666666665</v>
      </c>
      <c r="E21" s="126">
        <f t="shared" ref="E21:J21" si="5">E19*E20</f>
        <v>3.5</v>
      </c>
      <c r="F21" s="126">
        <f t="shared" si="5"/>
        <v>4</v>
      </c>
      <c r="G21" s="126">
        <f t="shared" si="5"/>
        <v>4.5</v>
      </c>
      <c r="H21" s="126">
        <f t="shared" si="5"/>
        <v>4.166666666666667</v>
      </c>
      <c r="I21" s="126">
        <f t="shared" si="5"/>
        <v>4.166666666666667</v>
      </c>
      <c r="J21" s="126">
        <f t="shared" si="5"/>
        <v>3.9166666666666665</v>
      </c>
      <c r="K21" s="189">
        <f>SUM(D21:J21)</f>
        <v>28.166666666666668</v>
      </c>
    </row>
    <row r="22" spans="1:11" s="126" customFormat="1">
      <c r="A22" s="262"/>
      <c r="K22" s="194">
        <f>(K21*100)/35</f>
        <v>80.476190476190482</v>
      </c>
    </row>
    <row r="23" spans="1:11" s="126" customFormat="1"/>
    <row r="24" spans="1:11" s="126" customFormat="1">
      <c r="A24" s="261" t="s">
        <v>121</v>
      </c>
      <c r="B24" s="179" t="s">
        <v>121</v>
      </c>
      <c r="C24" s="126" t="s">
        <v>178</v>
      </c>
      <c r="D24" s="126">
        <v>3.5</v>
      </c>
      <c r="E24" s="126">
        <v>4</v>
      </c>
      <c r="F24" s="126">
        <v>5</v>
      </c>
      <c r="G24" s="126">
        <v>3.5</v>
      </c>
      <c r="H24" s="126">
        <v>3.5</v>
      </c>
      <c r="I24" s="126">
        <v>4.5</v>
      </c>
      <c r="J24" s="126">
        <v>3</v>
      </c>
      <c r="K24" s="126">
        <f>AVERAGE(D24:J24)</f>
        <v>3.8571428571428572</v>
      </c>
    </row>
    <row r="25" spans="1:11" s="126" customFormat="1">
      <c r="A25" s="261"/>
      <c r="C25" s="126" t="s">
        <v>177</v>
      </c>
      <c r="D25" s="126">
        <v>5</v>
      </c>
      <c r="E25" s="126">
        <v>5</v>
      </c>
      <c r="F25" s="126">
        <v>4</v>
      </c>
      <c r="G25" s="126">
        <v>4</v>
      </c>
      <c r="H25" s="126">
        <v>4</v>
      </c>
      <c r="I25" s="126">
        <v>4</v>
      </c>
      <c r="J25" s="126">
        <v>5</v>
      </c>
      <c r="K25" s="126">
        <f t="shared" ref="K25:K31" si="6">AVERAGE(D25:J25)</f>
        <v>4.4285714285714288</v>
      </c>
    </row>
    <row r="26" spans="1:11" s="126" customFormat="1">
      <c r="A26" s="261"/>
      <c r="C26" s="126" t="s">
        <v>179</v>
      </c>
      <c r="D26" s="126">
        <v>4</v>
      </c>
      <c r="E26" s="126">
        <v>5</v>
      </c>
      <c r="F26" s="126">
        <v>4</v>
      </c>
      <c r="G26" s="126">
        <v>4</v>
      </c>
      <c r="H26" s="126">
        <v>3</v>
      </c>
      <c r="I26" s="126">
        <v>5</v>
      </c>
      <c r="J26" s="126">
        <v>4.5</v>
      </c>
      <c r="K26" s="126">
        <f t="shared" si="6"/>
        <v>4.2142857142857144</v>
      </c>
    </row>
    <row r="27" spans="1:11" s="126" customFormat="1">
      <c r="A27" s="261"/>
      <c r="C27" s="126" t="s">
        <v>175</v>
      </c>
      <c r="D27" s="126">
        <v>5</v>
      </c>
      <c r="E27" s="126">
        <v>5</v>
      </c>
      <c r="F27" s="126">
        <v>5</v>
      </c>
      <c r="G27" s="126">
        <v>4</v>
      </c>
      <c r="H27" s="126">
        <v>5</v>
      </c>
      <c r="I27" s="126">
        <v>4</v>
      </c>
      <c r="J27" s="126">
        <v>5</v>
      </c>
      <c r="K27" s="126">
        <f t="shared" si="6"/>
        <v>4.7142857142857144</v>
      </c>
    </row>
    <row r="28" spans="1:11" s="126" customFormat="1">
      <c r="A28" s="261"/>
      <c r="C28" s="126" t="s">
        <v>174</v>
      </c>
      <c r="D28" s="183">
        <v>4</v>
      </c>
      <c r="E28" s="183">
        <v>4</v>
      </c>
      <c r="F28" s="183">
        <v>4</v>
      </c>
      <c r="G28" s="183">
        <v>2.5</v>
      </c>
      <c r="H28" s="183">
        <v>4</v>
      </c>
      <c r="I28" s="183">
        <v>5</v>
      </c>
      <c r="J28" s="183">
        <v>5</v>
      </c>
      <c r="K28" s="126">
        <f t="shared" si="6"/>
        <v>4.0714285714285712</v>
      </c>
    </row>
    <row r="29" spans="1:11" s="126" customFormat="1">
      <c r="A29" s="261"/>
      <c r="C29" s="126" t="s">
        <v>181</v>
      </c>
      <c r="D29" s="126">
        <v>5</v>
      </c>
      <c r="E29" s="126">
        <v>5</v>
      </c>
      <c r="F29" s="126">
        <v>4</v>
      </c>
      <c r="G29" s="126">
        <v>5</v>
      </c>
      <c r="H29" s="126">
        <v>5</v>
      </c>
      <c r="I29" s="126">
        <v>4</v>
      </c>
      <c r="J29" s="126">
        <v>5</v>
      </c>
      <c r="K29" s="126">
        <f t="shared" si="6"/>
        <v>4.7142857142857144</v>
      </c>
    </row>
    <row r="30" spans="1:11" s="126" customFormat="1">
      <c r="A30" s="261"/>
      <c r="B30" s="184"/>
      <c r="C30" s="184" t="s">
        <v>172</v>
      </c>
      <c r="D30" s="184">
        <v>4</v>
      </c>
      <c r="E30" s="184">
        <v>5</v>
      </c>
      <c r="F30" s="184">
        <v>3</v>
      </c>
      <c r="G30" s="184">
        <v>2</v>
      </c>
      <c r="H30" s="184">
        <v>2</v>
      </c>
      <c r="I30" s="184">
        <v>4</v>
      </c>
      <c r="J30" s="184">
        <v>3.5</v>
      </c>
      <c r="K30" s="184">
        <f t="shared" si="6"/>
        <v>3.3571428571428572</v>
      </c>
    </row>
    <row r="31" spans="1:11" s="126" customFormat="1">
      <c r="A31" s="261"/>
      <c r="B31" s="126" t="s">
        <v>185</v>
      </c>
      <c r="D31" s="126">
        <f>SUM(D24:D30)/7</f>
        <v>4.3571428571428568</v>
      </c>
      <c r="E31" s="126">
        <f t="shared" ref="E31:J31" si="7">SUM(E24:E30)/7</f>
        <v>4.7142857142857144</v>
      </c>
      <c r="F31" s="126">
        <f t="shared" si="7"/>
        <v>4.1428571428571432</v>
      </c>
      <c r="G31" s="126">
        <f t="shared" si="7"/>
        <v>3.5714285714285716</v>
      </c>
      <c r="H31" s="126">
        <f t="shared" si="7"/>
        <v>3.7857142857142856</v>
      </c>
      <c r="I31" s="126">
        <f t="shared" si="7"/>
        <v>4.3571428571428568</v>
      </c>
      <c r="J31" s="126">
        <f t="shared" si="7"/>
        <v>4.4285714285714288</v>
      </c>
      <c r="K31" s="193">
        <f t="shared" si="6"/>
        <v>4.1938775510204085</v>
      </c>
    </row>
    <row r="32" spans="1:11" s="126" customFormat="1">
      <c r="A32" s="261"/>
      <c r="B32" s="126" t="s">
        <v>187</v>
      </c>
      <c r="D32" s="126">
        <v>1</v>
      </c>
      <c r="E32" s="126">
        <v>1</v>
      </c>
      <c r="F32" s="126">
        <v>1</v>
      </c>
      <c r="G32" s="126">
        <v>1</v>
      </c>
      <c r="H32" s="126">
        <v>1</v>
      </c>
      <c r="I32" s="126">
        <v>1</v>
      </c>
      <c r="J32" s="126">
        <v>1</v>
      </c>
      <c r="K32" s="190"/>
    </row>
    <row r="33" spans="1:11" s="126" customFormat="1">
      <c r="A33" s="261"/>
      <c r="B33" s="126" t="s">
        <v>188</v>
      </c>
      <c r="D33" s="126">
        <f>D31*D32</f>
        <v>4.3571428571428568</v>
      </c>
      <c r="E33" s="126">
        <f t="shared" ref="E33:J33" si="8">E31*E32</f>
        <v>4.7142857142857144</v>
      </c>
      <c r="F33" s="126">
        <f t="shared" si="8"/>
        <v>4.1428571428571432</v>
      </c>
      <c r="G33" s="126">
        <f t="shared" si="8"/>
        <v>3.5714285714285716</v>
      </c>
      <c r="H33" s="126">
        <f t="shared" si="8"/>
        <v>3.7857142857142856</v>
      </c>
      <c r="I33" s="126">
        <f t="shared" si="8"/>
        <v>4.3571428571428568</v>
      </c>
      <c r="J33" s="126">
        <f t="shared" si="8"/>
        <v>4.4285714285714288</v>
      </c>
      <c r="K33" s="189">
        <f>SUM(D33:J33)</f>
        <v>29.357142857142861</v>
      </c>
    </row>
    <row r="34" spans="1:11" s="126" customFormat="1">
      <c r="A34" s="197"/>
      <c r="K34" s="194">
        <f>(K33*100)/35</f>
        <v>83.877551020408177</v>
      </c>
    </row>
    <row r="35" spans="1:11" s="126" customFormat="1"/>
    <row r="36" spans="1:11">
      <c r="A36" s="262" t="s">
        <v>180</v>
      </c>
      <c r="B36" t="s">
        <v>180</v>
      </c>
      <c r="C36" t="s">
        <v>178</v>
      </c>
      <c r="D36">
        <v>3</v>
      </c>
      <c r="E36">
        <v>3</v>
      </c>
      <c r="F36">
        <v>4.5</v>
      </c>
      <c r="G36">
        <v>1</v>
      </c>
      <c r="H36">
        <v>2</v>
      </c>
      <c r="I36">
        <v>5</v>
      </c>
      <c r="J36">
        <v>2.5</v>
      </c>
      <c r="K36" s="126">
        <f t="shared" ref="K36:K42" si="9">AVERAGE(D36:J36)</f>
        <v>3</v>
      </c>
    </row>
    <row r="37" spans="1:11" s="126" customFormat="1">
      <c r="A37" s="262"/>
      <c r="C37" s="126" t="s">
        <v>179</v>
      </c>
      <c r="D37" s="126">
        <v>3</v>
      </c>
      <c r="E37" s="126">
        <v>3</v>
      </c>
      <c r="F37" s="126">
        <v>3</v>
      </c>
      <c r="G37" s="126">
        <v>1</v>
      </c>
      <c r="H37" s="126">
        <v>3</v>
      </c>
      <c r="I37" s="126">
        <v>3</v>
      </c>
      <c r="J37" s="126">
        <v>3</v>
      </c>
      <c r="K37" s="126">
        <f t="shared" si="9"/>
        <v>2.7142857142857144</v>
      </c>
    </row>
    <row r="38" spans="1:11">
      <c r="A38" s="262"/>
      <c r="C38" t="s">
        <v>175</v>
      </c>
      <c r="D38" s="126">
        <v>5</v>
      </c>
      <c r="E38" s="126">
        <v>5</v>
      </c>
      <c r="F38" s="126">
        <v>3</v>
      </c>
      <c r="G38" s="126">
        <v>2</v>
      </c>
      <c r="H38" s="126">
        <v>3</v>
      </c>
      <c r="I38" s="126">
        <v>4</v>
      </c>
      <c r="J38" s="126">
        <v>3</v>
      </c>
      <c r="K38" s="126">
        <f t="shared" si="9"/>
        <v>3.5714285714285716</v>
      </c>
    </row>
    <row r="39" spans="1:11">
      <c r="A39" s="262"/>
      <c r="C39" t="s">
        <v>174</v>
      </c>
      <c r="D39" s="183">
        <v>3</v>
      </c>
      <c r="E39" s="183">
        <v>5</v>
      </c>
      <c r="F39" s="183">
        <v>2</v>
      </c>
      <c r="G39" s="183">
        <v>1</v>
      </c>
      <c r="H39" s="183">
        <v>2</v>
      </c>
      <c r="I39" s="183">
        <v>4</v>
      </c>
      <c r="J39" s="183">
        <v>3</v>
      </c>
      <c r="K39" s="126">
        <f t="shared" si="9"/>
        <v>2.8571428571428572</v>
      </c>
    </row>
    <row r="40" spans="1:11">
      <c r="A40" s="262"/>
      <c r="C40" t="s">
        <v>181</v>
      </c>
      <c r="D40">
        <v>3</v>
      </c>
      <c r="E40">
        <v>4</v>
      </c>
      <c r="F40">
        <v>4</v>
      </c>
      <c r="G40">
        <v>1</v>
      </c>
      <c r="H40">
        <v>2</v>
      </c>
      <c r="I40">
        <v>4</v>
      </c>
      <c r="J40">
        <v>3</v>
      </c>
      <c r="K40" s="126">
        <f t="shared" si="9"/>
        <v>3</v>
      </c>
    </row>
    <row r="41" spans="1:11">
      <c r="A41" s="262"/>
      <c r="B41" s="184"/>
      <c r="C41" s="184" t="s">
        <v>172</v>
      </c>
      <c r="D41" s="184">
        <v>3</v>
      </c>
      <c r="E41" s="184">
        <v>2</v>
      </c>
      <c r="F41" s="184">
        <v>2</v>
      </c>
      <c r="G41" s="184">
        <v>2</v>
      </c>
      <c r="H41" s="184">
        <v>2</v>
      </c>
      <c r="I41" s="184">
        <v>4</v>
      </c>
      <c r="J41" s="184">
        <v>2.5</v>
      </c>
      <c r="K41" s="184">
        <f t="shared" si="9"/>
        <v>2.5</v>
      </c>
    </row>
    <row r="42" spans="1:11">
      <c r="A42" s="262"/>
      <c r="B42" s="126" t="s">
        <v>185</v>
      </c>
      <c r="D42">
        <f t="shared" ref="D42:J42" si="10">SUM(D36:D41)/6</f>
        <v>3.3333333333333335</v>
      </c>
      <c r="E42" s="126">
        <f t="shared" si="10"/>
        <v>3.6666666666666665</v>
      </c>
      <c r="F42" s="126">
        <f t="shared" si="10"/>
        <v>3.0833333333333335</v>
      </c>
      <c r="G42" s="126">
        <f t="shared" si="10"/>
        <v>1.3333333333333333</v>
      </c>
      <c r="H42" s="126">
        <f t="shared" si="10"/>
        <v>2.3333333333333335</v>
      </c>
      <c r="I42" s="126">
        <f t="shared" si="10"/>
        <v>4</v>
      </c>
      <c r="J42" s="126">
        <f t="shared" si="10"/>
        <v>2.8333333333333335</v>
      </c>
      <c r="K42" s="193">
        <f t="shared" si="9"/>
        <v>2.9404761904761902</v>
      </c>
    </row>
    <row r="43" spans="1:11" s="126" customFormat="1">
      <c r="A43" s="262"/>
      <c r="B43" s="126" t="s">
        <v>187</v>
      </c>
      <c r="D43" s="126">
        <v>1</v>
      </c>
      <c r="E43" s="126">
        <v>1</v>
      </c>
      <c r="F43" s="126">
        <v>1</v>
      </c>
      <c r="G43" s="126">
        <v>1</v>
      </c>
      <c r="H43" s="126">
        <v>1</v>
      </c>
      <c r="I43" s="126">
        <v>1</v>
      </c>
      <c r="J43" s="126">
        <v>1</v>
      </c>
      <c r="K43" s="190"/>
    </row>
    <row r="44" spans="1:11">
      <c r="A44" s="262"/>
      <c r="B44" s="126" t="s">
        <v>188</v>
      </c>
      <c r="D44">
        <f>D42*D43</f>
        <v>3.3333333333333335</v>
      </c>
      <c r="E44" s="126">
        <f t="shared" ref="E44:J44" si="11">E42*E43</f>
        <v>3.6666666666666665</v>
      </c>
      <c r="F44" s="126">
        <f t="shared" si="11"/>
        <v>3.0833333333333335</v>
      </c>
      <c r="G44" s="126">
        <f t="shared" si="11"/>
        <v>1.3333333333333333</v>
      </c>
      <c r="H44" s="126">
        <f t="shared" si="11"/>
        <v>2.3333333333333335</v>
      </c>
      <c r="I44" s="126">
        <f t="shared" si="11"/>
        <v>4</v>
      </c>
      <c r="J44" s="126">
        <f t="shared" si="11"/>
        <v>2.8333333333333335</v>
      </c>
      <c r="K44" s="189">
        <f>SUM(D44:J44)</f>
        <v>20.583333333333332</v>
      </c>
    </row>
    <row r="45" spans="1:11" s="126" customFormat="1">
      <c r="A45" s="196"/>
      <c r="K45" s="194">
        <f>(K44*100)/35</f>
        <v>58.809523809523803</v>
      </c>
    </row>
    <row r="47" spans="1:11">
      <c r="A47" s="261" t="s">
        <v>123</v>
      </c>
      <c r="B47" s="179" t="s">
        <v>123</v>
      </c>
      <c r="C47" t="s">
        <v>173</v>
      </c>
      <c r="D47" s="126">
        <v>5</v>
      </c>
      <c r="E47" s="126">
        <v>5</v>
      </c>
      <c r="F47" s="126">
        <v>4</v>
      </c>
      <c r="G47" s="126">
        <v>4.5</v>
      </c>
      <c r="H47" s="126">
        <v>4</v>
      </c>
      <c r="I47" s="126">
        <v>4</v>
      </c>
      <c r="J47" s="126">
        <v>5</v>
      </c>
      <c r="K47">
        <f>AVERAGE(D47:J47)</f>
        <v>4.5</v>
      </c>
    </row>
    <row r="48" spans="1:11">
      <c r="A48" s="261"/>
      <c r="C48" t="s">
        <v>178</v>
      </c>
      <c r="D48">
        <v>5</v>
      </c>
      <c r="E48">
        <v>5</v>
      </c>
      <c r="F48">
        <v>5</v>
      </c>
      <c r="G48">
        <v>5</v>
      </c>
      <c r="H48">
        <v>2.5</v>
      </c>
      <c r="I48">
        <v>5</v>
      </c>
      <c r="J48">
        <v>4.5</v>
      </c>
      <c r="K48" s="126">
        <f t="shared" ref="K48:K53" si="12">AVERAGE(D48:J48)</f>
        <v>4.5714285714285712</v>
      </c>
    </row>
    <row r="49" spans="1:11">
      <c r="A49" s="261"/>
      <c r="C49" t="s">
        <v>177</v>
      </c>
      <c r="D49">
        <v>4</v>
      </c>
      <c r="E49">
        <v>4</v>
      </c>
      <c r="F49">
        <v>4</v>
      </c>
      <c r="G49">
        <v>4</v>
      </c>
      <c r="H49">
        <v>5</v>
      </c>
      <c r="I49">
        <v>5</v>
      </c>
      <c r="J49">
        <v>5</v>
      </c>
      <c r="K49" s="126">
        <f t="shared" si="12"/>
        <v>4.4285714285714288</v>
      </c>
    </row>
    <row r="50" spans="1:11">
      <c r="A50" s="261"/>
      <c r="C50" t="s">
        <v>175</v>
      </c>
      <c r="D50" s="126">
        <v>5</v>
      </c>
      <c r="E50" s="126">
        <v>5</v>
      </c>
      <c r="F50" s="126">
        <v>5</v>
      </c>
      <c r="G50" s="126">
        <v>5</v>
      </c>
      <c r="H50" s="126">
        <v>4</v>
      </c>
      <c r="I50" s="126">
        <v>5</v>
      </c>
      <c r="J50" s="126">
        <v>5</v>
      </c>
      <c r="K50" s="126">
        <f t="shared" si="12"/>
        <v>4.8571428571428568</v>
      </c>
    </row>
    <row r="51" spans="1:11">
      <c r="A51" s="261"/>
      <c r="C51" t="s">
        <v>174</v>
      </c>
      <c r="D51" s="183">
        <v>4</v>
      </c>
      <c r="E51" s="183">
        <v>5</v>
      </c>
      <c r="F51" s="183">
        <v>5</v>
      </c>
      <c r="G51" s="183">
        <v>3.5</v>
      </c>
      <c r="H51" s="183">
        <v>4</v>
      </c>
      <c r="I51" s="183">
        <v>3</v>
      </c>
      <c r="J51" s="183">
        <v>4</v>
      </c>
      <c r="K51" s="126">
        <f t="shared" si="12"/>
        <v>4.0714285714285712</v>
      </c>
    </row>
    <row r="52" spans="1:11">
      <c r="A52" s="261"/>
      <c r="B52" s="184"/>
      <c r="C52" s="184" t="s">
        <v>172</v>
      </c>
      <c r="D52" s="184">
        <v>4</v>
      </c>
      <c r="E52" s="184">
        <v>2</v>
      </c>
      <c r="F52" s="184">
        <v>3</v>
      </c>
      <c r="G52" s="184">
        <v>3</v>
      </c>
      <c r="H52" s="184">
        <v>3</v>
      </c>
      <c r="I52" s="184">
        <v>3</v>
      </c>
      <c r="J52" s="184">
        <v>3</v>
      </c>
      <c r="K52" s="184">
        <f t="shared" si="12"/>
        <v>3</v>
      </c>
    </row>
    <row r="53" spans="1:11">
      <c r="A53" s="261"/>
      <c r="B53" s="126" t="s">
        <v>185</v>
      </c>
      <c r="D53">
        <f>SUM(D47:D52)/6</f>
        <v>4.5</v>
      </c>
      <c r="E53" s="126">
        <f t="shared" ref="E53:J53" si="13">SUM(E47:E52)/6</f>
        <v>4.333333333333333</v>
      </c>
      <c r="F53" s="126">
        <f t="shared" si="13"/>
        <v>4.333333333333333</v>
      </c>
      <c r="G53" s="126">
        <f t="shared" si="13"/>
        <v>4.166666666666667</v>
      </c>
      <c r="H53" s="126">
        <f t="shared" si="13"/>
        <v>3.75</v>
      </c>
      <c r="I53" s="126">
        <f t="shared" si="13"/>
        <v>4.166666666666667</v>
      </c>
      <c r="J53" s="126">
        <f t="shared" si="13"/>
        <v>4.416666666666667</v>
      </c>
      <c r="K53" s="191">
        <f t="shared" si="12"/>
        <v>4.2380952380952381</v>
      </c>
    </row>
    <row r="54" spans="1:11" s="126" customFormat="1">
      <c r="A54" s="261"/>
      <c r="B54" s="126" t="s">
        <v>187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</row>
    <row r="55" spans="1:11">
      <c r="A55" s="261"/>
      <c r="B55" s="126" t="s">
        <v>188</v>
      </c>
      <c r="D55">
        <f>D53*D54</f>
        <v>4.5</v>
      </c>
      <c r="E55" s="126">
        <f t="shared" ref="E55:J55" si="14">E53*E54</f>
        <v>4.333333333333333</v>
      </c>
      <c r="F55" s="126">
        <f t="shared" si="14"/>
        <v>4.333333333333333</v>
      </c>
      <c r="G55" s="126">
        <f t="shared" si="14"/>
        <v>4.166666666666667</v>
      </c>
      <c r="H55" s="126">
        <f t="shared" si="14"/>
        <v>3.75</v>
      </c>
      <c r="I55" s="126">
        <f t="shared" si="14"/>
        <v>4.166666666666667</v>
      </c>
      <c r="J55" s="126">
        <f t="shared" si="14"/>
        <v>4.416666666666667</v>
      </c>
      <c r="K55" s="189">
        <f>SUM(D55:J55)</f>
        <v>29.666666666666668</v>
      </c>
    </row>
    <row r="56" spans="1:11" s="126" customFormat="1">
      <c r="A56" s="197"/>
      <c r="K56" s="194">
        <f>(K55*100)/35</f>
        <v>84.761904761904773</v>
      </c>
    </row>
    <row r="58" spans="1:11">
      <c r="A58" s="261" t="s">
        <v>19</v>
      </c>
      <c r="B58" s="179" t="s">
        <v>19</v>
      </c>
      <c r="C58" t="s">
        <v>178</v>
      </c>
      <c r="D58">
        <v>4</v>
      </c>
      <c r="E58">
        <v>3</v>
      </c>
      <c r="F58">
        <v>5</v>
      </c>
      <c r="G58">
        <v>1</v>
      </c>
      <c r="H58">
        <v>5</v>
      </c>
      <c r="I58">
        <v>4</v>
      </c>
      <c r="J58">
        <v>4</v>
      </c>
      <c r="K58">
        <f t="shared" ref="K58:K63" si="15">AVERAGE(D58:J58)</f>
        <v>3.7142857142857144</v>
      </c>
    </row>
    <row r="59" spans="1:11">
      <c r="A59" s="261"/>
      <c r="C59" t="s">
        <v>179</v>
      </c>
      <c r="D59">
        <v>4</v>
      </c>
      <c r="E59">
        <v>4</v>
      </c>
      <c r="F59">
        <v>5</v>
      </c>
      <c r="G59">
        <v>2</v>
      </c>
      <c r="H59">
        <v>5</v>
      </c>
      <c r="I59">
        <v>4</v>
      </c>
      <c r="J59">
        <v>4.5</v>
      </c>
      <c r="K59" s="126">
        <f t="shared" si="15"/>
        <v>4.0714285714285712</v>
      </c>
    </row>
    <row r="60" spans="1:11">
      <c r="A60" s="261"/>
      <c r="C60" t="s">
        <v>175</v>
      </c>
      <c r="D60" s="126">
        <v>5</v>
      </c>
      <c r="E60" s="126">
        <v>5</v>
      </c>
      <c r="F60" s="126">
        <v>5</v>
      </c>
      <c r="G60" s="126">
        <v>2</v>
      </c>
      <c r="H60" s="126">
        <v>3</v>
      </c>
      <c r="I60" s="126">
        <v>5</v>
      </c>
      <c r="J60" s="126">
        <v>4</v>
      </c>
      <c r="K60" s="126">
        <f t="shared" si="15"/>
        <v>4.1428571428571432</v>
      </c>
    </row>
    <row r="61" spans="1:11">
      <c r="A61" s="261"/>
      <c r="C61" t="s">
        <v>174</v>
      </c>
      <c r="D61" s="183">
        <v>5</v>
      </c>
      <c r="E61" s="183">
        <v>4</v>
      </c>
      <c r="F61" s="183">
        <v>5</v>
      </c>
      <c r="G61" s="183">
        <v>2</v>
      </c>
      <c r="H61" s="183">
        <v>5</v>
      </c>
      <c r="I61" s="183">
        <v>5</v>
      </c>
      <c r="J61" s="183">
        <v>5</v>
      </c>
      <c r="K61" s="126">
        <f t="shared" si="15"/>
        <v>4.4285714285714288</v>
      </c>
    </row>
    <row r="62" spans="1:11">
      <c r="A62" s="261"/>
      <c r="B62" s="184"/>
      <c r="C62" s="184" t="s">
        <v>172</v>
      </c>
      <c r="D62" s="184">
        <v>4</v>
      </c>
      <c r="E62" s="184">
        <v>5</v>
      </c>
      <c r="F62" s="184">
        <v>4</v>
      </c>
      <c r="G62" s="184">
        <v>1</v>
      </c>
      <c r="H62" s="184">
        <v>5</v>
      </c>
      <c r="I62" s="184">
        <v>4</v>
      </c>
      <c r="J62" s="184">
        <v>4</v>
      </c>
      <c r="K62" s="184">
        <f t="shared" si="15"/>
        <v>3.8571428571428572</v>
      </c>
    </row>
    <row r="63" spans="1:11">
      <c r="A63" s="261"/>
      <c r="B63" s="126" t="s">
        <v>185</v>
      </c>
      <c r="D63">
        <f>SUM(D58:D62)/5</f>
        <v>4.4000000000000004</v>
      </c>
      <c r="E63" s="126">
        <f t="shared" ref="E63:J63" si="16">SUM(E58:E62)/5</f>
        <v>4.2</v>
      </c>
      <c r="F63" s="126">
        <f t="shared" si="16"/>
        <v>4.8</v>
      </c>
      <c r="G63" s="126">
        <f t="shared" si="16"/>
        <v>1.6</v>
      </c>
      <c r="H63" s="126">
        <f t="shared" si="16"/>
        <v>4.5999999999999996</v>
      </c>
      <c r="I63" s="126">
        <f t="shared" si="16"/>
        <v>4.4000000000000004</v>
      </c>
      <c r="J63" s="126">
        <f t="shared" si="16"/>
        <v>4.3</v>
      </c>
      <c r="K63" s="191">
        <f t="shared" si="15"/>
        <v>4.0428571428571427</v>
      </c>
    </row>
    <row r="64" spans="1:11" s="126" customFormat="1">
      <c r="A64" s="261"/>
      <c r="B64" s="126" t="s">
        <v>187</v>
      </c>
      <c r="D64" s="126">
        <v>1</v>
      </c>
      <c r="E64" s="126">
        <v>1</v>
      </c>
      <c r="F64" s="126">
        <v>1</v>
      </c>
      <c r="G64" s="126">
        <v>1</v>
      </c>
      <c r="H64" s="126">
        <v>1</v>
      </c>
      <c r="I64" s="126">
        <v>1</v>
      </c>
      <c r="J64" s="126">
        <v>1</v>
      </c>
    </row>
    <row r="65" spans="1:11">
      <c r="A65" s="261"/>
      <c r="B65" s="126" t="s">
        <v>188</v>
      </c>
      <c r="D65">
        <f>D63*D64</f>
        <v>4.4000000000000004</v>
      </c>
      <c r="E65" s="126">
        <f t="shared" ref="E65:J65" si="17">E63*E64</f>
        <v>4.2</v>
      </c>
      <c r="F65" s="126">
        <f t="shared" si="17"/>
        <v>4.8</v>
      </c>
      <c r="G65" s="126">
        <f t="shared" si="17"/>
        <v>1.6</v>
      </c>
      <c r="H65" s="126">
        <f t="shared" si="17"/>
        <v>4.5999999999999996</v>
      </c>
      <c r="I65" s="126">
        <f t="shared" si="17"/>
        <v>4.4000000000000004</v>
      </c>
      <c r="J65" s="126">
        <f t="shared" si="17"/>
        <v>4.3</v>
      </c>
      <c r="K65" s="189">
        <f>SUM(D65:J65)</f>
        <v>28.3</v>
      </c>
    </row>
    <row r="66" spans="1:11" s="126" customFormat="1">
      <c r="A66" s="197"/>
      <c r="K66" s="194">
        <f>(K65*100)/35</f>
        <v>80.857142857142861</v>
      </c>
    </row>
    <row r="68" spans="1:11">
      <c r="A68" s="261" t="s">
        <v>125</v>
      </c>
      <c r="B68" s="179" t="s">
        <v>125</v>
      </c>
      <c r="C68" t="s">
        <v>173</v>
      </c>
      <c r="D68" s="126">
        <v>4</v>
      </c>
      <c r="E68" s="126">
        <v>4</v>
      </c>
      <c r="F68" s="126">
        <v>3.5</v>
      </c>
      <c r="G68" s="126">
        <v>3</v>
      </c>
      <c r="H68" s="126">
        <v>3</v>
      </c>
      <c r="I68" s="126">
        <v>3.5</v>
      </c>
      <c r="J68" s="126">
        <v>4</v>
      </c>
      <c r="K68">
        <f>AVERAGE(D68:J68)</f>
        <v>3.5714285714285716</v>
      </c>
    </row>
    <row r="69" spans="1:11">
      <c r="A69" s="261"/>
      <c r="C69" t="s">
        <v>178</v>
      </c>
      <c r="D69">
        <v>4</v>
      </c>
      <c r="E69">
        <v>5</v>
      </c>
      <c r="F69">
        <v>3.5</v>
      </c>
      <c r="G69">
        <v>2.5</v>
      </c>
      <c r="H69">
        <v>5</v>
      </c>
      <c r="I69">
        <v>5</v>
      </c>
      <c r="J69">
        <v>2.5</v>
      </c>
      <c r="K69" s="126">
        <f t="shared" ref="K69:K75" si="18">AVERAGE(D69:J69)</f>
        <v>3.9285714285714284</v>
      </c>
    </row>
    <row r="70" spans="1:11">
      <c r="A70" s="261"/>
      <c r="C70" t="s">
        <v>177</v>
      </c>
      <c r="D70">
        <v>4</v>
      </c>
      <c r="E70">
        <v>4</v>
      </c>
      <c r="F70">
        <v>4</v>
      </c>
      <c r="G70">
        <v>4</v>
      </c>
      <c r="H70">
        <v>4</v>
      </c>
      <c r="I70">
        <v>5</v>
      </c>
      <c r="J70">
        <v>4</v>
      </c>
      <c r="K70" s="126">
        <f t="shared" si="18"/>
        <v>4.1428571428571432</v>
      </c>
    </row>
    <row r="71" spans="1:11">
      <c r="A71" s="261"/>
      <c r="C71" t="s">
        <v>175</v>
      </c>
      <c r="D71" s="126">
        <v>4</v>
      </c>
      <c r="E71" s="126">
        <v>4</v>
      </c>
      <c r="F71" s="126">
        <v>3</v>
      </c>
      <c r="G71" s="126">
        <v>2</v>
      </c>
      <c r="H71" s="126">
        <v>3</v>
      </c>
      <c r="I71" s="126">
        <v>4</v>
      </c>
      <c r="J71" s="126">
        <v>3</v>
      </c>
      <c r="K71" s="126">
        <f t="shared" si="18"/>
        <v>3.2857142857142856</v>
      </c>
    </row>
    <row r="72" spans="1:11">
      <c r="A72" s="261"/>
      <c r="C72" t="s">
        <v>176</v>
      </c>
      <c r="D72">
        <v>5</v>
      </c>
      <c r="E72">
        <v>5</v>
      </c>
      <c r="F72">
        <v>3</v>
      </c>
      <c r="G72">
        <v>5</v>
      </c>
      <c r="H72">
        <v>5</v>
      </c>
      <c r="I72">
        <v>5</v>
      </c>
      <c r="J72">
        <v>4</v>
      </c>
      <c r="K72" s="126">
        <f t="shared" si="18"/>
        <v>4.5714285714285712</v>
      </c>
    </row>
    <row r="73" spans="1:11">
      <c r="A73" s="261"/>
      <c r="C73" t="s">
        <v>174</v>
      </c>
      <c r="D73" s="183">
        <v>4</v>
      </c>
      <c r="E73" s="183">
        <v>4</v>
      </c>
      <c r="F73" s="183">
        <v>4</v>
      </c>
      <c r="G73" s="183">
        <v>5</v>
      </c>
      <c r="H73" s="183">
        <v>5</v>
      </c>
      <c r="I73" s="183">
        <v>4</v>
      </c>
      <c r="J73" s="183">
        <v>4</v>
      </c>
      <c r="K73" s="126">
        <f t="shared" si="18"/>
        <v>4.2857142857142856</v>
      </c>
    </row>
    <row r="74" spans="1:11">
      <c r="A74" s="261"/>
      <c r="B74" s="184"/>
      <c r="C74" s="184" t="s">
        <v>172</v>
      </c>
      <c r="D74" s="184">
        <v>3</v>
      </c>
      <c r="E74" s="184">
        <v>4</v>
      </c>
      <c r="F74" s="184">
        <v>3</v>
      </c>
      <c r="G74" s="184">
        <v>3</v>
      </c>
      <c r="H74" s="184">
        <v>2</v>
      </c>
      <c r="I74" s="184">
        <v>4</v>
      </c>
      <c r="J74" s="184">
        <v>3</v>
      </c>
      <c r="K74" s="184">
        <f t="shared" si="18"/>
        <v>3.1428571428571428</v>
      </c>
    </row>
    <row r="75" spans="1:11">
      <c r="A75" s="261"/>
      <c r="B75" s="126" t="s">
        <v>185</v>
      </c>
      <c r="D75">
        <f>SUM(D68:D74)/7</f>
        <v>4</v>
      </c>
      <c r="E75" s="126">
        <f t="shared" ref="E75:J75" si="19">SUM(E68:E74)/7</f>
        <v>4.2857142857142856</v>
      </c>
      <c r="F75" s="126">
        <f t="shared" si="19"/>
        <v>3.4285714285714284</v>
      </c>
      <c r="G75" s="126">
        <f t="shared" si="19"/>
        <v>3.5</v>
      </c>
      <c r="H75" s="126">
        <f t="shared" si="19"/>
        <v>3.8571428571428572</v>
      </c>
      <c r="I75" s="126">
        <f t="shared" si="19"/>
        <v>4.3571428571428568</v>
      </c>
      <c r="J75" s="126">
        <f t="shared" si="19"/>
        <v>3.5</v>
      </c>
      <c r="K75" s="191">
        <f t="shared" si="18"/>
        <v>3.8469387755102038</v>
      </c>
    </row>
    <row r="76" spans="1:11" s="126" customFormat="1">
      <c r="A76" s="261"/>
      <c r="B76" s="126" t="s">
        <v>187</v>
      </c>
      <c r="D76" s="126">
        <v>1</v>
      </c>
      <c r="E76" s="126">
        <v>1</v>
      </c>
      <c r="F76" s="126">
        <v>1</v>
      </c>
      <c r="G76" s="126">
        <v>1</v>
      </c>
      <c r="H76" s="126">
        <v>1</v>
      </c>
      <c r="I76" s="126">
        <v>1</v>
      </c>
      <c r="J76" s="126">
        <v>1</v>
      </c>
    </row>
    <row r="77" spans="1:11">
      <c r="A77" s="261"/>
      <c r="B77" s="126" t="s">
        <v>188</v>
      </c>
      <c r="D77">
        <f>D75*D76</f>
        <v>4</v>
      </c>
      <c r="E77" s="126">
        <f t="shared" ref="E77:J77" si="20">E75*E76</f>
        <v>4.2857142857142856</v>
      </c>
      <c r="F77" s="126">
        <f t="shared" si="20"/>
        <v>3.4285714285714284</v>
      </c>
      <c r="G77" s="126">
        <f t="shared" si="20"/>
        <v>3.5</v>
      </c>
      <c r="H77" s="126">
        <f t="shared" si="20"/>
        <v>3.8571428571428572</v>
      </c>
      <c r="I77" s="126">
        <f t="shared" si="20"/>
        <v>4.3571428571428568</v>
      </c>
      <c r="J77" s="126">
        <f t="shared" si="20"/>
        <v>3.5</v>
      </c>
      <c r="K77" s="189">
        <f>SUM(D77:J77)</f>
        <v>26.928571428571427</v>
      </c>
    </row>
    <row r="78" spans="1:11" s="126" customFormat="1">
      <c r="A78" s="197"/>
      <c r="K78" s="194">
        <f>(K77*100)/35</f>
        <v>76.938775510204081</v>
      </c>
    </row>
    <row r="80" spans="1:11">
      <c r="A80" s="261" t="s">
        <v>126</v>
      </c>
      <c r="B80" s="179" t="s">
        <v>126</v>
      </c>
      <c r="C80" t="s">
        <v>173</v>
      </c>
      <c r="D80" s="126">
        <v>4</v>
      </c>
      <c r="E80" s="126">
        <v>3</v>
      </c>
      <c r="F80" s="126">
        <v>3.5</v>
      </c>
      <c r="G80" s="126">
        <v>4</v>
      </c>
      <c r="H80" s="126">
        <v>4</v>
      </c>
      <c r="I80" s="126">
        <v>4</v>
      </c>
      <c r="J80" s="126">
        <v>4</v>
      </c>
      <c r="K80">
        <f>AVERAGE(D80:J80)</f>
        <v>3.7857142857142856</v>
      </c>
    </row>
    <row r="81" spans="1:11">
      <c r="A81" s="261"/>
      <c r="C81" t="s">
        <v>178</v>
      </c>
      <c r="D81">
        <v>5</v>
      </c>
      <c r="E81">
        <v>3.5</v>
      </c>
      <c r="F81">
        <v>4.5</v>
      </c>
      <c r="G81">
        <v>4</v>
      </c>
      <c r="H81">
        <v>5</v>
      </c>
      <c r="I81">
        <v>4</v>
      </c>
      <c r="J81">
        <v>4</v>
      </c>
      <c r="K81" s="126">
        <f t="shared" ref="K81:K86" si="21">AVERAGE(D81:J81)</f>
        <v>4.2857142857142856</v>
      </c>
    </row>
    <row r="82" spans="1:11">
      <c r="A82" s="261"/>
      <c r="C82" t="s">
        <v>179</v>
      </c>
      <c r="D82">
        <v>4</v>
      </c>
      <c r="E82">
        <v>1</v>
      </c>
      <c r="F82">
        <v>4</v>
      </c>
      <c r="G82">
        <v>5</v>
      </c>
      <c r="H82">
        <v>3</v>
      </c>
      <c r="I82">
        <v>4</v>
      </c>
      <c r="J82">
        <v>4</v>
      </c>
      <c r="K82" s="126">
        <f t="shared" si="21"/>
        <v>3.5714285714285716</v>
      </c>
    </row>
    <row r="83" spans="1:11">
      <c r="A83" s="261"/>
      <c r="C83" t="s">
        <v>175</v>
      </c>
      <c r="D83" s="126">
        <v>5</v>
      </c>
      <c r="E83" s="126">
        <v>4</v>
      </c>
      <c r="F83" s="126">
        <v>5</v>
      </c>
      <c r="G83" s="126">
        <v>5</v>
      </c>
      <c r="H83" s="126">
        <v>5</v>
      </c>
      <c r="I83" s="126">
        <v>5</v>
      </c>
      <c r="J83" s="126">
        <v>5</v>
      </c>
      <c r="K83" s="126">
        <f t="shared" si="21"/>
        <v>4.8571428571428568</v>
      </c>
    </row>
    <row r="84" spans="1:11">
      <c r="A84" s="261"/>
      <c r="C84" t="s">
        <v>174</v>
      </c>
      <c r="D84" s="183">
        <v>5</v>
      </c>
      <c r="E84" s="183">
        <v>3</v>
      </c>
      <c r="F84" s="183">
        <v>4</v>
      </c>
      <c r="G84" s="183">
        <v>5</v>
      </c>
      <c r="H84" s="183">
        <v>5</v>
      </c>
      <c r="I84" s="183">
        <v>4</v>
      </c>
      <c r="J84" s="183">
        <v>5</v>
      </c>
      <c r="K84" s="126">
        <f t="shared" si="21"/>
        <v>4.4285714285714288</v>
      </c>
    </row>
    <row r="85" spans="1:11">
      <c r="A85" s="261"/>
      <c r="B85" s="184"/>
      <c r="C85" s="184" t="s">
        <v>172</v>
      </c>
      <c r="D85" s="184">
        <v>3.5</v>
      </c>
      <c r="E85" s="184">
        <v>3.5</v>
      </c>
      <c r="F85" s="184">
        <v>3.5</v>
      </c>
      <c r="G85" s="184">
        <v>5</v>
      </c>
      <c r="H85" s="184">
        <v>3</v>
      </c>
      <c r="I85" s="184">
        <v>4</v>
      </c>
      <c r="J85" s="184">
        <v>3.5</v>
      </c>
      <c r="K85" s="184">
        <f t="shared" si="21"/>
        <v>3.7142857142857144</v>
      </c>
    </row>
    <row r="86" spans="1:11">
      <c r="A86" s="261"/>
      <c r="B86" s="126" t="s">
        <v>185</v>
      </c>
      <c r="D86">
        <f>SUM(D80:D85)/6</f>
        <v>4.416666666666667</v>
      </c>
      <c r="E86" s="126">
        <f t="shared" ref="E86:J86" si="22">SUM(E80:E85)/6</f>
        <v>3</v>
      </c>
      <c r="F86" s="126">
        <f t="shared" si="22"/>
        <v>4.083333333333333</v>
      </c>
      <c r="G86" s="126">
        <f t="shared" si="22"/>
        <v>4.666666666666667</v>
      </c>
      <c r="H86" s="126">
        <f t="shared" si="22"/>
        <v>4.166666666666667</v>
      </c>
      <c r="I86" s="126">
        <f t="shared" si="22"/>
        <v>4.166666666666667</v>
      </c>
      <c r="J86" s="126">
        <f t="shared" si="22"/>
        <v>4.25</v>
      </c>
      <c r="K86" s="191">
        <f t="shared" si="21"/>
        <v>4.1071428571428577</v>
      </c>
    </row>
    <row r="87" spans="1:11" s="126" customFormat="1">
      <c r="A87" s="261"/>
      <c r="B87" s="126" t="s">
        <v>187</v>
      </c>
      <c r="D87" s="126">
        <v>1</v>
      </c>
      <c r="E87" s="126">
        <v>1</v>
      </c>
      <c r="F87" s="126">
        <v>1</v>
      </c>
      <c r="G87" s="126">
        <v>1</v>
      </c>
      <c r="H87" s="126">
        <v>1</v>
      </c>
      <c r="I87" s="126">
        <v>1</v>
      </c>
      <c r="J87" s="126">
        <v>1</v>
      </c>
    </row>
    <row r="88" spans="1:11">
      <c r="A88" s="261"/>
      <c r="B88" s="126" t="s">
        <v>188</v>
      </c>
      <c r="D88">
        <f>D86*D87</f>
        <v>4.416666666666667</v>
      </c>
      <c r="E88" s="126">
        <f t="shared" ref="E88:J88" si="23">E86*E87</f>
        <v>3</v>
      </c>
      <c r="F88" s="126">
        <f t="shared" si="23"/>
        <v>4.083333333333333</v>
      </c>
      <c r="G88" s="126">
        <f t="shared" si="23"/>
        <v>4.666666666666667</v>
      </c>
      <c r="H88" s="126">
        <f t="shared" si="23"/>
        <v>4.166666666666667</v>
      </c>
      <c r="I88" s="126">
        <f t="shared" si="23"/>
        <v>4.166666666666667</v>
      </c>
      <c r="J88" s="126">
        <f t="shared" si="23"/>
        <v>4.25</v>
      </c>
      <c r="K88" s="189">
        <f>SUM(D88:J88)</f>
        <v>28.750000000000004</v>
      </c>
    </row>
    <row r="89" spans="1:11" s="126" customFormat="1">
      <c r="A89" s="197"/>
      <c r="K89" s="194">
        <f>(K88*100)/35</f>
        <v>82.142857142857153</v>
      </c>
    </row>
    <row r="91" spans="1:11">
      <c r="A91" s="261" t="s">
        <v>127</v>
      </c>
      <c r="B91" s="179" t="s">
        <v>127</v>
      </c>
      <c r="C91" s="126" t="s">
        <v>173</v>
      </c>
      <c r="D91" s="126">
        <v>4.5</v>
      </c>
      <c r="E91" s="126">
        <v>4</v>
      </c>
      <c r="F91" s="126">
        <v>4</v>
      </c>
      <c r="G91" s="126">
        <v>4</v>
      </c>
      <c r="H91" s="126">
        <v>4</v>
      </c>
      <c r="I91" s="126">
        <v>3.5</v>
      </c>
      <c r="J91" s="126">
        <v>4</v>
      </c>
      <c r="K91">
        <f>AVERAGE(D91:J91)</f>
        <v>4</v>
      </c>
    </row>
    <row r="92" spans="1:11">
      <c r="A92" s="261"/>
      <c r="C92" s="126" t="s">
        <v>178</v>
      </c>
      <c r="D92">
        <v>4</v>
      </c>
      <c r="E92">
        <v>5</v>
      </c>
      <c r="F92">
        <v>4</v>
      </c>
      <c r="G92">
        <v>4.5</v>
      </c>
      <c r="H92">
        <v>5</v>
      </c>
      <c r="I92">
        <v>3.5</v>
      </c>
      <c r="J92">
        <v>4</v>
      </c>
      <c r="K92" s="126">
        <f t="shared" ref="K92:K98" si="24">AVERAGE(D92:J92)</f>
        <v>4.2857142857142856</v>
      </c>
    </row>
    <row r="93" spans="1:11">
      <c r="A93" s="261"/>
      <c r="C93" s="126" t="s">
        <v>177</v>
      </c>
      <c r="D93">
        <v>4</v>
      </c>
      <c r="E93">
        <v>4</v>
      </c>
      <c r="F93">
        <v>3</v>
      </c>
      <c r="G93">
        <v>4</v>
      </c>
      <c r="H93">
        <v>4</v>
      </c>
      <c r="I93">
        <v>3</v>
      </c>
      <c r="J93">
        <v>4</v>
      </c>
      <c r="K93" s="126">
        <f t="shared" si="24"/>
        <v>3.7142857142857144</v>
      </c>
    </row>
    <row r="94" spans="1:11">
      <c r="A94" s="261"/>
      <c r="C94" s="126" t="s">
        <v>179</v>
      </c>
      <c r="D94">
        <v>5</v>
      </c>
      <c r="E94">
        <v>5</v>
      </c>
      <c r="F94">
        <v>3</v>
      </c>
      <c r="G94">
        <v>5</v>
      </c>
      <c r="H94">
        <v>3</v>
      </c>
      <c r="I94">
        <v>4</v>
      </c>
      <c r="J94">
        <v>4</v>
      </c>
      <c r="K94" s="126">
        <f t="shared" si="24"/>
        <v>4.1428571428571432</v>
      </c>
    </row>
    <row r="95" spans="1:11">
      <c r="A95" s="261"/>
      <c r="C95" s="126" t="s">
        <v>175</v>
      </c>
      <c r="D95" s="126">
        <v>5</v>
      </c>
      <c r="E95" s="126">
        <v>5</v>
      </c>
      <c r="F95" s="126">
        <v>5</v>
      </c>
      <c r="G95" s="126">
        <v>5</v>
      </c>
      <c r="H95" s="126">
        <v>5</v>
      </c>
      <c r="I95" s="126">
        <v>5</v>
      </c>
      <c r="J95" s="126">
        <v>5</v>
      </c>
      <c r="K95" s="126">
        <f t="shared" si="24"/>
        <v>5</v>
      </c>
    </row>
    <row r="96" spans="1:11">
      <c r="A96" s="261"/>
      <c r="C96" s="126" t="s">
        <v>174</v>
      </c>
      <c r="D96" s="183">
        <v>5</v>
      </c>
      <c r="E96" s="183">
        <v>4</v>
      </c>
      <c r="F96" s="183">
        <v>4</v>
      </c>
      <c r="G96" s="183">
        <v>5</v>
      </c>
      <c r="H96" s="183">
        <v>5</v>
      </c>
      <c r="I96" s="183">
        <v>4</v>
      </c>
      <c r="J96" s="183">
        <v>5</v>
      </c>
      <c r="K96" s="126">
        <f t="shared" si="24"/>
        <v>4.5714285714285712</v>
      </c>
    </row>
    <row r="97" spans="1:11">
      <c r="A97" s="261"/>
      <c r="B97" s="184"/>
      <c r="C97" s="184" t="s">
        <v>172</v>
      </c>
      <c r="D97" s="184">
        <v>4</v>
      </c>
      <c r="E97" s="184">
        <v>3.5</v>
      </c>
      <c r="F97" s="184">
        <v>4</v>
      </c>
      <c r="G97" s="184">
        <v>5</v>
      </c>
      <c r="H97" s="184">
        <v>4</v>
      </c>
      <c r="I97" s="184">
        <v>3.5</v>
      </c>
      <c r="J97" s="184">
        <v>4</v>
      </c>
      <c r="K97" s="184">
        <f t="shared" si="24"/>
        <v>4</v>
      </c>
    </row>
    <row r="98" spans="1:11">
      <c r="A98" s="261"/>
      <c r="B98" s="126" t="s">
        <v>185</v>
      </c>
      <c r="D98">
        <f t="shared" ref="D98:J98" si="25">SUM(D91:D97)/7</f>
        <v>4.5</v>
      </c>
      <c r="E98" s="126">
        <f t="shared" si="25"/>
        <v>4.3571428571428568</v>
      </c>
      <c r="F98" s="126">
        <f t="shared" si="25"/>
        <v>3.8571428571428572</v>
      </c>
      <c r="G98" s="126">
        <f t="shared" si="25"/>
        <v>4.6428571428571432</v>
      </c>
      <c r="H98" s="126">
        <f t="shared" si="25"/>
        <v>4.2857142857142856</v>
      </c>
      <c r="I98" s="126">
        <f t="shared" si="25"/>
        <v>3.7857142857142856</v>
      </c>
      <c r="J98" s="126">
        <f t="shared" si="25"/>
        <v>4.2857142857142856</v>
      </c>
      <c r="K98" s="191">
        <f t="shared" si="24"/>
        <v>4.2448979591836729</v>
      </c>
    </row>
    <row r="99" spans="1:11" s="126" customFormat="1">
      <c r="A99" s="261"/>
      <c r="B99" s="126" t="s">
        <v>187</v>
      </c>
      <c r="D99" s="126">
        <v>1</v>
      </c>
      <c r="E99" s="126">
        <v>1</v>
      </c>
      <c r="F99" s="126">
        <v>1</v>
      </c>
      <c r="G99" s="126">
        <v>1</v>
      </c>
      <c r="H99" s="126">
        <v>1</v>
      </c>
      <c r="I99" s="126">
        <v>1</v>
      </c>
      <c r="J99" s="126">
        <v>1</v>
      </c>
    </row>
    <row r="100" spans="1:11">
      <c r="A100" s="261"/>
      <c r="B100" s="126" t="s">
        <v>188</v>
      </c>
      <c r="D100">
        <f>D98*D99</f>
        <v>4.5</v>
      </c>
      <c r="E100" s="126">
        <f t="shared" ref="E100:J100" si="26">E98*E99</f>
        <v>4.3571428571428568</v>
      </c>
      <c r="F100" s="126">
        <f t="shared" si="26"/>
        <v>3.8571428571428572</v>
      </c>
      <c r="G100" s="126">
        <f t="shared" si="26"/>
        <v>4.6428571428571432</v>
      </c>
      <c r="H100" s="126">
        <f t="shared" si="26"/>
        <v>4.2857142857142856</v>
      </c>
      <c r="I100" s="126">
        <f t="shared" si="26"/>
        <v>3.7857142857142856</v>
      </c>
      <c r="J100" s="126">
        <f t="shared" si="26"/>
        <v>4.2857142857142856</v>
      </c>
      <c r="K100" s="189">
        <f>SUM(D100:J100)</f>
        <v>29.714285714285712</v>
      </c>
    </row>
    <row r="101" spans="1:11">
      <c r="K101" s="194">
        <f>(K100*100)/35</f>
        <v>84.897959183673464</v>
      </c>
    </row>
  </sheetData>
  <mergeCells count="9">
    <mergeCell ref="A68:A77"/>
    <mergeCell ref="A80:A88"/>
    <mergeCell ref="A91:A100"/>
    <mergeCell ref="A2:A11"/>
    <mergeCell ref="A13:A22"/>
    <mergeCell ref="A24:A33"/>
    <mergeCell ref="A36:A44"/>
    <mergeCell ref="A47:A55"/>
    <mergeCell ref="A58:A65"/>
  </mergeCells>
  <pageMargins left="0.7" right="0.7" top="0.75" bottom="0.75" header="0.3" footer="0.3"/>
  <pageSetup scale="93" fitToHeight="0" orientation="landscape" r:id="rId1"/>
  <rowBreaks count="2" manualBreakCount="2">
    <brk id="33" max="10" man="1"/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46" zoomScaleNormal="100" workbookViewId="0">
      <selection activeCell="C65" sqref="C65"/>
    </sheetView>
  </sheetViews>
  <sheetFormatPr defaultColWidth="9.109375" defaultRowHeight="14.4"/>
  <cols>
    <col min="1" max="1" width="9.109375" style="126"/>
    <col min="2" max="2" width="28.44140625" style="183" customWidth="1"/>
    <col min="3" max="3" width="15.33203125" style="46" bestFit="1" customWidth="1"/>
    <col min="4" max="4" width="28.5546875" style="183" customWidth="1"/>
    <col min="5" max="5" width="22.44140625" style="46" bestFit="1" customWidth="1"/>
    <col min="6" max="6" width="15.33203125" style="126" hidden="1" customWidth="1"/>
    <col min="7" max="7" width="39.88671875" style="126" customWidth="1"/>
    <col min="8" max="9" width="14.33203125" style="126" bestFit="1" customWidth="1"/>
    <col min="10" max="16384" width="9.109375" style="126"/>
  </cols>
  <sheetData>
    <row r="1" spans="1:7">
      <c r="B1" s="200"/>
      <c r="C1" s="199" t="s">
        <v>128</v>
      </c>
      <c r="D1" s="200" t="s">
        <v>129</v>
      </c>
      <c r="E1" s="199" t="s">
        <v>196</v>
      </c>
      <c r="F1" s="184" t="s">
        <v>240</v>
      </c>
      <c r="G1" s="184"/>
    </row>
    <row r="2" spans="1:7">
      <c r="B2" s="263" t="s">
        <v>4</v>
      </c>
      <c r="C2" s="46">
        <f>G15</f>
        <v>3831143</v>
      </c>
      <c r="D2" s="183" t="s">
        <v>241</v>
      </c>
      <c r="E2" s="46">
        <v>591843</v>
      </c>
    </row>
    <row r="3" spans="1:7">
      <c r="B3" s="261"/>
      <c r="D3" s="183" t="s">
        <v>155</v>
      </c>
      <c r="E3" s="46">
        <f>173060-80000</f>
        <v>93060</v>
      </c>
      <c r="G3" s="126" t="s">
        <v>269</v>
      </c>
    </row>
    <row r="4" spans="1:7" ht="28.8">
      <c r="B4" s="261"/>
      <c r="D4" s="183" t="s">
        <v>242</v>
      </c>
      <c r="E4" s="46">
        <v>244352</v>
      </c>
    </row>
    <row r="5" spans="1:7">
      <c r="B5" s="261"/>
      <c r="D5" s="183" t="s">
        <v>243</v>
      </c>
      <c r="E5" s="46">
        <v>522484</v>
      </c>
    </row>
    <row r="6" spans="1:7">
      <c r="B6" s="261"/>
      <c r="D6" s="183" t="s">
        <v>244</v>
      </c>
      <c r="E6" s="46">
        <v>725058</v>
      </c>
    </row>
    <row r="7" spans="1:7">
      <c r="B7" s="261"/>
      <c r="D7" s="183" t="s">
        <v>245</v>
      </c>
      <c r="E7" s="46">
        <v>203681</v>
      </c>
    </row>
    <row r="8" spans="1:7">
      <c r="B8" s="261"/>
      <c r="D8" s="183" t="s">
        <v>246</v>
      </c>
      <c r="E8" s="46">
        <v>230033</v>
      </c>
    </row>
    <row r="9" spans="1:7">
      <c r="B9" s="261"/>
      <c r="D9" s="183" t="s">
        <v>247</v>
      </c>
      <c r="E9" s="46">
        <v>46100</v>
      </c>
    </row>
    <row r="10" spans="1:7">
      <c r="B10" s="261"/>
      <c r="D10" s="183" t="s">
        <v>248</v>
      </c>
      <c r="G10" s="126" t="s">
        <v>271</v>
      </c>
    </row>
    <row r="11" spans="1:7">
      <c r="B11" s="261"/>
      <c r="D11" s="183" t="s">
        <v>249</v>
      </c>
      <c r="E11" s="46">
        <v>411461</v>
      </c>
    </row>
    <row r="12" spans="1:7" ht="28.8">
      <c r="B12" s="261"/>
      <c r="D12" s="183" t="s">
        <v>250</v>
      </c>
      <c r="E12" s="178">
        <v>500000</v>
      </c>
      <c r="G12" s="126" t="s">
        <v>270</v>
      </c>
    </row>
    <row r="13" spans="1:7">
      <c r="B13" s="261"/>
      <c r="D13" s="183" t="s">
        <v>251</v>
      </c>
    </row>
    <row r="14" spans="1:7">
      <c r="B14" s="261"/>
      <c r="D14" s="183" t="s">
        <v>252</v>
      </c>
      <c r="E14" s="46">
        <v>3200</v>
      </c>
    </row>
    <row r="15" spans="1:7">
      <c r="A15" s="184"/>
      <c r="B15" s="264"/>
      <c r="C15" s="199"/>
      <c r="D15" s="200" t="s">
        <v>253</v>
      </c>
      <c r="E15" s="199">
        <v>259871</v>
      </c>
      <c r="F15" s="198" t="s">
        <v>254</v>
      </c>
      <c r="G15" s="198">
        <f>SUM(E2:E15)</f>
        <v>3831143</v>
      </c>
    </row>
    <row r="16" spans="1:7">
      <c r="B16" s="263" t="s">
        <v>11</v>
      </c>
      <c r="C16" s="228">
        <f>G21</f>
        <v>2115131</v>
      </c>
      <c r="D16" s="183" t="s">
        <v>235</v>
      </c>
      <c r="E16" s="46">
        <v>583960</v>
      </c>
    </row>
    <row r="17" spans="1:7">
      <c r="B17" s="261"/>
      <c r="D17" s="183" t="s">
        <v>236</v>
      </c>
      <c r="E17" s="46">
        <v>1073703</v>
      </c>
    </row>
    <row r="18" spans="1:7">
      <c r="B18" s="261"/>
      <c r="D18" s="183" t="s">
        <v>237</v>
      </c>
      <c r="E18" s="46">
        <v>290655</v>
      </c>
    </row>
    <row r="19" spans="1:7">
      <c r="B19" s="261"/>
      <c r="D19" s="183" t="s">
        <v>222</v>
      </c>
      <c r="E19" s="46">
        <v>676320</v>
      </c>
    </row>
    <row r="20" spans="1:7" s="216" customFormat="1">
      <c r="B20" s="264"/>
      <c r="C20" s="226"/>
      <c r="D20" s="227" t="s">
        <v>238</v>
      </c>
      <c r="E20" s="226">
        <v>316439</v>
      </c>
      <c r="F20" s="228" t="s">
        <v>239</v>
      </c>
      <c r="G20" s="228">
        <f>SUM(E16:E20)</f>
        <v>2941077</v>
      </c>
    </row>
    <row r="21" spans="1:7" s="216" customFormat="1">
      <c r="A21" s="184"/>
      <c r="B21" s="225"/>
      <c r="C21" s="199"/>
      <c r="D21" s="200" t="s">
        <v>272</v>
      </c>
      <c r="E21" s="199">
        <f>2115131-G20</f>
        <v>-825946</v>
      </c>
      <c r="F21" s="198"/>
      <c r="G21" s="198">
        <f>SUM(E16:E21)</f>
        <v>2115131</v>
      </c>
    </row>
    <row r="22" spans="1:7">
      <c r="B22" s="265" t="s">
        <v>121</v>
      </c>
      <c r="C22" s="46">
        <f>G30</f>
        <v>1468258</v>
      </c>
      <c r="D22" s="183" t="s">
        <v>226</v>
      </c>
      <c r="E22" s="46">
        <v>279588</v>
      </c>
    </row>
    <row r="23" spans="1:7">
      <c r="B23" s="261"/>
      <c r="D23" s="183" t="s">
        <v>227</v>
      </c>
      <c r="E23" s="46">
        <v>775106</v>
      </c>
    </row>
    <row r="24" spans="1:7">
      <c r="B24" s="261"/>
      <c r="D24" s="183" t="s">
        <v>228</v>
      </c>
      <c r="E24" s="46">
        <v>56250</v>
      </c>
    </row>
    <row r="25" spans="1:7">
      <c r="B25" s="261"/>
      <c r="D25" s="183" t="s">
        <v>229</v>
      </c>
      <c r="E25" s="46">
        <v>120000</v>
      </c>
    </row>
    <row r="26" spans="1:7">
      <c r="B26" s="261"/>
      <c r="D26" s="183" t="s">
        <v>230</v>
      </c>
      <c r="E26" s="46">
        <v>119420</v>
      </c>
    </row>
    <row r="27" spans="1:7" ht="28.8">
      <c r="B27" s="261"/>
      <c r="D27" s="183" t="s">
        <v>231</v>
      </c>
      <c r="E27" s="46">
        <v>24500</v>
      </c>
    </row>
    <row r="28" spans="1:7">
      <c r="B28" s="261"/>
      <c r="D28" s="183" t="s">
        <v>215</v>
      </c>
      <c r="E28" s="46">
        <v>21228</v>
      </c>
    </row>
    <row r="29" spans="1:7" s="216" customFormat="1">
      <c r="B29" s="264"/>
      <c r="C29" s="226"/>
      <c r="D29" s="227" t="s">
        <v>232</v>
      </c>
      <c r="E29" s="226">
        <v>137853</v>
      </c>
      <c r="F29" s="228" t="s">
        <v>233</v>
      </c>
      <c r="G29" s="228">
        <f>SUM(E22:E29)</f>
        <v>1533945</v>
      </c>
    </row>
    <row r="30" spans="1:7" s="216" customFormat="1">
      <c r="A30" s="184"/>
      <c r="B30" s="225"/>
      <c r="C30" s="199"/>
      <c r="D30" s="200" t="s">
        <v>272</v>
      </c>
      <c r="E30" s="199">
        <f>1468258-G29</f>
        <v>-65687</v>
      </c>
      <c r="F30" s="198"/>
      <c r="G30" s="198">
        <f>SUM(E22:E30)</f>
        <v>1468258</v>
      </c>
    </row>
    <row r="31" spans="1:7" ht="28.8">
      <c r="B31" s="265" t="s">
        <v>122</v>
      </c>
      <c r="C31" s="46">
        <f>G45</f>
        <v>6674286.2999999998</v>
      </c>
      <c r="D31" s="183" t="s">
        <v>208</v>
      </c>
    </row>
    <row r="32" spans="1:7">
      <c r="B32" s="261"/>
      <c r="D32" s="183" t="s">
        <v>209</v>
      </c>
    </row>
    <row r="33" spans="1:9" ht="28.8">
      <c r="B33" s="261"/>
      <c r="D33" s="183" t="s">
        <v>210</v>
      </c>
    </row>
    <row r="34" spans="1:9">
      <c r="B34" s="261"/>
      <c r="D34" s="183" t="s">
        <v>211</v>
      </c>
    </row>
    <row r="35" spans="1:9">
      <c r="B35" s="261"/>
      <c r="D35" s="229" t="s">
        <v>212</v>
      </c>
      <c r="E35" s="178">
        <v>1198487</v>
      </c>
    </row>
    <row r="36" spans="1:9">
      <c r="B36" s="261"/>
      <c r="D36" s="229" t="s">
        <v>213</v>
      </c>
      <c r="E36" s="178">
        <v>2371495</v>
      </c>
    </row>
    <row r="37" spans="1:9">
      <c r="B37" s="261"/>
      <c r="D37" s="229" t="s">
        <v>214</v>
      </c>
      <c r="E37" s="178">
        <v>1065629</v>
      </c>
    </row>
    <row r="38" spans="1:9">
      <c r="B38" s="261"/>
      <c r="D38" s="183" t="s">
        <v>215</v>
      </c>
    </row>
    <row r="39" spans="1:9">
      <c r="B39" s="261"/>
      <c r="D39" s="183" t="s">
        <v>216</v>
      </c>
    </row>
    <row r="40" spans="1:9">
      <c r="B40" s="261"/>
      <c r="D40" s="229" t="s">
        <v>217</v>
      </c>
      <c r="E40" s="178">
        <v>407220</v>
      </c>
    </row>
    <row r="41" spans="1:9">
      <c r="B41" s="261"/>
      <c r="D41" s="183" t="s">
        <v>218</v>
      </c>
    </row>
    <row r="42" spans="1:9">
      <c r="B42" s="261"/>
      <c r="D42" s="229" t="s">
        <v>219</v>
      </c>
      <c r="E42" s="178">
        <v>1024702</v>
      </c>
    </row>
    <row r="43" spans="1:9">
      <c r="B43" s="261"/>
      <c r="D43" s="183" t="s">
        <v>220</v>
      </c>
    </row>
    <row r="44" spans="1:9">
      <c r="B44" s="261"/>
      <c r="D44" s="183" t="s">
        <v>221</v>
      </c>
    </row>
    <row r="45" spans="1:9">
      <c r="A45" s="184"/>
      <c r="B45" s="264"/>
      <c r="C45" s="199"/>
      <c r="D45" s="200" t="s">
        <v>273</v>
      </c>
      <c r="E45" s="199">
        <f>0.1*SUM(E35:E44)</f>
        <v>606753.30000000005</v>
      </c>
      <c r="F45" s="198" t="s">
        <v>255</v>
      </c>
      <c r="G45" s="198">
        <f>SUM(E31:E45)</f>
        <v>6674286.2999999998</v>
      </c>
    </row>
    <row r="46" spans="1:9">
      <c r="B46" s="263" t="s">
        <v>123</v>
      </c>
      <c r="C46" s="46">
        <f>G51</f>
        <v>7950316</v>
      </c>
      <c r="D46" s="183" t="s">
        <v>197</v>
      </c>
      <c r="E46" s="46">
        <v>3522616</v>
      </c>
      <c r="G46" s="83"/>
      <c r="H46" s="83"/>
      <c r="I46" s="83"/>
    </row>
    <row r="47" spans="1:9" ht="57.6">
      <c r="B47" s="261"/>
      <c r="D47" s="183" t="s">
        <v>198</v>
      </c>
      <c r="E47" s="46">
        <v>1974244</v>
      </c>
      <c r="G47" s="230" t="s">
        <v>274</v>
      </c>
      <c r="H47" s="83"/>
    </row>
    <row r="48" spans="1:9" ht="28.8">
      <c r="B48" s="261"/>
      <c r="D48" s="183" t="s">
        <v>199</v>
      </c>
      <c r="E48" s="46">
        <v>253667</v>
      </c>
      <c r="G48" s="83"/>
      <c r="H48" s="83"/>
    </row>
    <row r="49" spans="1:8" ht="28.8">
      <c r="B49" s="261"/>
      <c r="D49" s="183" t="s">
        <v>200</v>
      </c>
      <c r="E49" s="46">
        <v>896936</v>
      </c>
      <c r="G49" s="83"/>
      <c r="H49" s="83"/>
    </row>
    <row r="50" spans="1:8">
      <c r="B50" s="261"/>
      <c r="D50" s="183" t="s">
        <v>201</v>
      </c>
      <c r="E50" s="46">
        <v>924271</v>
      </c>
      <c r="F50" s="83"/>
      <c r="G50" s="83"/>
      <c r="H50" s="83"/>
    </row>
    <row r="51" spans="1:8" ht="28.8">
      <c r="A51" s="184"/>
      <c r="B51" s="264"/>
      <c r="C51" s="199"/>
      <c r="D51" s="200" t="s">
        <v>202</v>
      </c>
      <c r="E51" s="199">
        <v>378582</v>
      </c>
      <c r="F51" s="198" t="s">
        <v>256</v>
      </c>
      <c r="G51" s="198">
        <f>SUM(E46:E51)</f>
        <v>7950316</v>
      </c>
    </row>
    <row r="52" spans="1:8">
      <c r="B52" s="263" t="s">
        <v>124</v>
      </c>
      <c r="C52" s="46">
        <f>G56</f>
        <v>1882870</v>
      </c>
      <c r="D52" s="183" t="s">
        <v>257</v>
      </c>
      <c r="E52" s="46">
        <v>1938509</v>
      </c>
    </row>
    <row r="53" spans="1:8">
      <c r="B53" s="261"/>
      <c r="D53" s="183" t="s">
        <v>258</v>
      </c>
      <c r="E53" s="46">
        <v>101463</v>
      </c>
    </row>
    <row r="54" spans="1:8" ht="28.8">
      <c r="B54" s="261"/>
      <c r="D54" s="183" t="s">
        <v>259</v>
      </c>
      <c r="E54" s="46">
        <v>103501</v>
      </c>
    </row>
    <row r="55" spans="1:8" ht="28.8">
      <c r="B55" s="261"/>
      <c r="D55" s="183" t="s">
        <v>260</v>
      </c>
      <c r="E55" s="46">
        <v>298178</v>
      </c>
    </row>
    <row r="56" spans="1:8">
      <c r="A56" s="184"/>
      <c r="B56" s="264"/>
      <c r="C56" s="199"/>
      <c r="D56" s="200" t="s">
        <v>261</v>
      </c>
      <c r="E56" s="199">
        <v>-558781</v>
      </c>
      <c r="F56" s="184" t="s">
        <v>262</v>
      </c>
      <c r="G56" s="198">
        <f>SUM(E52:E56)</f>
        <v>1882870</v>
      </c>
    </row>
    <row r="57" spans="1:8">
      <c r="B57" s="263" t="s">
        <v>125</v>
      </c>
      <c r="C57" s="46">
        <f>G60</f>
        <v>3100000</v>
      </c>
      <c r="D57" s="183" t="s">
        <v>222</v>
      </c>
      <c r="E57" s="46">
        <v>1700000</v>
      </c>
    </row>
    <row r="58" spans="1:8">
      <c r="B58" s="261"/>
      <c r="D58" s="183" t="s">
        <v>223</v>
      </c>
      <c r="E58" s="46">
        <v>3200000</v>
      </c>
    </row>
    <row r="59" spans="1:8">
      <c r="A59" s="184"/>
      <c r="B59" s="264"/>
      <c r="C59" s="226"/>
      <c r="D59" s="227" t="s">
        <v>224</v>
      </c>
      <c r="E59" s="226">
        <v>0</v>
      </c>
      <c r="F59" s="216" t="s">
        <v>234</v>
      </c>
      <c r="G59" s="216"/>
    </row>
    <row r="60" spans="1:8">
      <c r="A60" s="184"/>
      <c r="B60" s="225"/>
      <c r="C60" s="199"/>
      <c r="D60" s="200" t="s">
        <v>275</v>
      </c>
      <c r="E60" s="199">
        <v>-1800000</v>
      </c>
      <c r="F60" s="184"/>
      <c r="G60" s="198">
        <f>SUM(E57:E60)</f>
        <v>3100000</v>
      </c>
    </row>
    <row r="61" spans="1:8">
      <c r="B61" s="265" t="s">
        <v>126</v>
      </c>
      <c r="C61" s="46">
        <f>G64</f>
        <v>1147000</v>
      </c>
      <c r="D61" s="183" t="s">
        <v>153</v>
      </c>
      <c r="E61" s="46">
        <v>416000</v>
      </c>
    </row>
    <row r="62" spans="1:8">
      <c r="B62" s="261"/>
      <c r="D62" s="183" t="s">
        <v>151</v>
      </c>
      <c r="E62" s="46">
        <v>300000</v>
      </c>
    </row>
    <row r="63" spans="1:8">
      <c r="B63" s="261"/>
      <c r="D63" s="183" t="s">
        <v>152</v>
      </c>
      <c r="E63" s="46">
        <v>180000</v>
      </c>
    </row>
    <row r="64" spans="1:8" ht="28.8">
      <c r="A64" s="184"/>
      <c r="B64" s="264"/>
      <c r="C64" s="199"/>
      <c r="D64" s="200" t="s">
        <v>154</v>
      </c>
      <c r="E64" s="199">
        <v>251000</v>
      </c>
      <c r="F64" s="184" t="s">
        <v>225</v>
      </c>
      <c r="G64" s="198">
        <f>SUM(E61:E64)</f>
        <v>1147000</v>
      </c>
    </row>
    <row r="65" spans="1:7">
      <c r="B65" s="263" t="s">
        <v>127</v>
      </c>
      <c r="C65" s="46">
        <f>G68</f>
        <v>2692475</v>
      </c>
      <c r="D65" s="183" t="s">
        <v>203</v>
      </c>
      <c r="E65" s="46">
        <v>1568237</v>
      </c>
    </row>
    <row r="66" spans="1:7">
      <c r="B66" s="261"/>
      <c r="D66" s="183" t="s">
        <v>204</v>
      </c>
      <c r="E66" s="46">
        <v>834408</v>
      </c>
    </row>
    <row r="67" spans="1:7">
      <c r="B67" s="261"/>
      <c r="D67" s="183" t="s">
        <v>205</v>
      </c>
      <c r="E67" s="46">
        <v>61500</v>
      </c>
    </row>
    <row r="68" spans="1:7">
      <c r="A68" s="184"/>
      <c r="B68" s="264"/>
      <c r="C68" s="199"/>
      <c r="D68" s="200" t="s">
        <v>206</v>
      </c>
      <c r="E68" s="199">
        <v>228330</v>
      </c>
      <c r="F68" s="184" t="s">
        <v>225</v>
      </c>
      <c r="G68" s="198">
        <f>SUM(E65:E68)</f>
        <v>2692475</v>
      </c>
    </row>
    <row r="69" spans="1:7">
      <c r="C69" s="178">
        <f>SUM(C2:C65)</f>
        <v>30861479.300000001</v>
      </c>
      <c r="E69" s="46">
        <f>SUM(E2:E68)</f>
        <v>30861479.300000001</v>
      </c>
    </row>
  </sheetData>
  <mergeCells count="9">
    <mergeCell ref="B57:B59"/>
    <mergeCell ref="B61:B64"/>
    <mergeCell ref="B65:B68"/>
    <mergeCell ref="B2:B15"/>
    <mergeCell ref="B16:B20"/>
    <mergeCell ref="B22:B29"/>
    <mergeCell ref="B31:B45"/>
    <mergeCell ref="B46:B51"/>
    <mergeCell ref="B52:B56"/>
  </mergeCells>
  <pageMargins left="0.7" right="0.7" top="0.75" bottom="0.75" header="0.3" footer="0.3"/>
  <pageSetup fitToHeight="0" orientation="landscape" r:id="rId1"/>
  <rowBreaks count="2" manualBreakCount="2">
    <brk id="30" max="16383" man="1"/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workbookViewId="0">
      <selection activeCell="N3" sqref="N3"/>
    </sheetView>
  </sheetViews>
  <sheetFormatPr defaultRowHeight="14.4"/>
  <cols>
    <col min="1" max="1" width="9.109375" style="126"/>
    <col min="2" max="2" width="14.88671875" customWidth="1"/>
    <col min="3" max="3" width="22.109375" customWidth="1"/>
    <col min="4" max="4" width="11" customWidth="1"/>
    <col min="5" max="5" width="9.6640625" customWidth="1"/>
    <col min="6" max="6" width="9" customWidth="1"/>
    <col min="7" max="7" width="11.33203125" customWidth="1"/>
    <col min="8" max="8" width="19" bestFit="1" customWidth="1"/>
    <col min="9" max="9" width="19" style="126" customWidth="1"/>
    <col min="10" max="10" width="19" bestFit="1" customWidth="1"/>
    <col min="11" max="11" width="16.6640625" customWidth="1"/>
    <col min="12" max="12" width="10.6640625" customWidth="1"/>
    <col min="14" max="15" width="14.33203125" bestFit="1" customWidth="1"/>
    <col min="16" max="16" width="14.5546875" bestFit="1" customWidth="1"/>
  </cols>
  <sheetData>
    <row r="1" spans="1:16">
      <c r="D1" s="266" t="s">
        <v>195</v>
      </c>
      <c r="E1" s="266"/>
      <c r="F1" s="266"/>
      <c r="G1" s="266"/>
      <c r="I1" s="239" t="s">
        <v>309</v>
      </c>
    </row>
    <row r="2" spans="1:16" s="126" customFormat="1">
      <c r="D2" s="266" t="s">
        <v>162</v>
      </c>
      <c r="E2" s="266"/>
      <c r="F2" s="266" t="s">
        <v>163</v>
      </c>
      <c r="G2" s="266"/>
      <c r="I2" s="238" t="s">
        <v>308</v>
      </c>
    </row>
    <row r="3" spans="1:16" s="126" customFormat="1" ht="93">
      <c r="A3" s="126" t="s">
        <v>156</v>
      </c>
      <c r="B3" s="126" t="s">
        <v>147</v>
      </c>
      <c r="C3" s="126" t="s">
        <v>148</v>
      </c>
      <c r="D3" s="181" t="s">
        <v>149</v>
      </c>
      <c r="E3" s="182" t="s">
        <v>150</v>
      </c>
      <c r="F3" s="181" t="s">
        <v>149</v>
      </c>
      <c r="G3" s="182" t="s">
        <v>150</v>
      </c>
      <c r="H3" s="201" t="s">
        <v>207</v>
      </c>
      <c r="I3" s="201" t="s">
        <v>284</v>
      </c>
      <c r="J3" s="201" t="s">
        <v>263</v>
      </c>
      <c r="K3" s="201" t="s">
        <v>265</v>
      </c>
      <c r="L3" s="201" t="s">
        <v>268</v>
      </c>
    </row>
    <row r="4" spans="1:16">
      <c r="A4" s="126" t="s">
        <v>160</v>
      </c>
      <c r="B4" s="180">
        <v>210023</v>
      </c>
      <c r="C4" s="180" t="s">
        <v>130</v>
      </c>
      <c r="D4" s="45">
        <v>0.11920974845116464</v>
      </c>
      <c r="E4" s="45">
        <v>4.7508158440306737E-2</v>
      </c>
      <c r="F4" s="45">
        <v>0.108696943267035</v>
      </c>
      <c r="G4" s="45">
        <v>5.5276128268619891E-2</v>
      </c>
      <c r="H4" s="46">
        <v>538213054.45154524</v>
      </c>
      <c r="I4" s="240">
        <v>2203496</v>
      </c>
      <c r="J4" s="83">
        <f>0.005*H4</f>
        <v>2691065.2722577262</v>
      </c>
      <c r="K4" s="46">
        <v>2306698</v>
      </c>
      <c r="L4" s="45">
        <f>K4/H4</f>
        <v>4.2858455047148428E-3</v>
      </c>
    </row>
    <row r="5" spans="1:16" ht="15" thickBot="1">
      <c r="A5" s="184" t="s">
        <v>160</v>
      </c>
      <c r="B5" s="203">
        <v>210043</v>
      </c>
      <c r="C5" s="203" t="s">
        <v>164</v>
      </c>
      <c r="D5" s="204">
        <v>8.561017444591261E-2</v>
      </c>
      <c r="E5" s="204">
        <v>6.9252968336807108E-2</v>
      </c>
      <c r="F5" s="204">
        <v>0.13619528437345355</v>
      </c>
      <c r="G5" s="204">
        <v>8.3462444150608828E-2</v>
      </c>
      <c r="H5" s="199">
        <v>386382590.7886045</v>
      </c>
      <c r="I5" s="241">
        <v>1627647</v>
      </c>
      <c r="J5" s="198">
        <f t="shared" ref="J5:J28" si="0">0.005*H5</f>
        <v>1931912.9539430225</v>
      </c>
      <c r="K5" s="199">
        <v>1703878</v>
      </c>
      <c r="L5" s="204">
        <f t="shared" ref="L5:L28" si="1">K5/H5</f>
        <v>4.4098208372235284E-3</v>
      </c>
      <c r="N5" s="83">
        <f>SUM(I4:I5)</f>
        <v>3831143</v>
      </c>
    </row>
    <row r="6" spans="1:16" ht="15" thickBot="1">
      <c r="A6" s="126" t="s">
        <v>159</v>
      </c>
      <c r="B6" s="180">
        <v>210008</v>
      </c>
      <c r="C6" s="180" t="s">
        <v>16</v>
      </c>
      <c r="D6" s="45">
        <v>2.2406652819691418E-2</v>
      </c>
      <c r="E6" s="45">
        <v>2.1033919170144681E-2</v>
      </c>
      <c r="F6" s="45">
        <v>1.1079450160547245E-2</v>
      </c>
      <c r="G6" s="45">
        <v>9.738632042422533E-3</v>
      </c>
      <c r="H6" s="46">
        <v>488127907.29600906</v>
      </c>
      <c r="I6" s="240">
        <v>559972</v>
      </c>
      <c r="J6" s="83">
        <f>0.0025*H6</f>
        <v>1220319.7682400227</v>
      </c>
      <c r="K6" s="46">
        <v>1300000</v>
      </c>
      <c r="L6" s="45">
        <f t="shared" si="1"/>
        <v>2.6632363783528931E-3</v>
      </c>
      <c r="M6" s="126" t="s">
        <v>16</v>
      </c>
      <c r="N6" s="46"/>
      <c r="P6" s="234">
        <v>3831143</v>
      </c>
    </row>
    <row r="7" spans="1:16" ht="15" thickBot="1">
      <c r="A7" s="126" t="s">
        <v>159</v>
      </c>
      <c r="B7" s="180">
        <v>210009</v>
      </c>
      <c r="C7" s="180" t="s">
        <v>131</v>
      </c>
      <c r="D7" s="45">
        <v>-1.3908350631566367E-2</v>
      </c>
      <c r="E7" s="45">
        <v>4.5944389785835859E-3</v>
      </c>
      <c r="F7" s="45">
        <v>-1.8960220444277563E-2</v>
      </c>
      <c r="G7" s="45">
        <v>3.8600766860829444E-3</v>
      </c>
      <c r="H7" s="46">
        <v>1584753425.2114837</v>
      </c>
      <c r="I7" s="240">
        <v>3444602</v>
      </c>
      <c r="J7" s="83">
        <f t="shared" si="0"/>
        <v>7923767.126057419</v>
      </c>
      <c r="K7" s="46">
        <v>8000000</v>
      </c>
      <c r="L7" s="45">
        <f t="shared" si="1"/>
        <v>5.0481039338548259E-3</v>
      </c>
      <c r="M7" s="126" t="s">
        <v>131</v>
      </c>
      <c r="N7" s="46"/>
      <c r="P7" s="234">
        <v>6674286</v>
      </c>
    </row>
    <row r="8" spans="1:16" ht="15" thickBot="1">
      <c r="A8" s="126" t="s">
        <v>159</v>
      </c>
      <c r="B8" s="180">
        <v>210012</v>
      </c>
      <c r="C8" s="180" t="s">
        <v>46</v>
      </c>
      <c r="D8" s="45">
        <v>0.16525057232096207</v>
      </c>
      <c r="E8" s="45">
        <v>5.0448664610568468E-2</v>
      </c>
      <c r="F8" s="45">
        <v>0.10074227189669625</v>
      </c>
      <c r="G8" s="45">
        <v>4.1107681226782933E-2</v>
      </c>
      <c r="H8" s="46">
        <v>698636215.91730797</v>
      </c>
      <c r="I8" s="240">
        <v>774884</v>
      </c>
      <c r="J8" s="83">
        <f>0.0025*H8</f>
        <v>1746590.5397932699</v>
      </c>
      <c r="K8" s="46">
        <v>1800000</v>
      </c>
      <c r="L8" s="45">
        <f t="shared" si="1"/>
        <v>2.5764481700059072E-3</v>
      </c>
      <c r="M8" s="126" t="s">
        <v>46</v>
      </c>
      <c r="N8" s="46"/>
      <c r="P8" s="234">
        <v>2115131</v>
      </c>
    </row>
    <row r="9" spans="1:16" ht="15" thickBot="1">
      <c r="A9" s="126" t="s">
        <v>159</v>
      </c>
      <c r="B9" s="180">
        <v>210015</v>
      </c>
      <c r="C9" s="180" t="s">
        <v>133</v>
      </c>
      <c r="D9" s="45">
        <v>9.0273003827292836E-2</v>
      </c>
      <c r="E9" s="45">
        <v>3.921982000308788E-2</v>
      </c>
      <c r="F9" s="45">
        <v>7.4364369707274641E-2</v>
      </c>
      <c r="G9" s="45">
        <v>2.0828047630108797E-2</v>
      </c>
      <c r="H9" s="46">
        <v>467028288.78627074</v>
      </c>
      <c r="I9" s="240">
        <v>473874</v>
      </c>
      <c r="J9" s="83">
        <f>0.0025*H9</f>
        <v>1167570.7219656769</v>
      </c>
      <c r="K9" s="46">
        <v>1100000</v>
      </c>
      <c r="L9" s="45">
        <f t="shared" si="1"/>
        <v>2.3553177107509225E-3</v>
      </c>
      <c r="M9" s="126" t="s">
        <v>133</v>
      </c>
      <c r="N9" s="46"/>
      <c r="P9" s="234">
        <v>1468258</v>
      </c>
    </row>
    <row r="10" spans="1:16" ht="15" thickBot="1">
      <c r="A10" s="126" t="s">
        <v>159</v>
      </c>
      <c r="B10" s="180">
        <v>210029</v>
      </c>
      <c r="C10" s="180" t="s">
        <v>132</v>
      </c>
      <c r="D10" s="45">
        <v>1.6834465316087417E-2</v>
      </c>
      <c r="E10" s="45">
        <v>1.9925984723469736E-2</v>
      </c>
      <c r="F10" s="45">
        <v>1.0935347103538991E-3</v>
      </c>
      <c r="G10" s="45">
        <v>6.1667143185500373E-3</v>
      </c>
      <c r="H10" s="46">
        <v>539534053.79373527</v>
      </c>
      <c r="I10" s="240">
        <v>1205375</v>
      </c>
      <c r="J10" s="83">
        <f t="shared" si="0"/>
        <v>2697670.2689686762</v>
      </c>
      <c r="K10" s="46">
        <v>2800000</v>
      </c>
      <c r="L10" s="45">
        <f>K10/H10</f>
        <v>5.1896631552944472E-3</v>
      </c>
      <c r="M10" s="126" t="s">
        <v>132</v>
      </c>
      <c r="N10" s="46"/>
      <c r="P10" s="234">
        <v>7663683</v>
      </c>
    </row>
    <row r="11" spans="1:16" ht="15" thickBot="1">
      <c r="A11" s="184" t="s">
        <v>159</v>
      </c>
      <c r="B11" s="203">
        <v>210034</v>
      </c>
      <c r="C11" s="203" t="s">
        <v>134</v>
      </c>
      <c r="D11" s="204">
        <v>0.10960351383789403</v>
      </c>
      <c r="E11" s="204">
        <v>0.11032939120963889</v>
      </c>
      <c r="F11" s="204">
        <v>0.12679572272547901</v>
      </c>
      <c r="G11" s="204">
        <v>3.7525927703513276E-2</v>
      </c>
      <c r="H11" s="199">
        <v>197732384.90793055</v>
      </c>
      <c r="I11" s="240">
        <v>215579</v>
      </c>
      <c r="J11" s="198">
        <f>0.0025*H11</f>
        <v>494330.96226982638</v>
      </c>
      <c r="K11" s="199">
        <v>500000</v>
      </c>
      <c r="L11" s="204">
        <f t="shared" si="1"/>
        <v>2.5286702541559556E-3</v>
      </c>
      <c r="M11" s="126" t="s">
        <v>134</v>
      </c>
      <c r="N11" s="46"/>
      <c r="P11" s="234">
        <v>1882870</v>
      </c>
    </row>
    <row r="12" spans="1:16" ht="15" thickBot="1">
      <c r="A12" s="206" t="s">
        <v>11</v>
      </c>
      <c r="B12" s="207">
        <v>210044</v>
      </c>
      <c r="C12" s="207" t="s">
        <v>11</v>
      </c>
      <c r="D12" s="208">
        <v>6.658351983793416E-2</v>
      </c>
      <c r="E12" s="208">
        <v>5.9081737605977576E-2</v>
      </c>
      <c r="F12" s="208">
        <v>5.7554079681907309E-2</v>
      </c>
      <c r="G12" s="208">
        <v>4.8265056361307207E-2</v>
      </c>
      <c r="H12" s="209">
        <v>423026289.57800198</v>
      </c>
      <c r="I12" s="242">
        <v>2115131</v>
      </c>
      <c r="J12" s="210">
        <f t="shared" si="0"/>
        <v>2115131.4478900097</v>
      </c>
      <c r="K12" s="209">
        <v>2942000</v>
      </c>
      <c r="L12" s="211">
        <f t="shared" si="1"/>
        <v>6.9546505086831569E-3</v>
      </c>
      <c r="P12" s="234">
        <v>3100000</v>
      </c>
    </row>
    <row r="13" spans="1:16" ht="15" thickBot="1">
      <c r="A13" s="206" t="s">
        <v>121</v>
      </c>
      <c r="B13" s="207">
        <v>210048</v>
      </c>
      <c r="C13" s="207" t="s">
        <v>121</v>
      </c>
      <c r="D13" s="208">
        <v>5.1444331937569115E-2</v>
      </c>
      <c r="E13" s="208">
        <v>4.4439920365746212E-2</v>
      </c>
      <c r="F13" s="208">
        <v>1.3190136424082462E-2</v>
      </c>
      <c r="G13" s="208">
        <v>3.8938925777397937E-2</v>
      </c>
      <c r="H13" s="209">
        <v>293651614.15406436</v>
      </c>
      <c r="I13" s="243">
        <v>1468258</v>
      </c>
      <c r="J13" s="210">
        <f t="shared" si="0"/>
        <v>1468258.0707703219</v>
      </c>
      <c r="K13" s="209">
        <v>1590228</v>
      </c>
      <c r="L13" s="208">
        <f t="shared" si="1"/>
        <v>5.4153558957305324E-3</v>
      </c>
      <c r="O13" s="83">
        <f>SUM(I14:I19)</f>
        <v>7663683</v>
      </c>
      <c r="P13" s="234">
        <v>1147000</v>
      </c>
    </row>
    <row r="14" spans="1:16" ht="15" thickBot="1">
      <c r="A14" s="126" t="s">
        <v>123</v>
      </c>
      <c r="B14" s="180">
        <v>210004</v>
      </c>
      <c r="C14" s="180" t="s">
        <v>56</v>
      </c>
      <c r="D14" s="45">
        <v>0.12324043223188137</v>
      </c>
      <c r="E14" s="45">
        <v>9.7363828774285094E-2</v>
      </c>
      <c r="F14" s="45">
        <v>9.1367260028011529E-2</v>
      </c>
      <c r="G14" s="45">
        <v>5.1266782069463813E-2</v>
      </c>
      <c r="H14" s="46">
        <v>460413549.20497286</v>
      </c>
      <c r="I14" s="244">
        <v>2228020</v>
      </c>
      <c r="J14" s="83">
        <f t="shared" si="0"/>
        <v>2302067.7460248643</v>
      </c>
      <c r="K14" s="46">
        <f>0.005*445604045</f>
        <v>2228020.2250000001</v>
      </c>
      <c r="L14" s="45">
        <f t="shared" si="1"/>
        <v>4.8391717160523899E-3</v>
      </c>
      <c r="N14" s="83">
        <f>SUM(I14:I19)</f>
        <v>7663683</v>
      </c>
      <c r="P14" s="234">
        <v>2692475</v>
      </c>
    </row>
    <row r="15" spans="1:16">
      <c r="A15" s="126" t="s">
        <v>123</v>
      </c>
      <c r="B15" s="180">
        <v>210016</v>
      </c>
      <c r="C15" s="180" t="s">
        <v>146</v>
      </c>
      <c r="D15" s="45">
        <v>9.6745580700086653E-2</v>
      </c>
      <c r="E15" s="45">
        <v>3.6126646455366521E-2</v>
      </c>
      <c r="F15" s="45">
        <v>6.014424989457777E-2</v>
      </c>
      <c r="G15" s="45">
        <v>5.9285320163673813E-2</v>
      </c>
      <c r="H15" s="46">
        <v>253346309.29754841</v>
      </c>
      <c r="I15" s="240">
        <v>1230145</v>
      </c>
      <c r="J15" s="83">
        <f t="shared" si="0"/>
        <v>1266731.5464877421</v>
      </c>
      <c r="K15" s="46">
        <f>0.005*246029028</f>
        <v>1230145.1400000001</v>
      </c>
      <c r="L15" s="45">
        <f t="shared" si="1"/>
        <v>4.8555873713369462E-3</v>
      </c>
      <c r="P15" s="233">
        <f>SUM(P6:P14)</f>
        <v>30574846</v>
      </c>
    </row>
    <row r="16" spans="1:16">
      <c r="A16" s="126" t="s">
        <v>123</v>
      </c>
      <c r="B16" s="180">
        <v>210018</v>
      </c>
      <c r="C16" s="180" t="s">
        <v>136</v>
      </c>
      <c r="D16" s="45">
        <v>2.9499012337439911E-2</v>
      </c>
      <c r="E16" s="45">
        <v>3.3991436110418077E-2</v>
      </c>
      <c r="F16" s="45">
        <v>8.4369553566044489E-2</v>
      </c>
      <c r="G16" s="45">
        <v>2.5182938230333157E-2</v>
      </c>
      <c r="H16" s="46">
        <v>163785394</v>
      </c>
      <c r="I16" s="240">
        <v>818927</v>
      </c>
      <c r="J16" s="83">
        <f t="shared" si="0"/>
        <v>818926.97</v>
      </c>
      <c r="K16" s="46">
        <f>0.005*171080788</f>
        <v>855403.94000000006</v>
      </c>
      <c r="L16" s="45">
        <f t="shared" si="1"/>
        <v>5.2227119837071675E-3</v>
      </c>
    </row>
    <row r="17" spans="1:18">
      <c r="A17" s="126" t="s">
        <v>123</v>
      </c>
      <c r="B17" s="180">
        <v>210022</v>
      </c>
      <c r="C17" s="180" t="s">
        <v>137</v>
      </c>
      <c r="D17" s="45">
        <v>7.9420850416311223E-2</v>
      </c>
      <c r="E17" s="45">
        <v>4.6910915399149114E-2</v>
      </c>
      <c r="F17" s="45">
        <v>5.1673385657803036E-2</v>
      </c>
      <c r="G17" s="45">
        <v>4.6956081052259444E-2</v>
      </c>
      <c r="H17" s="46">
        <v>252609184.34979486</v>
      </c>
      <c r="I17" s="240">
        <v>1263046</v>
      </c>
      <c r="J17" s="83">
        <f t="shared" si="0"/>
        <v>1263045.9217489744</v>
      </c>
      <c r="K17" s="46">
        <f>0.005*302620414</f>
        <v>1513102.07</v>
      </c>
      <c r="L17" s="205">
        <f t="shared" si="1"/>
        <v>5.9898933362009755E-3</v>
      </c>
    </row>
    <row r="18" spans="1:18">
      <c r="A18" s="126" t="s">
        <v>123</v>
      </c>
      <c r="B18" s="180">
        <v>210057</v>
      </c>
      <c r="C18" s="180" t="s">
        <v>145</v>
      </c>
      <c r="D18" s="45">
        <v>0.108565329758382</v>
      </c>
      <c r="E18" s="45">
        <v>5.9601028650747095E-2</v>
      </c>
      <c r="F18" s="45">
        <v>9.8575056403219979E-2</v>
      </c>
      <c r="G18" s="45">
        <v>8.4272505654606658E-2</v>
      </c>
      <c r="H18" s="46">
        <v>374624719.02139592</v>
      </c>
      <c r="I18" s="240">
        <v>1856312</v>
      </c>
      <c r="J18" s="83">
        <f t="shared" si="0"/>
        <v>1873123.5951069796</v>
      </c>
      <c r="K18" s="46">
        <f>0.005*371262310</f>
        <v>1856311.55</v>
      </c>
      <c r="L18" s="45">
        <f t="shared" si="1"/>
        <v>4.9551229690584847E-3</v>
      </c>
    </row>
    <row r="19" spans="1:18">
      <c r="A19" s="184" t="s">
        <v>123</v>
      </c>
      <c r="B19" s="203">
        <v>210065</v>
      </c>
      <c r="C19" s="203" t="s">
        <v>135</v>
      </c>
      <c r="D19" s="204">
        <v>-0.76539576937607201</v>
      </c>
      <c r="E19" s="204">
        <v>-0.84877475877918362</v>
      </c>
      <c r="F19" s="204">
        <v>-0.30119392279682106</v>
      </c>
      <c r="G19" s="204">
        <v>-0.37818556514975332</v>
      </c>
      <c r="H19" s="199">
        <v>66433122.635370754</v>
      </c>
      <c r="I19" s="241">
        <v>267233</v>
      </c>
      <c r="J19" s="198">
        <f t="shared" si="0"/>
        <v>332165.6131768538</v>
      </c>
      <c r="K19" s="199">
        <f>0.005*53446533</f>
        <v>267232.66499999998</v>
      </c>
      <c r="L19" s="204">
        <f t="shared" si="1"/>
        <v>4.0225817242815895E-3</v>
      </c>
    </row>
    <row r="20" spans="1:18">
      <c r="A20" s="126" t="s">
        <v>124</v>
      </c>
      <c r="B20" s="180">
        <v>210024</v>
      </c>
      <c r="C20" s="180" t="s">
        <v>139</v>
      </c>
      <c r="D20" s="45">
        <v>0.14306104000481085</v>
      </c>
      <c r="E20" s="45">
        <v>6.8205595103853177E-3</v>
      </c>
      <c r="F20" s="45">
        <v>0.129606685295452</v>
      </c>
      <c r="G20" s="45">
        <v>3.525737343639211E-3</v>
      </c>
      <c r="H20" s="46">
        <v>401103154.10164583</v>
      </c>
      <c r="I20" s="244">
        <v>1094623</v>
      </c>
      <c r="J20" s="83">
        <f t="shared" si="0"/>
        <v>2005515.7705082293</v>
      </c>
      <c r="K20" s="46">
        <v>1094623</v>
      </c>
      <c r="L20" s="45">
        <f t="shared" si="1"/>
        <v>2.7290311452465052E-3</v>
      </c>
      <c r="N20" s="83">
        <f>SUM(I20:I21)</f>
        <v>1882870</v>
      </c>
    </row>
    <row r="21" spans="1:18">
      <c r="A21" s="184" t="s">
        <v>124</v>
      </c>
      <c r="B21" s="203">
        <v>210056</v>
      </c>
      <c r="C21" s="203" t="s">
        <v>138</v>
      </c>
      <c r="D21" s="204">
        <v>5.0493252858982478E-2</v>
      </c>
      <c r="E21" s="204">
        <v>2.6780579113623772E-2</v>
      </c>
      <c r="F21" s="204">
        <v>4.3402732766088852E-2</v>
      </c>
      <c r="G21" s="204">
        <v>2.374412742653475E-3</v>
      </c>
      <c r="H21" s="199">
        <v>288837900.16006249</v>
      </c>
      <c r="I21" s="241">
        <v>788247</v>
      </c>
      <c r="J21" s="198">
        <f t="shared" si="0"/>
        <v>1444189.5008003125</v>
      </c>
      <c r="K21" s="199">
        <v>788247</v>
      </c>
      <c r="L21" s="204">
        <f t="shared" si="1"/>
        <v>2.7290289797951891E-3</v>
      </c>
    </row>
    <row r="22" spans="1:18">
      <c r="A22" s="126" t="s">
        <v>157</v>
      </c>
      <c r="B22" s="180">
        <v>210001</v>
      </c>
      <c r="C22" s="180" t="s">
        <v>140</v>
      </c>
      <c r="D22" s="45">
        <v>7.1584541603542856E-2</v>
      </c>
      <c r="E22" s="45">
        <v>5.185308699630474E-2</v>
      </c>
      <c r="F22" s="45">
        <v>6.329660910963561E-2</v>
      </c>
      <c r="G22" s="45">
        <v>5.8293197824376405E-2</v>
      </c>
      <c r="H22" s="46">
        <v>309029336.42648453</v>
      </c>
      <c r="I22" s="244">
        <v>1033333.3333333334</v>
      </c>
      <c r="J22" s="83">
        <f t="shared" si="0"/>
        <v>1545146.6821324227</v>
      </c>
      <c r="K22" s="46">
        <v>1700000</v>
      </c>
      <c r="L22" s="205">
        <f t="shared" si="1"/>
        <v>5.5010958495340639E-3</v>
      </c>
      <c r="N22" s="83">
        <f>SUM(I22:I24)</f>
        <v>3100000</v>
      </c>
    </row>
    <row r="23" spans="1:18">
      <c r="A23" s="126" t="s">
        <v>157</v>
      </c>
      <c r="B23" s="180">
        <v>210005</v>
      </c>
      <c r="C23" s="180" t="s">
        <v>64</v>
      </c>
      <c r="D23" s="45">
        <v>4.3759604155991116E-2</v>
      </c>
      <c r="E23" s="45">
        <v>2.9194284333073757E-2</v>
      </c>
      <c r="F23" s="45">
        <v>8.3752397125311046E-2</v>
      </c>
      <c r="G23" s="45">
        <v>5.4745596213522853E-2</v>
      </c>
      <c r="H23" s="46">
        <v>351816016.95135796</v>
      </c>
      <c r="I23" s="244">
        <v>1033333.3333333334</v>
      </c>
      <c r="J23" s="83">
        <f t="shared" si="0"/>
        <v>1759080.0847567897</v>
      </c>
      <c r="K23" s="46">
        <v>1800000</v>
      </c>
      <c r="L23" s="45">
        <f t="shared" si="1"/>
        <v>5.1163105523102659E-3</v>
      </c>
    </row>
    <row r="24" spans="1:18">
      <c r="A24" s="184" t="s">
        <v>157</v>
      </c>
      <c r="B24" s="203">
        <v>210027</v>
      </c>
      <c r="C24" s="203" t="s">
        <v>141</v>
      </c>
      <c r="D24" s="204">
        <v>0.16298803997096356</v>
      </c>
      <c r="E24" s="204">
        <v>7.0322099828480714E-2</v>
      </c>
      <c r="F24" s="204">
        <v>7.6387761333426285E-2</v>
      </c>
      <c r="G24" s="204">
        <v>3.8519157013682158E-2</v>
      </c>
      <c r="H24" s="199">
        <v>312666773.74960428</v>
      </c>
      <c r="I24" s="244">
        <v>1033333.3333333334</v>
      </c>
      <c r="J24" s="198">
        <f t="shared" si="0"/>
        <v>1563333.8687480215</v>
      </c>
      <c r="K24" s="199">
        <v>1300000</v>
      </c>
      <c r="L24" s="204">
        <f t="shared" si="1"/>
        <v>4.1577810920231982E-3</v>
      </c>
    </row>
    <row r="25" spans="1:18">
      <c r="A25" s="206" t="s">
        <v>161</v>
      </c>
      <c r="B25" s="207">
        <v>210063</v>
      </c>
      <c r="C25" s="207" t="s">
        <v>144</v>
      </c>
      <c r="D25" s="208">
        <v>6.6689438676428681E-2</v>
      </c>
      <c r="E25" s="208">
        <v>1.2926139483288926E-2</v>
      </c>
      <c r="F25" s="208">
        <v>0.13349066401097567</v>
      </c>
      <c r="G25" s="208">
        <v>7.7065296675139824E-2</v>
      </c>
      <c r="H25" s="209">
        <v>376368831.36103839</v>
      </c>
      <c r="I25" s="243">
        <v>1147000</v>
      </c>
      <c r="J25" s="210">
        <f t="shared" si="0"/>
        <v>1881844.1568051919</v>
      </c>
      <c r="K25" s="209">
        <v>1147000</v>
      </c>
      <c r="L25" s="208">
        <f t="shared" si="1"/>
        <v>3.0475424754281E-3</v>
      </c>
    </row>
    <row r="26" spans="1:18">
      <c r="A26" s="126" t="s">
        <v>158</v>
      </c>
      <c r="B26" s="180">
        <v>210006</v>
      </c>
      <c r="C26" s="180" t="s">
        <v>143</v>
      </c>
      <c r="D26" s="45">
        <v>0.10188865979046553</v>
      </c>
      <c r="E26" s="45">
        <v>0.10018022348981624</v>
      </c>
      <c r="F26" s="45">
        <v>8.5459892960777342E-2</v>
      </c>
      <c r="G26" s="45">
        <v>8.2907715934785298E-2</v>
      </c>
      <c r="H26" s="46">
        <v>100472983.29416181</v>
      </c>
      <c r="I26" s="240">
        <v>494005</v>
      </c>
      <c r="J26" s="83">
        <f t="shared" si="0"/>
        <v>502364.91647080908</v>
      </c>
      <c r="K26" s="46">
        <v>498681</v>
      </c>
      <c r="L26" s="45">
        <f t="shared" si="1"/>
        <v>4.9633342581256552E-3</v>
      </c>
      <c r="N26" s="83">
        <f>SUM(K26:K28)</f>
        <v>2717963</v>
      </c>
      <c r="O26" s="46">
        <v>2692475</v>
      </c>
      <c r="P26" s="83"/>
      <c r="Q26">
        <f>(2692475*K26)/2717963</f>
        <v>494004.56351870869</v>
      </c>
    </row>
    <row r="27" spans="1:18" ht="26.4">
      <c r="A27" s="126" t="s">
        <v>158</v>
      </c>
      <c r="B27" s="180">
        <v>210032</v>
      </c>
      <c r="C27" s="180" t="s">
        <v>142</v>
      </c>
      <c r="D27" s="45">
        <v>8.4344009434961842E-2</v>
      </c>
      <c r="E27" s="45">
        <v>1.6955779906599674E-2</v>
      </c>
      <c r="F27" s="45">
        <v>7.4609533690982346E-2</v>
      </c>
      <c r="G27" s="45">
        <v>2.1753992885631016E-2</v>
      </c>
      <c r="H27" s="46">
        <v>153588495.02185997</v>
      </c>
      <c r="I27" s="240">
        <v>734447</v>
      </c>
      <c r="J27" s="83">
        <f t="shared" si="0"/>
        <v>767942.47510929988</v>
      </c>
      <c r="K27" s="46">
        <v>741400</v>
      </c>
      <c r="L27" s="45">
        <f t="shared" si="1"/>
        <v>4.8271844834111947E-3</v>
      </c>
      <c r="O27" s="83"/>
      <c r="Q27" s="126">
        <f>(2692475*K27)/2717963</f>
        <v>734447.43912996608</v>
      </c>
    </row>
    <row r="28" spans="1:18">
      <c r="A28" s="184" t="s">
        <v>158</v>
      </c>
      <c r="B28" s="203">
        <v>210049</v>
      </c>
      <c r="C28" s="203" t="s">
        <v>22</v>
      </c>
      <c r="D28" s="204">
        <v>0.12740480585326941</v>
      </c>
      <c r="E28" s="204">
        <v>0.11145440009680559</v>
      </c>
      <c r="F28" s="204">
        <v>0.11976008334203103</v>
      </c>
      <c r="G28" s="204">
        <v>0.11889831044648069</v>
      </c>
      <c r="H28" s="199">
        <v>319063052.65228856</v>
      </c>
      <c r="I28" s="241">
        <f>Q28</f>
        <v>1464022.9973513253</v>
      </c>
      <c r="J28" s="198">
        <f t="shared" si="0"/>
        <v>1595315.2632614428</v>
      </c>
      <c r="K28" s="199">
        <v>1477882</v>
      </c>
      <c r="L28" s="45">
        <f t="shared" si="1"/>
        <v>4.6319433971271492E-3</v>
      </c>
      <c r="M28" s="216"/>
      <c r="Q28" s="126">
        <f>(2692475*K28)/2717963</f>
        <v>1464022.9973513253</v>
      </c>
      <c r="R28">
        <f>SUM(Q26:Q28)</f>
        <v>2692475</v>
      </c>
    </row>
    <row r="29" spans="1:18">
      <c r="C29" s="126"/>
      <c r="I29" s="245">
        <f>SUM(I4:I28)</f>
        <v>30574845.997351322</v>
      </c>
      <c r="J29" s="202">
        <f>SUM(J4:J28)</f>
        <v>44377411.243293919</v>
      </c>
      <c r="K29" s="83">
        <f>SUM(K4:K28)</f>
        <v>42540852.590000004</v>
      </c>
      <c r="M29" s="216"/>
      <c r="P29" s="83"/>
    </row>
    <row r="30" spans="1:18">
      <c r="C30" s="126"/>
      <c r="I30" s="192"/>
      <c r="J30" t="s">
        <v>264</v>
      </c>
    </row>
    <row r="31" spans="1:18" ht="66.599999999999994">
      <c r="C31" s="126"/>
      <c r="G31" s="201" t="s">
        <v>267</v>
      </c>
      <c r="H31" s="46">
        <v>14814714579.093939</v>
      </c>
      <c r="I31" s="46"/>
    </row>
    <row r="32" spans="1:18" ht="53.4">
      <c r="C32" s="126"/>
      <c r="G32" s="201" t="s">
        <v>266</v>
      </c>
      <c r="J32" s="178">
        <v>37036786.447734848</v>
      </c>
    </row>
    <row r="33" spans="3:3">
      <c r="C33" s="126"/>
    </row>
    <row r="34" spans="3:3">
      <c r="C34" s="126"/>
    </row>
    <row r="35" spans="3:3">
      <c r="C35" s="126"/>
    </row>
  </sheetData>
  <autoFilter ref="A3:G3">
    <sortState ref="A4:G28">
      <sortCondition ref="A3"/>
    </sortState>
  </autoFilter>
  <mergeCells count="3">
    <mergeCell ref="D2:E2"/>
    <mergeCell ref="F2:G2"/>
    <mergeCell ref="D1:G1"/>
  </mergeCells>
  <pageMargins left="0.25" right="0.25" top="0.75" bottom="0.75" header="0.3" footer="0.3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83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4"/>
  <cols>
    <col min="1" max="1" width="4.6640625" customWidth="1"/>
    <col min="2" max="2" width="18.5546875" customWidth="1"/>
    <col min="3" max="3" width="26" customWidth="1"/>
    <col min="4" max="4" width="15.88671875" hidden="1" customWidth="1"/>
    <col min="5" max="5" width="15.33203125" customWidth="1"/>
    <col min="6" max="6" width="13.33203125" customWidth="1"/>
    <col min="7" max="7" width="12.44140625" customWidth="1"/>
    <col min="8" max="8" width="13.88671875" style="20" customWidth="1"/>
    <col min="9" max="9" width="12.44140625" customWidth="1"/>
    <col min="10" max="10" width="12.33203125" customWidth="1"/>
    <col min="11" max="11" width="12.44140625" customWidth="1"/>
    <col min="12" max="12" width="12" customWidth="1"/>
    <col min="13" max="13" width="11" customWidth="1"/>
    <col min="14" max="14" width="11.44140625" customWidth="1"/>
    <col min="15" max="15" width="10.88671875" customWidth="1"/>
    <col min="16" max="16" width="10.109375" customWidth="1"/>
    <col min="17" max="17" width="10.33203125" customWidth="1"/>
    <col min="18" max="18" width="12.109375" customWidth="1"/>
    <col min="19" max="19" width="11.6640625" customWidth="1"/>
    <col min="20" max="20" width="10.44140625" customWidth="1"/>
    <col min="21" max="21" width="11.33203125" customWidth="1"/>
    <col min="22" max="22" width="14.33203125" bestFit="1" customWidth="1"/>
  </cols>
  <sheetData>
    <row r="2" spans="1:22" ht="14.4" customHeight="1">
      <c r="A2" s="280" t="s">
        <v>2</v>
      </c>
      <c r="B2" s="280"/>
      <c r="C2" s="281" t="s">
        <v>69</v>
      </c>
      <c r="D2" s="274" t="s">
        <v>36</v>
      </c>
      <c r="E2" s="274" t="s">
        <v>71</v>
      </c>
      <c r="F2" s="274" t="s">
        <v>95</v>
      </c>
      <c r="G2" s="274" t="s">
        <v>120</v>
      </c>
      <c r="H2" s="35"/>
      <c r="I2" s="33"/>
      <c r="J2" s="276" t="s">
        <v>72</v>
      </c>
      <c r="K2" s="276" t="s">
        <v>73</v>
      </c>
      <c r="L2" s="277" t="s">
        <v>74</v>
      </c>
      <c r="M2" s="278" t="s">
        <v>75</v>
      </c>
      <c r="N2" s="273" t="s">
        <v>76</v>
      </c>
      <c r="O2" s="273" t="s">
        <v>77</v>
      </c>
      <c r="P2" s="273" t="s">
        <v>78</v>
      </c>
      <c r="Q2" s="273" t="s">
        <v>79</v>
      </c>
      <c r="R2" s="273" t="s">
        <v>80</v>
      </c>
      <c r="S2" s="273" t="s">
        <v>81</v>
      </c>
      <c r="T2" s="273" t="s">
        <v>82</v>
      </c>
      <c r="U2" s="273" t="s">
        <v>83</v>
      </c>
    </row>
    <row r="3" spans="1:22" ht="44.25" customHeight="1">
      <c r="A3" s="280"/>
      <c r="B3" s="280"/>
      <c r="C3" s="282"/>
      <c r="D3" s="275"/>
      <c r="E3" s="275"/>
      <c r="F3" s="275"/>
      <c r="G3" s="275"/>
      <c r="H3" s="36" t="s">
        <v>94</v>
      </c>
      <c r="I3" s="34" t="s">
        <v>119</v>
      </c>
      <c r="J3" s="276"/>
      <c r="K3" s="276"/>
      <c r="L3" s="277"/>
      <c r="M3" s="278"/>
      <c r="N3" s="273"/>
      <c r="O3" s="273"/>
      <c r="P3" s="273"/>
      <c r="Q3" s="273"/>
      <c r="R3" s="273"/>
      <c r="S3" s="273"/>
      <c r="T3" s="273"/>
      <c r="U3" s="273"/>
    </row>
    <row r="4" spans="1:22" ht="18.600000000000001" customHeight="1">
      <c r="A4" s="267">
        <v>1</v>
      </c>
      <c r="B4" s="270" t="s">
        <v>4</v>
      </c>
      <c r="C4" s="130" t="s">
        <v>37</v>
      </c>
      <c r="D4" s="6">
        <v>477344.5</v>
      </c>
      <c r="E4" s="106">
        <f>D4*1000</f>
        <v>477344500</v>
      </c>
      <c r="F4" s="134">
        <v>2306698</v>
      </c>
      <c r="G4" s="135">
        <f>F4/E4</f>
        <v>4.8323548296879924E-3</v>
      </c>
      <c r="H4" s="134">
        <v>2306698</v>
      </c>
      <c r="I4" s="18">
        <f>H4/E4</f>
        <v>4.8323548296879924E-3</v>
      </c>
      <c r="J4" s="9">
        <v>33536</v>
      </c>
      <c r="K4" s="9">
        <v>32902</v>
      </c>
      <c r="L4" s="10">
        <v>29931</v>
      </c>
      <c r="M4" s="11">
        <v>8.9128101145038163E-2</v>
      </c>
      <c r="N4" s="12">
        <v>8.266974651996839E-2</v>
      </c>
      <c r="O4" s="12">
        <v>8.6833049346831045E-2</v>
      </c>
      <c r="P4" s="11">
        <v>8.1852337786259541E-2</v>
      </c>
      <c r="Q4" s="12">
        <v>7.9660810892954834E-2</v>
      </c>
      <c r="R4" s="12">
        <v>7.9583040994286855E-2</v>
      </c>
      <c r="S4" s="11">
        <v>0.11810721139428298</v>
      </c>
      <c r="T4" s="12">
        <v>0.10613333011616428</v>
      </c>
      <c r="U4" s="12">
        <v>0.11202943402269643</v>
      </c>
    </row>
    <row r="5" spans="1:22" s="86" customFormat="1" ht="19.2" customHeight="1">
      <c r="A5" s="268"/>
      <c r="B5" s="271"/>
      <c r="C5" s="137" t="s">
        <v>38</v>
      </c>
      <c r="D5" s="132">
        <v>322582.40000000002</v>
      </c>
      <c r="E5" s="113">
        <f>340775.7*1000</f>
        <v>340775700</v>
      </c>
      <c r="F5" s="136">
        <v>1703878</v>
      </c>
      <c r="G5" s="85">
        <f t="shared" ref="G5:G78" si="0">F5/E5</f>
        <v>4.9999985327592311E-3</v>
      </c>
      <c r="H5" s="136">
        <v>1703878</v>
      </c>
      <c r="I5" s="85">
        <f t="shared" ref="I5:I78" si="1">H5/E5</f>
        <v>4.9999985327592311E-3</v>
      </c>
      <c r="J5" s="142">
        <v>22304</v>
      </c>
      <c r="K5" s="142">
        <v>21822</v>
      </c>
      <c r="L5" s="143">
        <v>20048</v>
      </c>
      <c r="M5" s="144">
        <v>0.15889526542324248</v>
      </c>
      <c r="N5" s="145">
        <v>0.14838236641920996</v>
      </c>
      <c r="O5" s="145">
        <v>0.1543296089385475</v>
      </c>
      <c r="P5" s="144">
        <v>0.15136298421807748</v>
      </c>
      <c r="Q5" s="145">
        <v>0.15383557877371459</v>
      </c>
      <c r="R5" s="145">
        <v>0.14904229848363926</v>
      </c>
      <c r="S5" s="144">
        <v>0.19460270583419645</v>
      </c>
      <c r="T5" s="145">
        <v>0.19738416540764891</v>
      </c>
      <c r="U5" s="145">
        <v>0.19220665056125899</v>
      </c>
    </row>
    <row r="6" spans="1:22" s="54" customFormat="1" ht="19.2" customHeight="1">
      <c r="A6" s="279"/>
      <c r="B6" s="251"/>
      <c r="C6" s="115" t="s">
        <v>101</v>
      </c>
      <c r="D6" s="116"/>
      <c r="E6" s="117">
        <f>SUM(E4:E5)</f>
        <v>818120200</v>
      </c>
      <c r="F6" s="117">
        <f>SUM(F4:F5)</f>
        <v>4010576</v>
      </c>
      <c r="G6" s="118">
        <f t="shared" si="0"/>
        <v>4.9021843000576198E-3</v>
      </c>
      <c r="H6" s="119">
        <f>SUM(H4:H5)</f>
        <v>4010576</v>
      </c>
      <c r="I6" s="118">
        <f t="shared" si="1"/>
        <v>4.9021843000576198E-3</v>
      </c>
      <c r="J6" s="87"/>
      <c r="K6" s="87"/>
      <c r="L6" s="88"/>
      <c r="M6" s="89"/>
      <c r="N6" s="90"/>
      <c r="O6" s="90"/>
      <c r="P6" s="89"/>
      <c r="Q6" s="90"/>
      <c r="R6" s="90"/>
      <c r="S6" s="89"/>
      <c r="T6" s="90"/>
      <c r="U6" s="90"/>
    </row>
    <row r="7" spans="1:22">
      <c r="A7" s="5">
        <v>2</v>
      </c>
      <c r="B7" s="2" t="s">
        <v>5</v>
      </c>
      <c r="C7" s="131" t="s">
        <v>5</v>
      </c>
      <c r="D7" s="6">
        <v>124641.76996999999</v>
      </c>
      <c r="E7" s="106">
        <f t="shared" ref="E7:E74" si="2">D7*1000</f>
        <v>124641769.97</v>
      </c>
      <c r="F7" s="134">
        <v>361297</v>
      </c>
      <c r="G7" s="135">
        <f t="shared" si="0"/>
        <v>2.8986831628511093E-3</v>
      </c>
      <c r="H7" s="38">
        <v>361297</v>
      </c>
      <c r="I7" s="18">
        <f t="shared" si="1"/>
        <v>2.8986831628511093E-3</v>
      </c>
      <c r="J7" s="9">
        <v>8313</v>
      </c>
      <c r="K7" s="9">
        <v>7061</v>
      </c>
      <c r="L7" s="10">
        <v>6569</v>
      </c>
      <c r="M7" s="11">
        <v>0.14916396006255264</v>
      </c>
      <c r="N7" s="12">
        <v>0.14063163857810509</v>
      </c>
      <c r="O7" s="12">
        <v>0.14857664789161212</v>
      </c>
      <c r="P7" s="11">
        <v>8.8896908456634186E-2</v>
      </c>
      <c r="Q7" s="12">
        <v>8.2282962753151112E-2</v>
      </c>
      <c r="R7" s="12">
        <v>8.9054650631755217E-2</v>
      </c>
      <c r="S7" s="11">
        <v>0.13674937828235359</v>
      </c>
      <c r="T7" s="12">
        <v>0.11931340958059947</v>
      </c>
      <c r="U7" s="12">
        <v>0.11850059697686784</v>
      </c>
    </row>
    <row r="8" spans="1:22" ht="27.6">
      <c r="A8" s="5">
        <v>3</v>
      </c>
      <c r="B8" s="2" t="s">
        <v>6</v>
      </c>
      <c r="C8" s="99" t="s">
        <v>39</v>
      </c>
      <c r="D8" s="6">
        <v>123706.42581000002</v>
      </c>
      <c r="E8" s="106">
        <f t="shared" si="2"/>
        <v>123706425.81000002</v>
      </c>
      <c r="F8" s="134">
        <v>1151500</v>
      </c>
      <c r="G8" s="135">
        <f t="shared" si="0"/>
        <v>9.3083281038980319E-3</v>
      </c>
      <c r="H8" s="38">
        <v>2303000</v>
      </c>
      <c r="I8" s="18">
        <f t="shared" si="1"/>
        <v>1.8616656207796064E-2</v>
      </c>
      <c r="J8" s="13">
        <v>9781</v>
      </c>
      <c r="K8" s="13">
        <v>10225</v>
      </c>
      <c r="L8" s="14">
        <v>8336</v>
      </c>
      <c r="M8" s="15">
        <v>0.16102647991002966</v>
      </c>
      <c r="N8" s="16">
        <v>0.1665525672371638</v>
      </c>
      <c r="O8" s="16">
        <v>0.16386756238003838</v>
      </c>
      <c r="P8" s="15">
        <v>0.12319803701053061</v>
      </c>
      <c r="Q8" s="16">
        <v>0.11589242053789731</v>
      </c>
      <c r="R8" s="16">
        <v>0.11924184261036469</v>
      </c>
      <c r="S8" s="15">
        <v>0.20583620485562393</v>
      </c>
      <c r="T8" s="16">
        <v>0.18338549730313056</v>
      </c>
      <c r="U8" s="16">
        <v>0.18097678720487442</v>
      </c>
    </row>
    <row r="9" spans="1:22" s="73" customFormat="1" ht="15" thickBot="1">
      <c r="A9" s="63">
        <v>4</v>
      </c>
      <c r="B9" s="64" t="s">
        <v>7</v>
      </c>
      <c r="C9" s="100" t="s">
        <v>40</v>
      </c>
      <c r="D9" s="65">
        <v>186906.06841999997</v>
      </c>
      <c r="E9" s="107">
        <f t="shared" si="2"/>
        <v>186906068.41999996</v>
      </c>
      <c r="F9" s="66">
        <v>554430</v>
      </c>
      <c r="G9" s="67">
        <f t="shared" si="0"/>
        <v>2.9663563344242546E-3</v>
      </c>
      <c r="H9" s="68">
        <v>554430</v>
      </c>
      <c r="I9" s="67">
        <f t="shared" si="1"/>
        <v>2.9663563344242546E-3</v>
      </c>
      <c r="J9" s="69">
        <v>11761</v>
      </c>
      <c r="K9" s="69">
        <v>11405</v>
      </c>
      <c r="L9" s="70">
        <v>9587</v>
      </c>
      <c r="M9" s="71">
        <v>0.186548762860301</v>
      </c>
      <c r="N9" s="72">
        <v>0.19035510740903114</v>
      </c>
      <c r="O9" s="72">
        <v>0.18086992802753729</v>
      </c>
      <c r="P9" s="71">
        <v>0.1577246832752317</v>
      </c>
      <c r="Q9" s="72">
        <v>0.16177115300306882</v>
      </c>
      <c r="R9" s="72">
        <v>0.16616251173464067</v>
      </c>
      <c r="S9" s="71">
        <v>0.22999427323728155</v>
      </c>
      <c r="T9" s="72">
        <v>0.20916327793419393</v>
      </c>
      <c r="U9" s="72">
        <v>0.20852668048944129</v>
      </c>
    </row>
    <row r="10" spans="1:22">
      <c r="A10" s="267">
        <v>5</v>
      </c>
      <c r="B10" s="270" t="s">
        <v>8</v>
      </c>
      <c r="C10" s="55" t="s">
        <v>42</v>
      </c>
      <c r="D10" s="56">
        <v>90359.092230000009</v>
      </c>
      <c r="E10" s="108">
        <f t="shared" si="2"/>
        <v>90359092.230000004</v>
      </c>
      <c r="F10" s="57">
        <v>306997.77</v>
      </c>
      <c r="G10" s="58">
        <f t="shared" si="0"/>
        <v>3.3975304800381127E-3</v>
      </c>
      <c r="H10" s="93">
        <v>306998</v>
      </c>
      <c r="I10" s="58">
        <f t="shared" si="1"/>
        <v>3.3975330254377434E-3</v>
      </c>
      <c r="J10" s="59">
        <v>7271</v>
      </c>
      <c r="K10" s="59">
        <v>7163</v>
      </c>
      <c r="L10" s="60">
        <v>6017</v>
      </c>
      <c r="M10" s="61">
        <v>9.6410397469398987E-2</v>
      </c>
      <c r="N10" s="62">
        <v>0.11098701661315091</v>
      </c>
      <c r="O10" s="62">
        <v>0.11417649991690211</v>
      </c>
      <c r="P10" s="61">
        <v>0.11401457846238482</v>
      </c>
      <c r="Q10" s="62">
        <v>0.1214574898785425</v>
      </c>
      <c r="R10" s="62">
        <v>0.12198770151238159</v>
      </c>
      <c r="S10" s="61">
        <v>0.16548451001744729</v>
      </c>
      <c r="T10" s="62">
        <v>0.16477883031445301</v>
      </c>
      <c r="U10" s="62">
        <v>0.16775510546157058</v>
      </c>
    </row>
    <row r="11" spans="1:22" s="155" customFormat="1">
      <c r="A11" s="268"/>
      <c r="B11" s="271"/>
      <c r="C11" s="158" t="s">
        <v>87</v>
      </c>
      <c r="D11" s="147"/>
      <c r="E11" s="148">
        <f>14488.83009*1000</f>
        <v>14488830.09</v>
      </c>
      <c r="F11" s="149">
        <v>39043.040000000001</v>
      </c>
      <c r="G11" s="150">
        <f t="shared" si="0"/>
        <v>2.6946992792017759E-3</v>
      </c>
      <c r="H11" s="159">
        <v>39043</v>
      </c>
      <c r="I11" s="150">
        <f t="shared" si="1"/>
        <v>2.6946965184543757E-3</v>
      </c>
      <c r="J11" s="151"/>
      <c r="K11" s="151"/>
      <c r="L11" s="152"/>
      <c r="M11" s="153"/>
      <c r="N11" s="154"/>
      <c r="O11" s="154"/>
      <c r="P11" s="153"/>
      <c r="Q11" s="154"/>
      <c r="R11" s="154"/>
      <c r="S11" s="153"/>
      <c r="T11" s="154"/>
      <c r="U11" s="154"/>
    </row>
    <row r="12" spans="1:22">
      <c r="A12" s="268"/>
      <c r="B12" s="271"/>
      <c r="C12" s="131" t="s">
        <v>41</v>
      </c>
      <c r="D12" s="6">
        <v>237779.69068</v>
      </c>
      <c r="E12" s="106">
        <f t="shared" si="2"/>
        <v>237779690.68000001</v>
      </c>
      <c r="F12" s="136">
        <v>653563.41</v>
      </c>
      <c r="G12" s="135">
        <f t="shared" si="0"/>
        <v>2.7486090512227764E-3</v>
      </c>
      <c r="H12" s="93">
        <v>653563</v>
      </c>
      <c r="I12" s="18">
        <f t="shared" si="1"/>
        <v>2.7486073269375826E-3</v>
      </c>
      <c r="J12" s="9">
        <v>15082</v>
      </c>
      <c r="K12" s="9">
        <v>15700</v>
      </c>
      <c r="L12" s="10">
        <v>14960</v>
      </c>
      <c r="M12" s="11">
        <v>9.8395438270786367E-2</v>
      </c>
      <c r="N12" s="12">
        <v>0.10140127388535032</v>
      </c>
      <c r="O12" s="12">
        <v>9.7794117647058823E-2</v>
      </c>
      <c r="P12" s="11">
        <v>9.8925871900278475E-2</v>
      </c>
      <c r="Q12" s="12">
        <v>9.7324840764331205E-2</v>
      </c>
      <c r="R12" s="12">
        <v>0.10073529411764706</v>
      </c>
      <c r="S12" s="11">
        <v>0.17211994360067581</v>
      </c>
      <c r="T12" s="12">
        <v>0.15842284084095554</v>
      </c>
      <c r="U12" s="12">
        <v>0.16249495803220332</v>
      </c>
    </row>
    <row r="13" spans="1:22" s="98" customFormat="1" ht="15" thickBot="1">
      <c r="A13" s="279"/>
      <c r="B13" s="251"/>
      <c r="C13" s="120" t="s">
        <v>101</v>
      </c>
      <c r="D13" s="121"/>
      <c r="E13" s="122">
        <f>SUM(E10:E12)</f>
        <v>342627613</v>
      </c>
      <c r="F13" s="122">
        <f>SUM(F10:F12)</f>
        <v>999604.22</v>
      </c>
      <c r="G13" s="118">
        <f t="shared" si="0"/>
        <v>2.9174654408254011E-3</v>
      </c>
      <c r="H13" s="123">
        <f>SUM(H10:H12)</f>
        <v>999604</v>
      </c>
      <c r="I13" s="124">
        <f t="shared" si="1"/>
        <v>2.9174647987288754E-3</v>
      </c>
      <c r="J13" s="94"/>
      <c r="K13" s="94"/>
      <c r="L13" s="95"/>
      <c r="M13" s="96"/>
      <c r="N13" s="97"/>
      <c r="O13" s="97"/>
      <c r="P13" s="96"/>
      <c r="Q13" s="97"/>
      <c r="R13" s="97"/>
      <c r="S13" s="96"/>
      <c r="T13" s="97"/>
      <c r="U13" s="97"/>
    </row>
    <row r="14" spans="1:22">
      <c r="A14" s="39">
        <v>6</v>
      </c>
      <c r="B14" s="40" t="s">
        <v>9</v>
      </c>
      <c r="C14" s="101" t="s">
        <v>9</v>
      </c>
      <c r="D14" s="74">
        <v>40450.576000000001</v>
      </c>
      <c r="E14" s="108">
        <f>D14*1000</f>
        <v>40450576</v>
      </c>
      <c r="F14" s="75">
        <v>121500</v>
      </c>
      <c r="G14" s="58">
        <f t="shared" si="0"/>
        <v>3.0036655102266036E-3</v>
      </c>
      <c r="H14" s="76">
        <v>121500</v>
      </c>
      <c r="I14" s="58">
        <f t="shared" si="1"/>
        <v>3.0036655102266036E-3</v>
      </c>
      <c r="J14" s="59">
        <v>3007</v>
      </c>
      <c r="K14" s="59">
        <v>3037</v>
      </c>
      <c r="L14" s="60">
        <v>2656</v>
      </c>
      <c r="M14" s="61">
        <v>0.2477552377785168</v>
      </c>
      <c r="N14" s="62">
        <v>0.25419822192953573</v>
      </c>
      <c r="O14" s="62">
        <v>0.27673192771084337</v>
      </c>
      <c r="P14" s="61">
        <v>0.14865314266711008</v>
      </c>
      <c r="Q14" s="62">
        <v>0.15870925255186039</v>
      </c>
      <c r="R14" s="62">
        <v>0.15135542168674698</v>
      </c>
      <c r="S14" s="61">
        <v>0.18675775825644161</v>
      </c>
      <c r="T14" s="62">
        <v>0.20246829731155533</v>
      </c>
      <c r="U14" s="62">
        <v>0.17725589865615468</v>
      </c>
    </row>
    <row r="15" spans="1:22">
      <c r="A15" s="5">
        <v>7</v>
      </c>
      <c r="B15" s="2" t="s">
        <v>10</v>
      </c>
      <c r="C15" s="127" t="s">
        <v>43</v>
      </c>
      <c r="D15" s="6">
        <v>37547.5111891954</v>
      </c>
      <c r="E15" s="106">
        <f t="shared" si="2"/>
        <v>37547511.189195402</v>
      </c>
      <c r="F15" s="134">
        <v>220000</v>
      </c>
      <c r="G15" s="135">
        <f t="shared" si="0"/>
        <v>5.8592432103277935E-3</v>
      </c>
      <c r="H15" s="37">
        <v>277200</v>
      </c>
      <c r="I15" s="18">
        <f t="shared" si="1"/>
        <v>7.3826464450130191E-3</v>
      </c>
      <c r="J15" s="9">
        <v>2582</v>
      </c>
      <c r="K15" s="9">
        <v>2350</v>
      </c>
      <c r="L15" s="10">
        <v>2265</v>
      </c>
      <c r="M15" s="11">
        <v>0.15259488768396592</v>
      </c>
      <c r="N15" s="12">
        <v>0.13531914893617022</v>
      </c>
      <c r="O15" s="12">
        <v>0.14525386313465782</v>
      </c>
      <c r="P15" s="11">
        <v>6.8164213787761427E-2</v>
      </c>
      <c r="Q15" s="12">
        <v>5.8297872340425529E-2</v>
      </c>
      <c r="R15" s="12">
        <v>6.6225165562913912E-2</v>
      </c>
      <c r="S15" s="11">
        <v>0.11605187223291032</v>
      </c>
      <c r="T15" s="12">
        <v>0.10261155046028424</v>
      </c>
      <c r="U15" s="12">
        <v>0.1077045275445089</v>
      </c>
    </row>
    <row r="16" spans="1:22">
      <c r="A16" s="5">
        <v>8</v>
      </c>
      <c r="B16" s="2" t="s">
        <v>11</v>
      </c>
      <c r="C16" s="130" t="str">
        <f>$B$16</f>
        <v>GBMC</v>
      </c>
      <c r="D16" s="6">
        <v>369026.60100000002</v>
      </c>
      <c r="E16" s="106">
        <f t="shared" si="2"/>
        <v>369026601</v>
      </c>
      <c r="F16" s="134">
        <v>1207036</v>
      </c>
      <c r="G16" s="135">
        <f t="shared" si="0"/>
        <v>3.270864476244085E-3</v>
      </c>
      <c r="H16" s="37">
        <v>3444002</v>
      </c>
      <c r="I16" s="18">
        <f t="shared" si="1"/>
        <v>9.3326659668092598E-3</v>
      </c>
      <c r="J16" s="9">
        <v>18977</v>
      </c>
      <c r="K16" s="9">
        <v>18174</v>
      </c>
      <c r="L16" s="10">
        <v>16623</v>
      </c>
      <c r="M16" s="11">
        <v>0.13974811614059124</v>
      </c>
      <c r="N16" s="12">
        <v>0.14630791240233301</v>
      </c>
      <c r="O16" s="12">
        <v>0.1521386031402274</v>
      </c>
      <c r="P16" s="11">
        <v>0.12256942614744164</v>
      </c>
      <c r="Q16" s="12">
        <v>0.12528887421591284</v>
      </c>
      <c r="R16" s="12">
        <v>0.13228659086807434</v>
      </c>
      <c r="S16" s="11">
        <v>0.21471641474978831</v>
      </c>
      <c r="T16" s="12">
        <v>0.21038377710651474</v>
      </c>
      <c r="U16" s="12">
        <v>0.21334997759165111</v>
      </c>
      <c r="V16" s="83"/>
    </row>
    <row r="17" spans="1:22" s="73" customFormat="1" ht="28.2" thickBot="1">
      <c r="A17" s="63">
        <v>9</v>
      </c>
      <c r="B17" s="64" t="s">
        <v>12</v>
      </c>
      <c r="C17" s="102" t="s">
        <v>44</v>
      </c>
      <c r="D17" s="65">
        <v>242889.8</v>
      </c>
      <c r="E17" s="107">
        <f t="shared" si="2"/>
        <v>242889800</v>
      </c>
      <c r="F17" s="66">
        <v>1033077</v>
      </c>
      <c r="G17" s="67">
        <f t="shared" si="0"/>
        <v>4.2532745302602251E-3</v>
      </c>
      <c r="H17" s="82">
        <v>1533945</v>
      </c>
      <c r="I17" s="67">
        <f t="shared" si="1"/>
        <v>6.3153948827822329E-3</v>
      </c>
      <c r="J17" s="69">
        <v>21291</v>
      </c>
      <c r="K17" s="69">
        <v>21306</v>
      </c>
      <c r="L17" s="70">
        <v>19638</v>
      </c>
      <c r="M17" s="71">
        <v>0.10126344464797332</v>
      </c>
      <c r="N17" s="72">
        <v>9.5325260490002811E-2</v>
      </c>
      <c r="O17" s="72">
        <v>9.7260413484061517E-2</v>
      </c>
      <c r="P17" s="71">
        <v>9.5110610116950822E-2</v>
      </c>
      <c r="Q17" s="72">
        <v>9.6780249694921619E-2</v>
      </c>
      <c r="R17" s="72">
        <v>9.0131377940727161E-2</v>
      </c>
      <c r="S17" s="71">
        <v>0.1721595958747279</v>
      </c>
      <c r="T17" s="72">
        <v>0.16460075453321241</v>
      </c>
      <c r="U17" s="72">
        <v>0.15123186026187233</v>
      </c>
    </row>
    <row r="18" spans="1:22" ht="27.6" customHeight="1">
      <c r="A18" s="267">
        <v>10</v>
      </c>
      <c r="B18" s="270" t="s">
        <v>13</v>
      </c>
      <c r="C18" s="77" t="s">
        <v>45</v>
      </c>
      <c r="D18" s="56">
        <v>1839752.9210000001</v>
      </c>
      <c r="E18" s="108">
        <f t="shared" si="2"/>
        <v>1839752921</v>
      </c>
      <c r="F18" s="75">
        <f>12334379*0.5161</f>
        <v>6365773.0019000005</v>
      </c>
      <c r="G18" s="58">
        <f t="shared" si="0"/>
        <v>3.4601238727425838E-3</v>
      </c>
      <c r="H18" s="76">
        <v>8000000</v>
      </c>
      <c r="I18" s="58">
        <f t="shared" si="1"/>
        <v>4.3484100004317914E-3</v>
      </c>
      <c r="J18" s="78">
        <v>49546</v>
      </c>
      <c r="K18" s="78">
        <v>50077</v>
      </c>
      <c r="L18" s="79">
        <v>46189</v>
      </c>
      <c r="M18" s="80">
        <v>5.2880151778145562E-2</v>
      </c>
      <c r="N18" s="81">
        <v>5.5599999999999997E-2</v>
      </c>
      <c r="O18" s="81">
        <v>5.6593561237524084E-2</v>
      </c>
      <c r="P18" s="80">
        <v>0.15262584265127357</v>
      </c>
      <c r="Q18" s="81">
        <v>0.16093216446672126</v>
      </c>
      <c r="R18" s="81">
        <v>0.15609999999999999</v>
      </c>
      <c r="S18" s="80">
        <v>0.1136706510347746</v>
      </c>
      <c r="T18" s="81">
        <v>0.10214111638160008</v>
      </c>
      <c r="U18" s="81">
        <v>0.10111561583749348</v>
      </c>
    </row>
    <row r="19" spans="1:22">
      <c r="A19" s="268"/>
      <c r="B19" s="271"/>
      <c r="C19" s="43" t="s">
        <v>96</v>
      </c>
      <c r="D19" s="41"/>
      <c r="E19" s="109">
        <f>507487.1*1000</f>
        <v>507487100</v>
      </c>
      <c r="F19" s="134">
        <f>12334379*0.1806</f>
        <v>2227588.8474000003</v>
      </c>
      <c r="G19" s="135">
        <f t="shared" si="0"/>
        <v>4.3894492045216523E-3</v>
      </c>
      <c r="H19" s="42">
        <v>2800000</v>
      </c>
      <c r="I19" s="18">
        <f t="shared" si="1"/>
        <v>5.5173816240846321E-3</v>
      </c>
      <c r="J19" s="48">
        <v>23858</v>
      </c>
      <c r="K19" s="48">
        <v>22616</v>
      </c>
      <c r="L19" s="49">
        <v>19913</v>
      </c>
      <c r="M19" s="50">
        <v>0.11153491491323665</v>
      </c>
      <c r="N19" s="51">
        <v>0.11788114609126282</v>
      </c>
      <c r="O19" s="51">
        <v>0.1182142319088033</v>
      </c>
      <c r="P19" s="50">
        <v>0.16451504736356778</v>
      </c>
      <c r="Q19" s="51">
        <v>0.16802263883975946</v>
      </c>
      <c r="R19" s="51">
        <v>0.15256365188570281</v>
      </c>
      <c r="S19" s="50">
        <v>0.16148424021899657</v>
      </c>
      <c r="T19" s="51">
        <v>0.14501752180832167</v>
      </c>
      <c r="U19" s="51">
        <v>0.13833605357241538</v>
      </c>
    </row>
    <row r="20" spans="1:22">
      <c r="A20" s="268"/>
      <c r="B20" s="271"/>
      <c r="C20" s="47" t="s">
        <v>97</v>
      </c>
      <c r="D20" s="41"/>
      <c r="E20" s="110">
        <v>422084600.99999988</v>
      </c>
      <c r="F20" s="134">
        <f>12334379*0.0839</f>
        <v>1034854.3981</v>
      </c>
      <c r="G20" s="135">
        <f t="shared" si="0"/>
        <v>2.4517700850687995E-3</v>
      </c>
      <c r="H20" s="42">
        <v>1300000</v>
      </c>
      <c r="I20" s="18">
        <f t="shared" si="1"/>
        <v>3.079951263135516E-3</v>
      </c>
      <c r="J20" s="9">
        <v>19858</v>
      </c>
      <c r="K20" s="9">
        <v>19111</v>
      </c>
      <c r="L20" s="10">
        <v>16733</v>
      </c>
      <c r="M20" s="11">
        <v>7.5536307785275453E-2</v>
      </c>
      <c r="N20" s="12">
        <v>7.2366699806394222E-2</v>
      </c>
      <c r="O20" s="12">
        <v>6.8905755094723006E-2</v>
      </c>
      <c r="P20" s="11">
        <v>0.10706012690099707</v>
      </c>
      <c r="Q20" s="12">
        <v>0.10998901156402072</v>
      </c>
      <c r="R20" s="12">
        <v>0.10057969282256618</v>
      </c>
      <c r="S20" s="11">
        <v>9.9937916822225165E-2</v>
      </c>
      <c r="T20" s="12">
        <v>9.9093326265812173E-2</v>
      </c>
      <c r="U20" s="12">
        <v>8.6751365768939423E-2</v>
      </c>
    </row>
    <row r="21" spans="1:22">
      <c r="A21" s="268"/>
      <c r="B21" s="271"/>
      <c r="C21" s="47" t="s">
        <v>46</v>
      </c>
      <c r="D21" s="41"/>
      <c r="E21" s="110">
        <v>592096169</v>
      </c>
      <c r="F21" s="134">
        <f>12334379*0.1161</f>
        <v>1432021.4018999999</v>
      </c>
      <c r="G21" s="135">
        <f t="shared" si="0"/>
        <v>2.4185621810702846E-3</v>
      </c>
      <c r="H21" s="42">
        <v>1800000</v>
      </c>
      <c r="I21" s="18">
        <f t="shared" si="1"/>
        <v>3.0400466921447012E-3</v>
      </c>
      <c r="J21" s="9">
        <v>28370</v>
      </c>
      <c r="K21" s="9">
        <v>27336</v>
      </c>
      <c r="L21" s="10">
        <v>23711</v>
      </c>
      <c r="M21" s="11">
        <v>9.0165667959111739E-2</v>
      </c>
      <c r="N21" s="12">
        <v>8.9223002633889381E-2</v>
      </c>
      <c r="O21" s="12">
        <v>9.1729576989582895E-2</v>
      </c>
      <c r="P21" s="11">
        <v>0.13500176242509693</v>
      </c>
      <c r="Q21" s="12">
        <v>0.13176763242610476</v>
      </c>
      <c r="R21" s="12">
        <v>0.12605963476867277</v>
      </c>
      <c r="S21" s="11">
        <v>0.13848039498463158</v>
      </c>
      <c r="T21" s="12">
        <v>0.12819409480096633</v>
      </c>
      <c r="U21" s="12">
        <v>0.12024306000107447</v>
      </c>
    </row>
    <row r="22" spans="1:22">
      <c r="A22" s="268"/>
      <c r="B22" s="271"/>
      <c r="C22" s="47" t="s">
        <v>98</v>
      </c>
      <c r="D22" s="41"/>
      <c r="E22" s="106">
        <v>418234842.47999996</v>
      </c>
      <c r="F22" s="134">
        <f>12334379*0.071</f>
        <v>875740.90899999987</v>
      </c>
      <c r="G22" s="135">
        <f t="shared" si="0"/>
        <v>2.0938975428425187E-3</v>
      </c>
      <c r="H22" s="42">
        <v>1100000</v>
      </c>
      <c r="I22" s="18">
        <f t="shared" si="1"/>
        <v>2.6301012930375406E-3</v>
      </c>
      <c r="J22" s="9">
        <v>29413</v>
      </c>
      <c r="K22" s="9">
        <v>30527</v>
      </c>
      <c r="L22" s="10">
        <v>28503</v>
      </c>
      <c r="M22" s="11">
        <v>0.13585829395165402</v>
      </c>
      <c r="N22" s="12">
        <v>0.12726438890162806</v>
      </c>
      <c r="O22" s="12">
        <v>0.12016278988176683</v>
      </c>
      <c r="P22" s="11">
        <v>0.13789820827525243</v>
      </c>
      <c r="Q22" s="12">
        <v>0.14334851115406033</v>
      </c>
      <c r="R22" s="12">
        <v>0.13644177805844998</v>
      </c>
      <c r="S22" s="11">
        <v>0.19098928359330705</v>
      </c>
      <c r="T22" s="12">
        <v>0.18933621785426655</v>
      </c>
      <c r="U22" s="12">
        <v>0.18279742591140599</v>
      </c>
    </row>
    <row r="23" spans="1:22">
      <c r="A23" s="268"/>
      <c r="B23" s="271"/>
      <c r="C23" s="47" t="s">
        <v>99</v>
      </c>
      <c r="D23" s="41"/>
      <c r="E23" s="106">
        <v>164442499.73000002</v>
      </c>
      <c r="F23" s="134">
        <f>12334379*0.0323</f>
        <v>398400.44170000002</v>
      </c>
      <c r="G23" s="135">
        <f t="shared" si="0"/>
        <v>2.4227340398871229E-3</v>
      </c>
      <c r="H23" s="42">
        <v>500000</v>
      </c>
      <c r="I23" s="18">
        <f t="shared" si="1"/>
        <v>3.040576498295487E-3</v>
      </c>
      <c r="J23" s="9">
        <v>12276</v>
      </c>
      <c r="K23" s="9">
        <v>10977</v>
      </c>
      <c r="L23" s="10">
        <v>9721</v>
      </c>
      <c r="M23" s="11">
        <v>0.14581296839361355</v>
      </c>
      <c r="N23" s="12">
        <v>0.12772159970848138</v>
      </c>
      <c r="O23" s="12">
        <v>0.12961629461989507</v>
      </c>
      <c r="P23" s="11">
        <v>0.13017269468882373</v>
      </c>
      <c r="Q23" s="12">
        <v>0.12189122711123258</v>
      </c>
      <c r="R23" s="12">
        <v>0.11706614545828618</v>
      </c>
      <c r="S23" s="11">
        <v>0.18283575976964589</v>
      </c>
      <c r="T23" s="12">
        <v>0.16453128646534682</v>
      </c>
      <c r="U23" s="12">
        <v>0.15232863316665551</v>
      </c>
    </row>
    <row r="24" spans="1:22" s="163" customFormat="1" ht="15" thickBot="1">
      <c r="A24" s="279"/>
      <c r="B24" s="251"/>
      <c r="C24" s="120" t="s">
        <v>101</v>
      </c>
      <c r="D24" s="121"/>
      <c r="E24" s="122">
        <f>SUM(E18:E23)</f>
        <v>3944098133.21</v>
      </c>
      <c r="F24" s="169">
        <f>SUM(F18:F23)</f>
        <v>12334379.000000002</v>
      </c>
      <c r="G24" s="124">
        <f t="shared" si="0"/>
        <v>3.1273002302205314E-3</v>
      </c>
      <c r="H24" s="170">
        <f>SUM(H18:H23)</f>
        <v>15500000</v>
      </c>
      <c r="I24" s="124">
        <f t="shared" si="1"/>
        <v>3.9299225010369981E-3</v>
      </c>
      <c r="J24" s="160">
        <f>SUM(J18:J23)</f>
        <v>163321</v>
      </c>
      <c r="K24" s="160">
        <f>SUM(K18:K23)</f>
        <v>160644</v>
      </c>
      <c r="L24" s="160">
        <f>SUM(L18:L23)</f>
        <v>144770</v>
      </c>
      <c r="M24" s="161"/>
      <c r="N24" s="162"/>
      <c r="O24" s="162"/>
      <c r="P24" s="161"/>
      <c r="Q24" s="162"/>
      <c r="R24" s="162"/>
      <c r="S24" s="161"/>
      <c r="T24" s="162"/>
      <c r="U24" s="162"/>
    </row>
    <row r="25" spans="1:22">
      <c r="A25" s="267">
        <v>11</v>
      </c>
      <c r="B25" s="270" t="s">
        <v>14</v>
      </c>
      <c r="C25" s="55" t="s">
        <v>46</v>
      </c>
      <c r="D25" s="56">
        <v>592096.16899999999</v>
      </c>
      <c r="E25" s="108">
        <f t="shared" si="2"/>
        <v>592096169</v>
      </c>
      <c r="F25" s="75">
        <v>3187760</v>
      </c>
      <c r="G25" s="58">
        <f t="shared" si="0"/>
        <v>5.3838551351951067E-3</v>
      </c>
      <c r="H25" s="93">
        <f>H28*0.523465</f>
        <v>3534426.2576299999</v>
      </c>
      <c r="I25" s="58">
        <f t="shared" si="1"/>
        <v>5.9693449184096978E-3</v>
      </c>
      <c r="J25" s="59">
        <v>28370</v>
      </c>
      <c r="K25" s="59">
        <v>27336</v>
      </c>
      <c r="L25" s="60">
        <v>23711</v>
      </c>
      <c r="M25" s="61">
        <v>9.0165667959111739E-2</v>
      </c>
      <c r="N25" s="62">
        <v>8.9223002633889381E-2</v>
      </c>
      <c r="O25" s="62">
        <v>9.1729576989582895E-2</v>
      </c>
      <c r="P25" s="61">
        <v>0.13500176242509693</v>
      </c>
      <c r="Q25" s="62">
        <v>0.13176763242610476</v>
      </c>
      <c r="R25" s="62">
        <v>0.12605963476867277</v>
      </c>
      <c r="S25" s="61">
        <v>0.13848039498463158</v>
      </c>
      <c r="T25" s="62">
        <v>0.12819409480096633</v>
      </c>
      <c r="U25" s="62">
        <v>0.12024306000107447</v>
      </c>
    </row>
    <row r="26" spans="1:22">
      <c r="A26" s="268"/>
      <c r="B26" s="271"/>
      <c r="C26" s="130" t="s">
        <v>47</v>
      </c>
      <c r="D26" s="6">
        <v>217722.36199999999</v>
      </c>
      <c r="E26" s="106">
        <f t="shared" si="2"/>
        <v>217722362</v>
      </c>
      <c r="F26" s="134">
        <v>1109380</v>
      </c>
      <c r="G26" s="135">
        <f t="shared" si="0"/>
        <v>5.0953884103094567E-3</v>
      </c>
      <c r="H26" s="38">
        <f>0.182172*H28</f>
        <v>1230022.0649039999</v>
      </c>
      <c r="I26" s="18">
        <f t="shared" si="1"/>
        <v>5.6494980745432103E-3</v>
      </c>
      <c r="J26" s="13">
        <v>14110</v>
      </c>
      <c r="K26" s="13">
        <v>13814</v>
      </c>
      <c r="L26" s="14">
        <v>12547</v>
      </c>
      <c r="M26" s="15">
        <v>0.1265768958185684</v>
      </c>
      <c r="N26" s="16">
        <v>0.12443897495294629</v>
      </c>
      <c r="O26" s="16">
        <v>0.1417071809994421</v>
      </c>
      <c r="P26" s="15">
        <v>0.11679659815733523</v>
      </c>
      <c r="Q26" s="16">
        <v>0.12139858114955841</v>
      </c>
      <c r="R26" s="16">
        <v>0.11731888100741213</v>
      </c>
      <c r="S26" s="15">
        <v>0.16637409345357287</v>
      </c>
      <c r="T26" s="16">
        <v>0.16684133667185286</v>
      </c>
      <c r="U26" s="16">
        <v>0.17376798212156266</v>
      </c>
    </row>
    <row r="27" spans="1:22">
      <c r="A27" s="268"/>
      <c r="B27" s="271"/>
      <c r="C27" s="130" t="s">
        <v>48</v>
      </c>
      <c r="D27" s="6">
        <v>207736.40699999998</v>
      </c>
      <c r="E27" s="106">
        <f t="shared" si="2"/>
        <v>207736406.99999997</v>
      </c>
      <c r="F27" s="134">
        <v>1792587</v>
      </c>
      <c r="G27" s="135">
        <f t="shared" si="0"/>
        <v>8.6291422186771539E-3</v>
      </c>
      <c r="H27" s="38">
        <f>0.294362*H28</f>
        <v>1987526.925484</v>
      </c>
      <c r="I27" s="18">
        <f t="shared" si="1"/>
        <v>9.5675426093414645E-3</v>
      </c>
      <c r="J27" s="13">
        <v>14216</v>
      </c>
      <c r="K27" s="13">
        <v>14021</v>
      </c>
      <c r="L27" s="14">
        <v>11396</v>
      </c>
      <c r="M27" s="15">
        <v>0.1814153066966798</v>
      </c>
      <c r="N27" s="16">
        <v>0.16717780472148919</v>
      </c>
      <c r="O27" s="16">
        <v>0.18883818883818884</v>
      </c>
      <c r="P27" s="15">
        <v>0.17438097917839054</v>
      </c>
      <c r="Q27" s="16">
        <v>0.16881820126952429</v>
      </c>
      <c r="R27" s="16">
        <v>0.16286416286416286</v>
      </c>
      <c r="S27" s="15">
        <v>0.23664378512767839</v>
      </c>
      <c r="T27" s="16">
        <v>0.21619943112671941</v>
      </c>
      <c r="U27" s="16">
        <v>0.19015465277295415</v>
      </c>
    </row>
    <row r="28" spans="1:22" s="168" customFormat="1">
      <c r="A28" s="279"/>
      <c r="B28" s="251"/>
      <c r="C28" s="115" t="s">
        <v>101</v>
      </c>
      <c r="D28" s="116"/>
      <c r="E28" s="117">
        <f>SUM(E25:E27)</f>
        <v>1017554938</v>
      </c>
      <c r="F28" s="119">
        <f>SUM(F25:F27)</f>
        <v>6089727</v>
      </c>
      <c r="G28" s="118">
        <f t="shared" si="0"/>
        <v>5.9846665497681464E-3</v>
      </c>
      <c r="H28" s="171">
        <v>6751982</v>
      </c>
      <c r="I28" s="118">
        <f t="shared" si="1"/>
        <v>6.6354962743053391E-3</v>
      </c>
      <c r="J28" s="164"/>
      <c r="K28" s="164"/>
      <c r="L28" s="165"/>
      <c r="M28" s="166"/>
      <c r="N28" s="167"/>
      <c r="O28" s="167"/>
      <c r="P28" s="166"/>
      <c r="Q28" s="167"/>
      <c r="R28" s="167"/>
      <c r="S28" s="166"/>
      <c r="T28" s="167"/>
      <c r="U28" s="167"/>
    </row>
    <row r="29" spans="1:22" ht="16.2" customHeight="1">
      <c r="A29" s="267">
        <v>12</v>
      </c>
      <c r="B29" s="270" t="s">
        <v>15</v>
      </c>
      <c r="C29" s="172" t="s">
        <v>49</v>
      </c>
      <c r="D29" s="6">
        <v>418234.84247999993</v>
      </c>
      <c r="E29" s="106">
        <f t="shared" si="2"/>
        <v>418234842.47999996</v>
      </c>
      <c r="F29" s="111">
        <v>1612788.487782171</v>
      </c>
      <c r="G29" s="135">
        <f t="shared" si="0"/>
        <v>3.8561791701017707E-3</v>
      </c>
      <c r="H29" s="38">
        <v>1612788.487782171</v>
      </c>
      <c r="I29" s="18">
        <f t="shared" si="1"/>
        <v>3.8561791701017707E-3</v>
      </c>
      <c r="J29" s="9">
        <v>29413</v>
      </c>
      <c r="K29" s="9">
        <v>30527</v>
      </c>
      <c r="L29" s="10">
        <v>28503</v>
      </c>
      <c r="M29" s="11">
        <v>0.13585829395165402</v>
      </c>
      <c r="N29" s="12">
        <v>0.12726438890162806</v>
      </c>
      <c r="O29" s="12">
        <v>0.12016278988176683</v>
      </c>
      <c r="P29" s="11">
        <v>0.13789820827525243</v>
      </c>
      <c r="Q29" s="12">
        <v>0.14334851115406033</v>
      </c>
      <c r="R29" s="12">
        <v>0.13644177805844998</v>
      </c>
      <c r="S29" s="11">
        <v>0.19098928359330705</v>
      </c>
      <c r="T29" s="12">
        <v>0.18933621785426655</v>
      </c>
      <c r="U29" s="12">
        <v>0.18279742591140599</v>
      </c>
      <c r="V29" t="s">
        <v>100</v>
      </c>
    </row>
    <row r="30" spans="1:22">
      <c r="A30" s="268"/>
      <c r="B30" s="271"/>
      <c r="C30" s="172" t="s">
        <v>50</v>
      </c>
      <c r="D30" s="6">
        <v>247347.39387999996</v>
      </c>
      <c r="E30" s="106">
        <f t="shared" si="2"/>
        <v>247347393.87999997</v>
      </c>
      <c r="F30" s="111">
        <v>997443.73389346397</v>
      </c>
      <c r="G30" s="135">
        <f t="shared" si="0"/>
        <v>4.0325621315313778E-3</v>
      </c>
      <c r="H30" s="38">
        <v>997443.73389346397</v>
      </c>
      <c r="I30" s="18">
        <f t="shared" si="1"/>
        <v>4.0325621315313778E-3</v>
      </c>
      <c r="J30" s="13">
        <v>14917</v>
      </c>
      <c r="K30" s="13">
        <v>13535</v>
      </c>
      <c r="L30" s="14">
        <v>11824</v>
      </c>
      <c r="M30" s="15">
        <v>0.17175035194744251</v>
      </c>
      <c r="N30" s="16">
        <v>0.16505356483191724</v>
      </c>
      <c r="O30" s="16">
        <v>0.17413734776725304</v>
      </c>
      <c r="P30" s="15">
        <v>0.18535898639136555</v>
      </c>
      <c r="Q30" s="16">
        <v>0.18145548577761358</v>
      </c>
      <c r="R30" s="16">
        <v>0.17143098782138025</v>
      </c>
      <c r="S30" s="15">
        <v>0.20427595652744063</v>
      </c>
      <c r="T30" s="16">
        <v>0.18264635913229008</v>
      </c>
      <c r="U30" s="16">
        <v>0.18233578865557348</v>
      </c>
    </row>
    <row r="31" spans="1:22">
      <c r="A31" s="268"/>
      <c r="B31" s="271"/>
      <c r="C31" s="131" t="s">
        <v>51</v>
      </c>
      <c r="D31" s="6">
        <v>164442.49973000001</v>
      </c>
      <c r="E31" s="106">
        <f t="shared" si="2"/>
        <v>164442499.73000002</v>
      </c>
      <c r="F31" s="111">
        <v>682829.11751857074</v>
      </c>
      <c r="G31" s="135">
        <f t="shared" si="0"/>
        <v>4.1523883341576268E-3</v>
      </c>
      <c r="H31" s="38">
        <v>682829.11751857074</v>
      </c>
      <c r="I31" s="18">
        <f t="shared" si="1"/>
        <v>4.1523883341576268E-3</v>
      </c>
      <c r="J31" s="9">
        <v>12276</v>
      </c>
      <c r="K31" s="9">
        <v>10977</v>
      </c>
      <c r="L31" s="10">
        <v>9721</v>
      </c>
      <c r="M31" s="11">
        <v>0.14581296839361355</v>
      </c>
      <c r="N31" s="12">
        <v>0.12772159970848138</v>
      </c>
      <c r="O31" s="12">
        <v>0.12961629461989507</v>
      </c>
      <c r="P31" s="11">
        <v>0.13017269468882373</v>
      </c>
      <c r="Q31" s="12">
        <v>0.12189122711123258</v>
      </c>
      <c r="R31" s="12">
        <v>0.11706614545828618</v>
      </c>
      <c r="S31" s="11">
        <v>0.18283575976964589</v>
      </c>
      <c r="T31" s="12">
        <v>0.16453128646534682</v>
      </c>
      <c r="U31" s="12">
        <v>0.15232863316665551</v>
      </c>
    </row>
    <row r="32" spans="1:22">
      <c r="A32" s="268"/>
      <c r="B32" s="271"/>
      <c r="C32" s="131" t="s">
        <v>52</v>
      </c>
      <c r="D32" s="6">
        <v>147518.39329000001</v>
      </c>
      <c r="E32" s="106">
        <f t="shared" si="2"/>
        <v>147518393.29000002</v>
      </c>
      <c r="F32" s="111">
        <v>565599.99362070416</v>
      </c>
      <c r="G32" s="135">
        <f t="shared" si="0"/>
        <v>3.8340981148622983E-3</v>
      </c>
      <c r="H32" s="38">
        <v>565599.99362070416</v>
      </c>
      <c r="I32" s="18">
        <f t="shared" si="1"/>
        <v>3.8340981148622983E-3</v>
      </c>
      <c r="J32" s="13">
        <v>10437</v>
      </c>
      <c r="K32" s="13">
        <v>10115</v>
      </c>
      <c r="L32" s="14">
        <v>9026</v>
      </c>
      <c r="M32" s="15">
        <v>0.12465267797259749</v>
      </c>
      <c r="N32" s="16">
        <v>0.1213049925852694</v>
      </c>
      <c r="O32" s="16">
        <v>0.12364280966097939</v>
      </c>
      <c r="P32" s="15">
        <v>0.12963495257257832</v>
      </c>
      <c r="Q32" s="16">
        <v>0.12377656945130994</v>
      </c>
      <c r="R32" s="16">
        <v>0.13139818302681144</v>
      </c>
      <c r="S32" s="15">
        <v>0.16012888773201939</v>
      </c>
      <c r="T32" s="16">
        <v>0.1436331487974169</v>
      </c>
      <c r="U32" s="16">
        <v>0.15457477040150233</v>
      </c>
    </row>
    <row r="33" spans="1:22">
      <c r="A33" s="268"/>
      <c r="B33" s="271"/>
      <c r="C33" s="131" t="s">
        <v>53</v>
      </c>
      <c r="D33" s="6">
        <v>216113.39518399996</v>
      </c>
      <c r="E33" s="106">
        <f t="shared" si="2"/>
        <v>216113395.18399996</v>
      </c>
      <c r="F33" s="111">
        <v>873698.86876691936</v>
      </c>
      <c r="G33" s="135">
        <f t="shared" si="0"/>
        <v>4.0427798009607316E-3</v>
      </c>
      <c r="H33" s="38">
        <v>873698.86876691936</v>
      </c>
      <c r="I33" s="18">
        <f t="shared" si="1"/>
        <v>4.0427798009607316E-3</v>
      </c>
      <c r="J33" s="9">
        <v>18977</v>
      </c>
      <c r="K33" s="9">
        <v>18174</v>
      </c>
      <c r="L33" s="10">
        <v>16623</v>
      </c>
      <c r="M33" s="11">
        <v>0.13974811614059124</v>
      </c>
      <c r="N33" s="12">
        <v>0.14630791240233301</v>
      </c>
      <c r="O33" s="12">
        <v>0.1521386031402274</v>
      </c>
      <c r="P33" s="11">
        <v>0.12256942614744164</v>
      </c>
      <c r="Q33" s="12">
        <v>0.12528887421591284</v>
      </c>
      <c r="R33" s="12">
        <v>0.13228659086807434</v>
      </c>
      <c r="S33" s="11">
        <v>0.21471641474978831</v>
      </c>
      <c r="T33" s="12">
        <v>0.21038377710651474</v>
      </c>
      <c r="U33" s="12">
        <v>0.21334997759165111</v>
      </c>
    </row>
    <row r="34" spans="1:22">
      <c r="A34" s="268"/>
      <c r="B34" s="271"/>
      <c r="C34" s="131" t="s">
        <v>54</v>
      </c>
      <c r="D34" s="6">
        <v>140075.18754999997</v>
      </c>
      <c r="E34" s="106">
        <f t="shared" si="2"/>
        <v>140075187.54999998</v>
      </c>
      <c r="F34" s="111">
        <v>542510.53560985823</v>
      </c>
      <c r="G34" s="135">
        <f t="shared" si="0"/>
        <v>3.8729952470433677E-3</v>
      </c>
      <c r="H34" s="38">
        <v>542510.53560985823</v>
      </c>
      <c r="I34" s="18">
        <f t="shared" si="1"/>
        <v>3.8729952470433677E-3</v>
      </c>
      <c r="J34" s="13">
        <v>9853</v>
      </c>
      <c r="K34" s="13">
        <v>9433</v>
      </c>
      <c r="L34" s="14">
        <v>8972</v>
      </c>
      <c r="M34" s="15">
        <v>0.13752156703542068</v>
      </c>
      <c r="N34" s="16">
        <v>0.13357362450969998</v>
      </c>
      <c r="O34" s="16">
        <v>0.12550156041016497</v>
      </c>
      <c r="P34" s="15">
        <v>0.12290672891505125</v>
      </c>
      <c r="Q34" s="16">
        <v>0.11099332131877451</v>
      </c>
      <c r="R34" s="16">
        <v>0.10198395006687472</v>
      </c>
      <c r="S34" s="15">
        <v>0.14149704459720966</v>
      </c>
      <c r="T34" s="16">
        <v>0.12933775516714965</v>
      </c>
      <c r="U34" s="16">
        <v>0.12527260031361356</v>
      </c>
    </row>
    <row r="35" spans="1:22">
      <c r="A35" s="268"/>
      <c r="B35" s="271"/>
      <c r="C35" s="131" t="s">
        <v>55</v>
      </c>
      <c r="D35" s="6">
        <v>361044.33205919998</v>
      </c>
      <c r="E35" s="106">
        <f t="shared" si="2"/>
        <v>361044332.05919999</v>
      </c>
      <c r="F35" s="111">
        <v>1385129.2628083129</v>
      </c>
      <c r="G35" s="135">
        <f t="shared" si="0"/>
        <v>3.8364520359820938E-3</v>
      </c>
      <c r="H35" s="38">
        <v>1385129.2628083129</v>
      </c>
      <c r="I35" s="18">
        <f t="shared" si="1"/>
        <v>3.8364520359820938E-3</v>
      </c>
      <c r="J35" s="13">
        <v>15765</v>
      </c>
      <c r="K35" s="13">
        <v>14733</v>
      </c>
      <c r="L35" s="14">
        <v>12949</v>
      </c>
      <c r="M35" s="15">
        <v>0.12775134792261339</v>
      </c>
      <c r="N35" s="16">
        <v>0.12726532274485849</v>
      </c>
      <c r="O35" s="16">
        <v>0.1321337555023554</v>
      </c>
      <c r="P35" s="15">
        <v>0.17272438947034571</v>
      </c>
      <c r="Q35" s="16">
        <v>0.17097671893029254</v>
      </c>
      <c r="R35" s="16">
        <v>0.15746389682600972</v>
      </c>
      <c r="S35" s="15">
        <v>0.16157596065788954</v>
      </c>
      <c r="T35" s="16">
        <v>0.15298515889887063</v>
      </c>
      <c r="U35" s="16">
        <v>0.1467674237009908</v>
      </c>
      <c r="V35" t="s">
        <v>100</v>
      </c>
    </row>
    <row r="36" spans="1:22">
      <c r="A36" s="279"/>
      <c r="B36" s="251"/>
      <c r="C36" s="131" t="s">
        <v>101</v>
      </c>
      <c r="D36" s="6"/>
      <c r="E36" s="106">
        <f>SUM(E29:E35)</f>
        <v>1694776044.1731999</v>
      </c>
      <c r="F36" s="106">
        <f>SUM(F29:F35)</f>
        <v>6660000</v>
      </c>
      <c r="G36" s="135">
        <f t="shared" si="0"/>
        <v>3.9297227636050846E-3</v>
      </c>
      <c r="H36" s="38">
        <f>SUM(H29:H35)</f>
        <v>6660000</v>
      </c>
      <c r="I36" s="18">
        <f t="shared" si="1"/>
        <v>3.9297227636050846E-3</v>
      </c>
      <c r="J36" s="13"/>
      <c r="K36" s="13"/>
      <c r="L36" s="14"/>
      <c r="M36" s="15"/>
      <c r="N36" s="16"/>
      <c r="O36" s="16"/>
      <c r="P36" s="15"/>
      <c r="Q36" s="16"/>
      <c r="R36" s="16"/>
      <c r="S36" s="15"/>
      <c r="T36" s="16"/>
      <c r="U36" s="16"/>
    </row>
    <row r="37" spans="1:22">
      <c r="A37" s="5">
        <v>13</v>
      </c>
      <c r="B37" s="2" t="s">
        <v>16</v>
      </c>
      <c r="C37" s="131" t="s">
        <v>16</v>
      </c>
      <c r="D37" s="6">
        <v>422084.60099999991</v>
      </c>
      <c r="E37" s="106">
        <f t="shared" si="2"/>
        <v>422084600.99999988</v>
      </c>
      <c r="F37" s="134">
        <v>1472000</v>
      </c>
      <c r="G37" s="135">
        <f t="shared" si="0"/>
        <v>3.4874525071811385E-3</v>
      </c>
      <c r="H37" s="37">
        <f>1057000+415000</f>
        <v>1472000</v>
      </c>
      <c r="I37" s="18">
        <f t="shared" si="1"/>
        <v>3.4874525071811385E-3</v>
      </c>
      <c r="J37" s="9">
        <v>19858</v>
      </c>
      <c r="K37" s="9">
        <v>19111</v>
      </c>
      <c r="L37" s="10">
        <v>16733</v>
      </c>
      <c r="M37" s="11">
        <v>7.5536307785275453E-2</v>
      </c>
      <c r="N37" s="12">
        <v>7.2366699806394222E-2</v>
      </c>
      <c r="O37" s="12">
        <v>6.8905755094723006E-2</v>
      </c>
      <c r="P37" s="11">
        <v>0.10706012690099707</v>
      </c>
      <c r="Q37" s="12">
        <v>0.10998901156402072</v>
      </c>
      <c r="R37" s="12">
        <v>0.10057969282256618</v>
      </c>
      <c r="S37" s="11">
        <v>9.9937916822225165E-2</v>
      </c>
      <c r="T37" s="12">
        <v>9.9093326265812173E-2</v>
      </c>
      <c r="U37" s="12">
        <v>8.6751365768939423E-2</v>
      </c>
    </row>
    <row r="38" spans="1:22">
      <c r="A38" s="267">
        <v>14</v>
      </c>
      <c r="B38" s="270" t="s">
        <v>3</v>
      </c>
      <c r="C38" s="130" t="s">
        <v>56</v>
      </c>
      <c r="D38" s="6">
        <v>400831.15698999999</v>
      </c>
      <c r="E38" s="106">
        <f t="shared" si="2"/>
        <v>400831156.99000001</v>
      </c>
      <c r="F38" s="136">
        <f>'Rev and PAU'!H38*0.709</f>
        <v>1579666.18</v>
      </c>
      <c r="G38" s="135">
        <f t="shared" si="0"/>
        <v>3.9409765245355154E-3</v>
      </c>
      <c r="H38" s="37">
        <v>2228020</v>
      </c>
      <c r="I38" s="18">
        <f t="shared" si="1"/>
        <v>5.5585000346058053E-3</v>
      </c>
      <c r="J38" s="13">
        <v>38130</v>
      </c>
      <c r="K38" s="13">
        <v>37684</v>
      </c>
      <c r="L38" s="14">
        <v>35331</v>
      </c>
      <c r="M38" s="15">
        <v>6.7164961972200371E-2</v>
      </c>
      <c r="N38" s="16">
        <v>6.7508757032162192E-2</v>
      </c>
      <c r="O38" s="16">
        <v>6.4617474738897854E-2</v>
      </c>
      <c r="P38" s="15">
        <v>7.5662208234985581E-2</v>
      </c>
      <c r="Q38" s="16">
        <v>7.7645685171425533E-2</v>
      </c>
      <c r="R38" s="16">
        <v>7.8033455039483737E-2</v>
      </c>
      <c r="S38" s="15">
        <v>0.14220224837611756</v>
      </c>
      <c r="T38" s="16">
        <v>0.14777204369143113</v>
      </c>
      <c r="U38" s="16">
        <v>0.14114286416052563</v>
      </c>
    </row>
    <row r="39" spans="1:22">
      <c r="A39" s="268"/>
      <c r="B39" s="271"/>
      <c r="C39" s="130" t="s">
        <v>57</v>
      </c>
      <c r="D39" s="6">
        <v>36057.303</v>
      </c>
      <c r="E39" s="106">
        <f t="shared" si="2"/>
        <v>36057303</v>
      </c>
      <c r="F39" s="136">
        <f>'Rev and PAU'!H39*0.709</f>
        <v>189468.19699999999</v>
      </c>
      <c r="G39" s="135">
        <f t="shared" si="0"/>
        <v>5.2546413967788988E-3</v>
      </c>
      <c r="H39" s="37">
        <v>267233</v>
      </c>
      <c r="I39" s="18">
        <f t="shared" si="1"/>
        <v>7.4113418854427357E-3</v>
      </c>
      <c r="J39" s="29"/>
      <c r="K39" s="29"/>
      <c r="L39" s="30">
        <v>2859</v>
      </c>
      <c r="M39" s="31"/>
      <c r="N39" s="32"/>
      <c r="O39" s="32">
        <v>0.13955928646379853</v>
      </c>
      <c r="P39" s="31"/>
      <c r="Q39" s="32"/>
      <c r="R39" s="32">
        <v>0.11052815669814621</v>
      </c>
      <c r="S39" s="31"/>
      <c r="T39" s="32"/>
      <c r="U39" s="32">
        <v>0.18479292373556466</v>
      </c>
    </row>
    <row r="40" spans="1:22">
      <c r="A40" s="268"/>
      <c r="B40" s="271"/>
      <c r="C40" s="131" t="s">
        <v>52</v>
      </c>
      <c r="D40" s="6">
        <v>147518.39329000001</v>
      </c>
      <c r="E40" s="106">
        <f t="shared" si="2"/>
        <v>147518393.29000002</v>
      </c>
      <c r="F40" s="136">
        <f>'Rev and PAU'!H40*0.709</f>
        <v>606481.43599999999</v>
      </c>
      <c r="G40" s="135">
        <f t="shared" si="0"/>
        <v>4.1112258781706252E-3</v>
      </c>
      <c r="H40" s="37">
        <v>855404</v>
      </c>
      <c r="I40" s="18">
        <f t="shared" si="1"/>
        <v>5.7986260622998947E-3</v>
      </c>
      <c r="J40" s="21">
        <v>10437</v>
      </c>
      <c r="K40" s="21">
        <v>10115</v>
      </c>
      <c r="L40" s="22">
        <v>9026</v>
      </c>
      <c r="M40" s="23">
        <v>0.12465267797259749</v>
      </c>
      <c r="N40" s="24">
        <v>0.1213049925852694</v>
      </c>
      <c r="O40" s="24">
        <v>0.12364280966097939</v>
      </c>
      <c r="P40" s="23">
        <v>0.12963495257257832</v>
      </c>
      <c r="Q40" s="24">
        <v>0.12377656945130994</v>
      </c>
      <c r="R40" s="24">
        <v>0.13139818302681144</v>
      </c>
      <c r="S40" s="23">
        <v>0.16012888773201939</v>
      </c>
      <c r="T40" s="24">
        <v>0.1436331487974169</v>
      </c>
      <c r="U40" s="24">
        <v>0.15457477040150233</v>
      </c>
    </row>
    <row r="41" spans="1:22">
      <c r="A41" s="268"/>
      <c r="B41" s="271"/>
      <c r="C41" s="130" t="s">
        <v>58</v>
      </c>
      <c r="D41" s="7">
        <v>322939.41400000005</v>
      </c>
      <c r="E41" s="106">
        <f t="shared" si="2"/>
        <v>322939414.00000006</v>
      </c>
      <c r="F41" s="136">
        <f>'Rev and PAU'!H41*0.709</f>
        <v>1316125.2079999999</v>
      </c>
      <c r="G41" s="135">
        <f t="shared" si="0"/>
        <v>4.07545549085563E-3</v>
      </c>
      <c r="H41" s="37">
        <v>1856312</v>
      </c>
      <c r="I41" s="18">
        <f t="shared" si="1"/>
        <v>5.7481741761010305E-3</v>
      </c>
      <c r="J41" s="21">
        <v>27576</v>
      </c>
      <c r="K41" s="21">
        <v>26932</v>
      </c>
      <c r="L41" s="22">
        <v>22886</v>
      </c>
      <c r="M41" s="23">
        <v>4.7613867130838407E-2</v>
      </c>
      <c r="N41" s="24">
        <v>7.7677112728352884E-2</v>
      </c>
      <c r="O41" s="24">
        <v>7.2533426548981914E-2</v>
      </c>
      <c r="P41" s="23">
        <v>8.2934435741224249E-2</v>
      </c>
      <c r="Q41" s="24">
        <v>7.9236595871082727E-2</v>
      </c>
      <c r="R41" s="24">
        <v>7.9437210521716331E-2</v>
      </c>
      <c r="S41" s="23">
        <v>0.11960125788505832</v>
      </c>
      <c r="T41" s="24">
        <v>0.12754493465733946</v>
      </c>
      <c r="U41" s="24">
        <v>0.12303125813296133</v>
      </c>
    </row>
    <row r="42" spans="1:22">
      <c r="A42" s="268"/>
      <c r="B42" s="271"/>
      <c r="C42" s="130" t="s">
        <v>59</v>
      </c>
      <c r="D42" s="6">
        <v>248692.41539999997</v>
      </c>
      <c r="E42" s="106">
        <f t="shared" si="2"/>
        <v>248692415.39999998</v>
      </c>
      <c r="F42" s="136">
        <f>'Rev and PAU'!H42*0.709</f>
        <v>1072789.318</v>
      </c>
      <c r="G42" s="135">
        <f t="shared" si="0"/>
        <v>4.3137194846674847E-3</v>
      </c>
      <c r="H42" s="37">
        <v>1513102</v>
      </c>
      <c r="I42" s="18">
        <f t="shared" si="1"/>
        <v>6.0842305848624609E-3</v>
      </c>
      <c r="J42" s="21">
        <v>14124</v>
      </c>
      <c r="K42" s="21">
        <v>14436</v>
      </c>
      <c r="L42" s="22">
        <v>13931</v>
      </c>
      <c r="M42" s="23">
        <v>9.6502407250070796E-2</v>
      </c>
      <c r="N42" s="24">
        <v>9.303131061235799E-2</v>
      </c>
      <c r="O42" s="24">
        <v>8.9727944871150669E-2</v>
      </c>
      <c r="P42" s="23">
        <v>0.11802605494194279</v>
      </c>
      <c r="Q42" s="24">
        <v>0.11949293433083957</v>
      </c>
      <c r="R42" s="24">
        <v>0.12066614026272342</v>
      </c>
      <c r="S42" s="23">
        <v>0.14728493869186349</v>
      </c>
      <c r="T42" s="24">
        <v>0.14187991991680379</v>
      </c>
      <c r="U42" s="24">
        <v>0.137298140232847</v>
      </c>
    </row>
    <row r="43" spans="1:22">
      <c r="A43" s="268"/>
      <c r="B43" s="271"/>
      <c r="C43" s="130" t="s">
        <v>60</v>
      </c>
      <c r="D43" s="7">
        <v>209906.016</v>
      </c>
      <c r="E43" s="106">
        <f t="shared" si="2"/>
        <v>209906016</v>
      </c>
      <c r="F43" s="136">
        <f>'Rev and PAU'!H43*0.709</f>
        <v>872172.80499999993</v>
      </c>
      <c r="G43" s="135">
        <f t="shared" si="0"/>
        <v>4.1550634022799989E-3</v>
      </c>
      <c r="H43" s="37">
        <v>1230145</v>
      </c>
      <c r="I43" s="18">
        <f t="shared" si="1"/>
        <v>5.8604561386177709E-3</v>
      </c>
      <c r="J43" s="25">
        <v>15044</v>
      </c>
      <c r="K43" s="25">
        <v>14076</v>
      </c>
      <c r="L43" s="26">
        <v>12983</v>
      </c>
      <c r="M43" s="27">
        <v>0.10362935389524063</v>
      </c>
      <c r="N43" s="28">
        <v>0.11146632566069906</v>
      </c>
      <c r="O43" s="28">
        <v>9.7974274050681667E-2</v>
      </c>
      <c r="P43" s="27">
        <v>0.12270672693432598</v>
      </c>
      <c r="Q43" s="28">
        <v>0.11288718385905086</v>
      </c>
      <c r="R43" s="28">
        <v>0.11592081953323577</v>
      </c>
      <c r="S43" s="27">
        <v>0.18065827468854212</v>
      </c>
      <c r="T43" s="28">
        <v>0.18116107110691915</v>
      </c>
      <c r="U43" s="28">
        <v>0.16498253519477105</v>
      </c>
    </row>
    <row r="44" spans="1:22" s="168" customFormat="1">
      <c r="A44" s="269"/>
      <c r="B44" s="272"/>
      <c r="C44" s="115" t="s">
        <v>101</v>
      </c>
      <c r="D44" s="116"/>
      <c r="E44" s="117">
        <f>SUM(E38:E43)</f>
        <v>1365944698.6799998</v>
      </c>
      <c r="F44" s="117">
        <v>5639434</v>
      </c>
      <c r="G44" s="118">
        <f t="shared" si="0"/>
        <v>4.1285961323688633E-3</v>
      </c>
      <c r="H44" s="171">
        <f>SUM(H38:H43)</f>
        <v>7950216</v>
      </c>
      <c r="I44" s="118">
        <f t="shared" si="1"/>
        <v>5.8203059081987762E-3</v>
      </c>
      <c r="J44" s="173"/>
      <c r="K44" s="173"/>
      <c r="L44" s="174"/>
      <c r="M44" s="175"/>
      <c r="N44" s="176"/>
      <c r="O44" s="176"/>
      <c r="P44" s="175"/>
      <c r="Q44" s="176"/>
      <c r="R44" s="176"/>
      <c r="S44" s="175"/>
      <c r="T44" s="176"/>
      <c r="U44" s="176"/>
    </row>
    <row r="45" spans="1:22">
      <c r="A45" s="267">
        <v>15</v>
      </c>
      <c r="B45" s="270" t="s">
        <v>17</v>
      </c>
      <c r="C45" s="130" t="s">
        <v>118</v>
      </c>
      <c r="D45" s="6">
        <v>359583.6</v>
      </c>
      <c r="E45" s="106">
        <f t="shared" si="2"/>
        <v>359583600</v>
      </c>
      <c r="F45" s="134">
        <f>0.777979*F48</f>
        <v>1527333.040674</v>
      </c>
      <c r="G45" s="135">
        <f t="shared" si="0"/>
        <v>4.2475047267839803E-3</v>
      </c>
      <c r="H45" s="134">
        <v>3054665</v>
      </c>
      <c r="I45" s="18">
        <f t="shared" si="1"/>
        <v>8.4950064463451616E-3</v>
      </c>
      <c r="J45" s="21">
        <v>21014</v>
      </c>
      <c r="K45" s="21">
        <v>20853</v>
      </c>
      <c r="L45" s="22">
        <v>19073</v>
      </c>
      <c r="M45" s="23">
        <v>0.1133054154373275</v>
      </c>
      <c r="N45" s="24">
        <v>0.11533112741571956</v>
      </c>
      <c r="O45" s="24">
        <v>0.12934514759083521</v>
      </c>
      <c r="P45" s="23">
        <v>0.10692871419053963</v>
      </c>
      <c r="Q45" s="24">
        <v>0.11192634153359229</v>
      </c>
      <c r="R45" s="24">
        <v>0.10790122162218843</v>
      </c>
      <c r="S45" s="23">
        <v>0.14898673012151487</v>
      </c>
      <c r="T45" s="24">
        <v>0.1476171106459955</v>
      </c>
      <c r="U45" s="24">
        <v>0.14332652786556219</v>
      </c>
    </row>
    <row r="46" spans="1:22">
      <c r="A46" s="268"/>
      <c r="B46" s="271"/>
      <c r="C46" s="130" t="s">
        <v>91</v>
      </c>
      <c r="D46" s="6"/>
      <c r="E46" s="112">
        <f>88616.7*1000</f>
        <v>88616700</v>
      </c>
      <c r="F46" s="134">
        <f>0.192816*F48</f>
        <v>378537.52809599997</v>
      </c>
      <c r="G46" s="135">
        <f t="shared" si="0"/>
        <v>4.2716274482800642E-3</v>
      </c>
      <c r="H46" s="134">
        <v>757075</v>
      </c>
      <c r="I46" s="18">
        <f t="shared" si="1"/>
        <v>8.5432542624584301E-3</v>
      </c>
      <c r="J46" s="21">
        <v>3488</v>
      </c>
      <c r="K46" s="21">
        <v>3728</v>
      </c>
      <c r="L46" s="22">
        <v>3542</v>
      </c>
      <c r="M46" s="23">
        <v>0.22419724770642202</v>
      </c>
      <c r="N46" s="24">
        <v>0.22934549356223177</v>
      </c>
      <c r="O46" s="24">
        <v>0.20440429136081309</v>
      </c>
      <c r="P46" s="23">
        <v>0.13245412844036697</v>
      </c>
      <c r="Q46" s="24">
        <v>0.13760729613733905</v>
      </c>
      <c r="R46" s="24">
        <v>0.12987012987012986</v>
      </c>
      <c r="S46" s="23">
        <v>0.13179799343287957</v>
      </c>
      <c r="T46" s="24">
        <v>0.12944420566961901</v>
      </c>
      <c r="U46" s="24">
        <v>0.13142121639688126</v>
      </c>
    </row>
    <row r="47" spans="1:22">
      <c r="A47" s="268"/>
      <c r="B47" s="271"/>
      <c r="C47" s="130" t="s">
        <v>92</v>
      </c>
      <c r="D47" s="6"/>
      <c r="E47" s="106">
        <f>11880.05337*1000</f>
        <v>11880053.369999999</v>
      </c>
      <c r="F47" s="134">
        <f>0.029205*F48</f>
        <v>57335.431229999995</v>
      </c>
      <c r="G47" s="135">
        <f t="shared" si="0"/>
        <v>4.8261930686932597E-3</v>
      </c>
      <c r="H47" s="134">
        <v>114672</v>
      </c>
      <c r="I47" s="18">
        <f t="shared" si="1"/>
        <v>9.6524818894816126E-3</v>
      </c>
      <c r="J47" s="29">
        <v>373</v>
      </c>
      <c r="K47" s="29">
        <v>391</v>
      </c>
      <c r="L47" s="30">
        <v>393</v>
      </c>
      <c r="M47" s="31">
        <v>0.38337801608579086</v>
      </c>
      <c r="N47" s="32">
        <v>0.34526854219948849</v>
      </c>
      <c r="O47" s="32">
        <v>0.33587786259541985</v>
      </c>
      <c r="P47" s="31">
        <v>0.16890080428954424</v>
      </c>
      <c r="Q47" s="32">
        <v>0.13299232736572891</v>
      </c>
      <c r="R47" s="32">
        <v>0.11704834605597965</v>
      </c>
      <c r="S47" s="31">
        <v>0.13196250124107728</v>
      </c>
      <c r="T47" s="32">
        <v>0.10706941887654783</v>
      </c>
      <c r="U47" s="32">
        <v>0.11447437768038084</v>
      </c>
    </row>
    <row r="48" spans="1:22" s="168" customFormat="1">
      <c r="A48" s="269"/>
      <c r="B48" s="272"/>
      <c r="C48" s="115" t="s">
        <v>101</v>
      </c>
      <c r="D48" s="116"/>
      <c r="E48" s="117">
        <f>SUM(E45:E47)</f>
        <v>460080353.37</v>
      </c>
      <c r="F48" s="117">
        <v>1963206</v>
      </c>
      <c r="G48" s="118">
        <f t="shared" si="0"/>
        <v>4.2670937492111849E-3</v>
      </c>
      <c r="H48" s="119">
        <f>SUM(H45:H47)</f>
        <v>3926412</v>
      </c>
      <c r="I48" s="118">
        <f t="shared" si="1"/>
        <v>8.5341874984223697E-3</v>
      </c>
      <c r="J48" s="173"/>
      <c r="K48" s="173"/>
      <c r="L48" s="174"/>
      <c r="M48" s="175"/>
      <c r="N48" s="176"/>
      <c r="O48" s="176"/>
      <c r="P48" s="175"/>
      <c r="Q48" s="176"/>
      <c r="R48" s="176"/>
      <c r="S48" s="175"/>
      <c r="T48" s="176"/>
      <c r="U48" s="176"/>
    </row>
    <row r="49" spans="1:21">
      <c r="A49" s="267">
        <v>16</v>
      </c>
      <c r="B49" s="270" t="s">
        <v>18</v>
      </c>
      <c r="C49" s="130" t="s">
        <v>61</v>
      </c>
      <c r="D49" s="6">
        <v>163132.861</v>
      </c>
      <c r="E49" s="106">
        <f t="shared" si="2"/>
        <v>163132861</v>
      </c>
      <c r="F49" s="136">
        <f>0.63*F52</f>
        <v>443126.25</v>
      </c>
      <c r="G49" s="135">
        <f t="shared" si="0"/>
        <v>2.7163518575206011E-3</v>
      </c>
      <c r="H49" s="136">
        <v>693000</v>
      </c>
      <c r="I49" s="18">
        <f t="shared" si="1"/>
        <v>4.2480711473576131E-3</v>
      </c>
      <c r="J49" s="9">
        <v>9697</v>
      </c>
      <c r="K49" s="9">
        <v>9544</v>
      </c>
      <c r="L49" s="10">
        <v>8861</v>
      </c>
      <c r="M49" s="11">
        <v>0.13777456945447045</v>
      </c>
      <c r="N49" s="12">
        <v>0.13086756077116513</v>
      </c>
      <c r="O49" s="12">
        <v>0.14671030357747433</v>
      </c>
      <c r="P49" s="11">
        <v>9.1265339795813138E-2</v>
      </c>
      <c r="Q49" s="12">
        <v>9.7024308466051964E-2</v>
      </c>
      <c r="R49" s="12">
        <v>9.9763006432682544E-2</v>
      </c>
      <c r="S49" s="11">
        <v>0.13512992169987548</v>
      </c>
      <c r="T49" s="12">
        <v>0.14011376561011707</v>
      </c>
      <c r="U49" s="12">
        <v>0.15015683667053659</v>
      </c>
    </row>
    <row r="50" spans="1:21">
      <c r="A50" s="268"/>
      <c r="B50" s="271"/>
      <c r="C50" s="137" t="s">
        <v>85</v>
      </c>
      <c r="D50" s="19">
        <v>46873.264169999995</v>
      </c>
      <c r="E50" s="106">
        <f t="shared" si="2"/>
        <v>46873264.169999994</v>
      </c>
      <c r="F50" s="136">
        <f>0.1*F52</f>
        <v>70337.5</v>
      </c>
      <c r="G50" s="135">
        <f t="shared" si="0"/>
        <v>1.500588901700976E-3</v>
      </c>
      <c r="H50" s="136">
        <v>110000</v>
      </c>
      <c r="I50" s="18">
        <f t="shared" si="1"/>
        <v>2.346753569391965E-3</v>
      </c>
      <c r="J50" s="21">
        <v>2385</v>
      </c>
      <c r="K50" s="21">
        <v>2106</v>
      </c>
      <c r="L50" s="22">
        <v>1892</v>
      </c>
      <c r="M50" s="23">
        <v>0.24821802935010481</v>
      </c>
      <c r="N50" s="24">
        <v>0.22507122507122507</v>
      </c>
      <c r="O50" s="24">
        <v>0.2595137420718816</v>
      </c>
      <c r="P50" s="23">
        <v>0.16897274633123691</v>
      </c>
      <c r="Q50" s="24">
        <v>0.15764482431149099</v>
      </c>
      <c r="R50" s="24">
        <v>0.14587737843551796</v>
      </c>
      <c r="S50" s="23">
        <v>0.20844523271984688</v>
      </c>
      <c r="T50" s="24">
        <v>0.17799589959974974</v>
      </c>
      <c r="U50" s="24">
        <v>0.17064959333141033</v>
      </c>
    </row>
    <row r="51" spans="1:21">
      <c r="A51" s="268"/>
      <c r="B51" s="271"/>
      <c r="C51" s="130" t="s">
        <v>62</v>
      </c>
      <c r="D51" s="6">
        <v>43898.250999999997</v>
      </c>
      <c r="E51" s="106">
        <f t="shared" si="2"/>
        <v>43898251</v>
      </c>
      <c r="F51" s="136">
        <f>0.27*F52</f>
        <v>189911.25</v>
      </c>
      <c r="G51" s="135">
        <f t="shared" si="0"/>
        <v>4.3261689400791847E-3</v>
      </c>
      <c r="H51" s="136">
        <v>297000</v>
      </c>
      <c r="I51" s="18">
        <f t="shared" si="1"/>
        <v>6.7656454012256662E-3</v>
      </c>
      <c r="J51" s="9">
        <v>2829</v>
      </c>
      <c r="K51" s="9">
        <v>2636</v>
      </c>
      <c r="L51" s="10">
        <v>2666</v>
      </c>
      <c r="M51" s="11">
        <v>0.23541887592788971</v>
      </c>
      <c r="N51" s="12">
        <v>0.23558421851289832</v>
      </c>
      <c r="O51" s="12">
        <v>0.25018754688672168</v>
      </c>
      <c r="P51" s="11">
        <v>0.14987628137150938</v>
      </c>
      <c r="Q51" s="12">
        <v>0.14226100151745069</v>
      </c>
      <c r="R51" s="12">
        <v>0.15716429107276819</v>
      </c>
      <c r="S51" s="11">
        <v>0.19601470618398373</v>
      </c>
      <c r="T51" s="12">
        <v>0.22700791899117789</v>
      </c>
      <c r="U51" s="12">
        <v>0.23891835589379667</v>
      </c>
    </row>
    <row r="52" spans="1:21" s="168" customFormat="1">
      <c r="A52" s="269"/>
      <c r="B52" s="272"/>
      <c r="C52" s="115" t="s">
        <v>101</v>
      </c>
      <c r="D52" s="116"/>
      <c r="E52" s="117">
        <f>SUM(E49:E51)</f>
        <v>253904376.16999999</v>
      </c>
      <c r="F52" s="117">
        <v>703375</v>
      </c>
      <c r="G52" s="118">
        <f t="shared" si="0"/>
        <v>2.7702358289762598E-3</v>
      </c>
      <c r="H52" s="171">
        <v>1166137</v>
      </c>
      <c r="I52" s="118"/>
      <c r="J52" s="173"/>
      <c r="K52" s="173"/>
      <c r="L52" s="174"/>
      <c r="M52" s="175"/>
      <c r="N52" s="176"/>
      <c r="O52" s="176"/>
      <c r="P52" s="175"/>
      <c r="Q52" s="176"/>
      <c r="R52" s="176"/>
      <c r="S52" s="175"/>
      <c r="T52" s="176"/>
      <c r="U52" s="176"/>
    </row>
    <row r="53" spans="1:21" ht="16.2" customHeight="1">
      <c r="A53" s="267">
        <v>17</v>
      </c>
      <c r="B53" s="270" t="s">
        <v>19</v>
      </c>
      <c r="C53" s="131" t="s">
        <v>50</v>
      </c>
      <c r="D53" s="6">
        <v>247347.39387999996</v>
      </c>
      <c r="E53" s="106">
        <f t="shared" si="2"/>
        <v>247347393.87999997</v>
      </c>
      <c r="F53" s="106">
        <f>0.418641*F55</f>
        <v>661901.56315199996</v>
      </c>
      <c r="G53" s="135">
        <f>F53/E53</f>
        <v>2.6759997458195173E-3</v>
      </c>
      <c r="H53" s="37">
        <v>788247</v>
      </c>
      <c r="I53" s="18">
        <f>H53/E53</f>
        <v>3.1868013146822008E-3</v>
      </c>
      <c r="J53" s="13">
        <v>14917</v>
      </c>
      <c r="K53" s="13">
        <v>13535</v>
      </c>
      <c r="L53" s="14">
        <v>11824</v>
      </c>
      <c r="M53" s="15">
        <v>0.17175035194744251</v>
      </c>
      <c r="N53" s="16">
        <v>0.16505356483191724</v>
      </c>
      <c r="O53" s="16">
        <v>0.17413734776725304</v>
      </c>
      <c r="P53" s="15">
        <v>0.18535898639136555</v>
      </c>
      <c r="Q53" s="16">
        <v>0.18145548577761358</v>
      </c>
      <c r="R53" s="16">
        <v>0.17143098782138025</v>
      </c>
      <c r="S53" s="15">
        <v>0.20427595652744063</v>
      </c>
      <c r="T53" s="16">
        <v>0.18264635913229008</v>
      </c>
      <c r="U53" s="16">
        <v>0.18233578865557348</v>
      </c>
    </row>
    <row r="54" spans="1:21">
      <c r="A54" s="268"/>
      <c r="B54" s="271"/>
      <c r="C54" s="131" t="s">
        <v>55</v>
      </c>
      <c r="D54" s="6">
        <v>361044.33205919998</v>
      </c>
      <c r="E54" s="106">
        <f t="shared" si="2"/>
        <v>361044332.05919999</v>
      </c>
      <c r="F54" s="106">
        <f>0.581359*F55</f>
        <v>919170.43684799992</v>
      </c>
      <c r="G54" s="135">
        <f>F54/E54</f>
        <v>2.5458658542167191E-3</v>
      </c>
      <c r="H54" s="37">
        <v>1094623</v>
      </c>
      <c r="I54" s="18">
        <f>H54/E54</f>
        <v>3.0318243572939295E-3</v>
      </c>
      <c r="J54" s="13">
        <v>15765</v>
      </c>
      <c r="K54" s="13">
        <v>14733</v>
      </c>
      <c r="L54" s="14">
        <v>12949</v>
      </c>
      <c r="M54" s="15">
        <v>0.12775134792261339</v>
      </c>
      <c r="N54" s="16">
        <v>0.12726532274485849</v>
      </c>
      <c r="O54" s="16">
        <v>0.1321337555023554</v>
      </c>
      <c r="P54" s="15">
        <v>0.17272438947034571</v>
      </c>
      <c r="Q54" s="16">
        <v>0.17097671893029254</v>
      </c>
      <c r="R54" s="16">
        <v>0.15746389682600972</v>
      </c>
      <c r="S54" s="15">
        <v>0.16157596065788954</v>
      </c>
      <c r="T54" s="16">
        <v>0.15298515889887063</v>
      </c>
      <c r="U54" s="16">
        <v>0.1467674237009908</v>
      </c>
    </row>
    <row r="55" spans="1:21" s="168" customFormat="1">
      <c r="A55" s="269"/>
      <c r="B55" s="272"/>
      <c r="C55" s="115" t="s">
        <v>101</v>
      </c>
      <c r="D55" s="116"/>
      <c r="E55" s="117">
        <f>SUM(E53:E54)</f>
        <v>608391725.93919992</v>
      </c>
      <c r="F55" s="117">
        <v>1581072</v>
      </c>
      <c r="G55" s="118">
        <f>F55/E55</f>
        <v>2.5987730151313818E-3</v>
      </c>
      <c r="H55" s="171">
        <f>SUM(H53:H54)</f>
        <v>1882870</v>
      </c>
      <c r="I55" s="118">
        <f t="shared" si="1"/>
        <v>3.0948317008968758E-3</v>
      </c>
      <c r="J55" s="164"/>
      <c r="K55" s="164"/>
      <c r="L55" s="165"/>
      <c r="M55" s="166"/>
      <c r="N55" s="167"/>
      <c r="O55" s="167"/>
      <c r="P55" s="166"/>
      <c r="Q55" s="167"/>
      <c r="R55" s="167"/>
      <c r="S55" s="166"/>
      <c r="T55" s="167"/>
      <c r="U55" s="167"/>
    </row>
    <row r="56" spans="1:21" ht="15" customHeight="1">
      <c r="A56" s="267">
        <v>18</v>
      </c>
      <c r="B56" s="270" t="s">
        <v>20</v>
      </c>
      <c r="C56" s="141" t="s">
        <v>5</v>
      </c>
      <c r="D56" s="6">
        <v>124641.76996999999</v>
      </c>
      <c r="E56" s="106">
        <f t="shared" si="2"/>
        <v>124641769.97</v>
      </c>
      <c r="F56" s="136">
        <v>722595</v>
      </c>
      <c r="G56" s="135">
        <f t="shared" si="0"/>
        <v>5.7973743486948335E-3</v>
      </c>
      <c r="H56" s="136">
        <v>722595</v>
      </c>
      <c r="I56" s="18">
        <f t="shared" si="1"/>
        <v>5.7973743486948335E-3</v>
      </c>
      <c r="J56" s="9">
        <v>8313</v>
      </c>
      <c r="K56" s="9">
        <v>7061</v>
      </c>
      <c r="L56" s="10">
        <v>6569</v>
      </c>
      <c r="M56" s="11">
        <v>0.14916396006255264</v>
      </c>
      <c r="N56" s="12">
        <v>0.14063163857810509</v>
      </c>
      <c r="O56" s="12">
        <v>0.14857664789161212</v>
      </c>
      <c r="P56" s="11">
        <v>8.8896908456634186E-2</v>
      </c>
      <c r="Q56" s="12">
        <v>8.2282962753151112E-2</v>
      </c>
      <c r="R56" s="12">
        <v>8.9054650631755217E-2</v>
      </c>
      <c r="S56" s="11">
        <v>0.13674937828235359</v>
      </c>
      <c r="T56" s="12">
        <v>0.11931340958059947</v>
      </c>
      <c r="U56" s="12">
        <v>0.11850059697686784</v>
      </c>
    </row>
    <row r="57" spans="1:21" s="155" customFormat="1" ht="15" customHeight="1">
      <c r="A57" s="268"/>
      <c r="B57" s="271"/>
      <c r="C57" s="146" t="s">
        <v>117</v>
      </c>
      <c r="D57" s="147"/>
      <c r="E57" s="148">
        <f>14488.83009*1000</f>
        <v>14488830.09</v>
      </c>
      <c r="F57" s="149"/>
      <c r="G57" s="150"/>
      <c r="H57" s="149"/>
      <c r="I57" s="150"/>
      <c r="J57" s="151"/>
      <c r="K57" s="151"/>
      <c r="L57" s="152"/>
      <c r="M57" s="153"/>
      <c r="N57" s="154"/>
      <c r="O57" s="154"/>
      <c r="P57" s="153"/>
      <c r="Q57" s="154"/>
      <c r="R57" s="154"/>
      <c r="S57" s="153"/>
      <c r="T57" s="154"/>
      <c r="U57" s="154"/>
    </row>
    <row r="58" spans="1:21">
      <c r="A58" s="268"/>
      <c r="B58" s="271"/>
      <c r="C58" s="141" t="s">
        <v>40</v>
      </c>
      <c r="D58" s="6">
        <v>186906.06841999997</v>
      </c>
      <c r="E58" s="106">
        <f t="shared" si="2"/>
        <v>186906068.41999996</v>
      </c>
      <c r="F58" s="136">
        <v>1108859</v>
      </c>
      <c r="G58" s="135">
        <f t="shared" si="0"/>
        <v>5.9327073185674378E-3</v>
      </c>
      <c r="H58" s="136">
        <v>1108859</v>
      </c>
      <c r="I58" s="18">
        <f t="shared" si="1"/>
        <v>5.9327073185674378E-3</v>
      </c>
      <c r="J58" s="13">
        <v>11761</v>
      </c>
      <c r="K58" s="13">
        <v>11405</v>
      </c>
      <c r="L58" s="14">
        <v>9587</v>
      </c>
      <c r="M58" s="15">
        <v>0.186548762860301</v>
      </c>
      <c r="N58" s="16">
        <v>0.19035510740903114</v>
      </c>
      <c r="O58" s="16">
        <v>0.18086992802753729</v>
      </c>
      <c r="P58" s="15">
        <v>0.1577246832752317</v>
      </c>
      <c r="Q58" s="16">
        <v>0.16177115300306882</v>
      </c>
      <c r="R58" s="16">
        <v>0.16616251173464067</v>
      </c>
      <c r="S58" s="15">
        <v>0.22999427323728155</v>
      </c>
      <c r="T58" s="16">
        <v>0.20916327793419393</v>
      </c>
      <c r="U58" s="16">
        <v>0.20852668048944129</v>
      </c>
    </row>
    <row r="59" spans="1:21">
      <c r="A59" s="268"/>
      <c r="B59" s="271"/>
      <c r="C59" s="141" t="s">
        <v>9</v>
      </c>
      <c r="D59" s="7">
        <v>40450.576000000001</v>
      </c>
      <c r="E59" s="106">
        <f t="shared" si="2"/>
        <v>40450576</v>
      </c>
      <c r="F59" s="136">
        <v>233981</v>
      </c>
      <c r="G59" s="135">
        <f t="shared" si="0"/>
        <v>5.7843675699451105E-3</v>
      </c>
      <c r="H59" s="136">
        <v>233981</v>
      </c>
      <c r="I59" s="18">
        <f t="shared" si="1"/>
        <v>5.7843675699451105E-3</v>
      </c>
      <c r="J59" s="9">
        <v>3007</v>
      </c>
      <c r="K59" s="9">
        <v>3037</v>
      </c>
      <c r="L59" s="10">
        <v>2656</v>
      </c>
      <c r="M59" s="11">
        <v>0.2477552377785168</v>
      </c>
      <c r="N59" s="12">
        <v>0.25419822192953573</v>
      </c>
      <c r="O59" s="12">
        <v>0.27673192771084337</v>
      </c>
      <c r="P59" s="11">
        <v>0.14865314266711008</v>
      </c>
      <c r="Q59" s="12">
        <v>0.15870925255186039</v>
      </c>
      <c r="R59" s="12">
        <v>0.15135542168674698</v>
      </c>
      <c r="S59" s="11">
        <v>0.18675775825644161</v>
      </c>
      <c r="T59" s="12">
        <v>0.20246829731155533</v>
      </c>
      <c r="U59" s="12">
        <v>0.17725589865615468</v>
      </c>
    </row>
    <row r="60" spans="1:21">
      <c r="A60" s="268"/>
      <c r="B60" s="271"/>
      <c r="C60" s="141" t="s">
        <v>42</v>
      </c>
      <c r="D60" s="6">
        <v>90359.092230000009</v>
      </c>
      <c r="E60" s="106">
        <f t="shared" si="2"/>
        <v>90359092.230000004</v>
      </c>
      <c r="F60" s="136">
        <v>613996</v>
      </c>
      <c r="G60" s="135">
        <f t="shared" si="0"/>
        <v>6.7950660508754868E-3</v>
      </c>
      <c r="H60" s="136">
        <v>613996</v>
      </c>
      <c r="I60" s="18">
        <f t="shared" si="1"/>
        <v>6.7950660508754868E-3</v>
      </c>
      <c r="J60" s="9">
        <v>7271</v>
      </c>
      <c r="K60" s="9">
        <v>7163</v>
      </c>
      <c r="L60" s="10">
        <v>6017</v>
      </c>
      <c r="M60" s="11">
        <v>9.6410397469398987E-2</v>
      </c>
      <c r="N60" s="12">
        <v>0.11098701661315091</v>
      </c>
      <c r="O60" s="12">
        <v>0.11417649991690211</v>
      </c>
      <c r="P60" s="11">
        <v>0.11401457846238482</v>
      </c>
      <c r="Q60" s="12">
        <v>0.1214574898785425</v>
      </c>
      <c r="R60" s="12">
        <v>0.12198770151238159</v>
      </c>
      <c r="S60" s="11">
        <v>0.16548451001744729</v>
      </c>
      <c r="T60" s="12">
        <v>0.16477883031445301</v>
      </c>
      <c r="U60" s="12">
        <v>0.16775510546157058</v>
      </c>
    </row>
    <row r="61" spans="1:21">
      <c r="A61" s="268"/>
      <c r="B61" s="271"/>
      <c r="C61" s="141" t="s">
        <v>53</v>
      </c>
      <c r="D61" s="6">
        <v>216113.39518399996</v>
      </c>
      <c r="E61" s="106">
        <f t="shared" si="2"/>
        <v>216113395.18399996</v>
      </c>
      <c r="F61" s="136">
        <v>1309653</v>
      </c>
      <c r="G61" s="135">
        <f t="shared" si="0"/>
        <v>6.0600269542984845E-3</v>
      </c>
      <c r="H61" s="136">
        <v>1309653</v>
      </c>
      <c r="I61" s="18">
        <f t="shared" si="1"/>
        <v>6.0600269542984845E-3</v>
      </c>
      <c r="J61" s="9">
        <v>18977</v>
      </c>
      <c r="K61" s="9">
        <v>18174</v>
      </c>
      <c r="L61" s="10">
        <v>16623</v>
      </c>
      <c r="M61" s="11">
        <v>0.13974811614059124</v>
      </c>
      <c r="N61" s="12">
        <v>0.14630791240233301</v>
      </c>
      <c r="O61" s="12">
        <v>0.1521386031402274</v>
      </c>
      <c r="P61" s="11">
        <v>0.12256942614744164</v>
      </c>
      <c r="Q61" s="12">
        <v>0.12528887421591284</v>
      </c>
      <c r="R61" s="12">
        <v>0.13228659086807434</v>
      </c>
      <c r="S61" s="11">
        <v>0.21471641474978831</v>
      </c>
      <c r="T61" s="12">
        <v>0.21038377710651474</v>
      </c>
      <c r="U61" s="12">
        <v>0.21334997759165111</v>
      </c>
    </row>
    <row r="62" spans="1:21">
      <c r="A62" s="268"/>
      <c r="B62" s="271"/>
      <c r="C62" s="141" t="s">
        <v>54</v>
      </c>
      <c r="D62" s="6">
        <v>140075.18754999997</v>
      </c>
      <c r="E62" s="106">
        <f t="shared" si="2"/>
        <v>140075187.54999998</v>
      </c>
      <c r="F62" s="136">
        <v>837609</v>
      </c>
      <c r="G62" s="135">
        <f t="shared" si="0"/>
        <v>5.9797100018232326E-3</v>
      </c>
      <c r="H62" s="136">
        <v>837609</v>
      </c>
      <c r="I62" s="18">
        <f t="shared" si="1"/>
        <v>5.9797100018232326E-3</v>
      </c>
      <c r="J62" s="13">
        <v>9853</v>
      </c>
      <c r="K62" s="13">
        <v>9433</v>
      </c>
      <c r="L62" s="14">
        <v>8972</v>
      </c>
      <c r="M62" s="15">
        <v>0.13752156703542068</v>
      </c>
      <c r="N62" s="16">
        <v>0.13357362450969998</v>
      </c>
      <c r="O62" s="16">
        <v>0.12550156041016497</v>
      </c>
      <c r="P62" s="15">
        <v>0.12290672891505125</v>
      </c>
      <c r="Q62" s="16">
        <v>0.11099332131877451</v>
      </c>
      <c r="R62" s="16">
        <v>0.10198395006687472</v>
      </c>
      <c r="S62" s="15">
        <v>0.14149704459720966</v>
      </c>
      <c r="T62" s="16">
        <v>0.12933775516714965</v>
      </c>
      <c r="U62" s="16">
        <v>0.12527260031361356</v>
      </c>
    </row>
    <row r="63" spans="1:21">
      <c r="A63" s="268"/>
      <c r="B63" s="271"/>
      <c r="C63" s="141" t="s">
        <v>41</v>
      </c>
      <c r="D63" s="6">
        <v>237779.69068</v>
      </c>
      <c r="E63" s="106">
        <f t="shared" si="2"/>
        <v>237779690.68000001</v>
      </c>
      <c r="F63" s="136">
        <v>1385213</v>
      </c>
      <c r="G63" s="135">
        <f t="shared" si="0"/>
        <v>5.8256152829477634E-3</v>
      </c>
      <c r="H63" s="136">
        <v>1385213</v>
      </c>
      <c r="I63" s="18">
        <f t="shared" si="1"/>
        <v>5.8256152829477634E-3</v>
      </c>
      <c r="J63" s="9">
        <v>15082</v>
      </c>
      <c r="K63" s="9">
        <v>15700</v>
      </c>
      <c r="L63" s="10">
        <v>14960</v>
      </c>
      <c r="M63" s="11">
        <v>9.8395438270786367E-2</v>
      </c>
      <c r="N63" s="12">
        <v>0.10140127388535032</v>
      </c>
      <c r="O63" s="12">
        <v>9.7794117647058823E-2</v>
      </c>
      <c r="P63" s="11">
        <v>9.8925871900278475E-2</v>
      </c>
      <c r="Q63" s="12">
        <v>9.7324840764331205E-2</v>
      </c>
      <c r="R63" s="12">
        <v>0.10073529411764706</v>
      </c>
      <c r="S63" s="11">
        <v>0.17211994360067581</v>
      </c>
      <c r="T63" s="12">
        <v>0.15842284084095554</v>
      </c>
      <c r="U63" s="12">
        <v>0.16249495803220332</v>
      </c>
    </row>
    <row r="64" spans="1:21" s="168" customFormat="1">
      <c r="A64" s="269"/>
      <c r="B64" s="272"/>
      <c r="C64" s="115" t="s">
        <v>101</v>
      </c>
      <c r="D64" s="116"/>
      <c r="E64" s="117">
        <f>SUM(E56:E63)</f>
        <v>1050814610.1239998</v>
      </c>
      <c r="F64" s="117">
        <f>SUM(F56:F63)</f>
        <v>6211906</v>
      </c>
      <c r="G64" s="118">
        <f t="shared" si="0"/>
        <v>5.9115146859891618E-3</v>
      </c>
      <c r="H64" s="117">
        <f>SUM(H56:H63)</f>
        <v>6211906</v>
      </c>
      <c r="I64" s="118">
        <f t="shared" si="1"/>
        <v>5.9115146859891618E-3</v>
      </c>
      <c r="J64" s="173"/>
      <c r="K64" s="173"/>
      <c r="L64" s="174"/>
      <c r="M64" s="175"/>
      <c r="N64" s="176"/>
      <c r="O64" s="176"/>
      <c r="P64" s="175"/>
      <c r="Q64" s="176"/>
      <c r="R64" s="176"/>
      <c r="S64" s="175"/>
      <c r="T64" s="176"/>
      <c r="U64" s="176"/>
    </row>
    <row r="65" spans="1:21" ht="27.6">
      <c r="A65" s="267">
        <v>19</v>
      </c>
      <c r="B65" s="270" t="s">
        <v>21</v>
      </c>
      <c r="C65" s="130" t="s">
        <v>63</v>
      </c>
      <c r="D65" s="6">
        <v>262636.40000000002</v>
      </c>
      <c r="E65" s="106">
        <f t="shared" si="2"/>
        <v>262636400.00000003</v>
      </c>
      <c r="F65" s="134">
        <f>0.291781*'Rev and PAU'!F68</f>
        <v>1958866.1996610002</v>
      </c>
      <c r="G65" s="135">
        <f t="shared" si="0"/>
        <v>7.4584718632337331E-3</v>
      </c>
      <c r="H65" s="37">
        <v>2248938</v>
      </c>
      <c r="I65" s="18">
        <f t="shared" si="1"/>
        <v>8.5629333938479196E-3</v>
      </c>
      <c r="J65" s="9">
        <v>14739</v>
      </c>
      <c r="K65" s="9">
        <v>13365</v>
      </c>
      <c r="L65" s="10">
        <v>12443</v>
      </c>
      <c r="M65" s="11">
        <v>0.11791844765587896</v>
      </c>
      <c r="N65" s="12">
        <v>0.1161242050130939</v>
      </c>
      <c r="O65" s="12">
        <v>0.12802378847544804</v>
      </c>
      <c r="P65" s="11">
        <v>0.12185358572494742</v>
      </c>
      <c r="Q65" s="12">
        <v>0.11283202394313506</v>
      </c>
      <c r="R65" s="12">
        <v>0.12175520372900427</v>
      </c>
      <c r="S65" s="11">
        <v>0.15656149784309262</v>
      </c>
      <c r="T65" s="12">
        <v>0.12692005802412257</v>
      </c>
      <c r="U65" s="12">
        <v>0.13575546717595638</v>
      </c>
    </row>
    <row r="66" spans="1:21">
      <c r="A66" s="268"/>
      <c r="B66" s="271"/>
      <c r="C66" s="130" t="s">
        <v>64</v>
      </c>
      <c r="D66" s="6">
        <v>293871.61030000006</v>
      </c>
      <c r="E66" s="106">
        <f t="shared" si="2"/>
        <v>293871610.30000007</v>
      </c>
      <c r="F66" s="134">
        <f>0.358207*F68</f>
        <v>2404815.8885670002</v>
      </c>
      <c r="G66" s="135">
        <f t="shared" si="0"/>
        <v>8.183219488646875E-3</v>
      </c>
      <c r="H66" s="37">
        <v>2760929</v>
      </c>
      <c r="I66" s="18">
        <f t="shared" si="1"/>
        <v>9.3950177670496793E-3</v>
      </c>
      <c r="J66" s="9">
        <v>21276</v>
      </c>
      <c r="K66" s="9">
        <v>20080</v>
      </c>
      <c r="L66" s="10">
        <v>18876</v>
      </c>
      <c r="M66" s="11">
        <v>0.11543523218650122</v>
      </c>
      <c r="N66" s="12">
        <v>0.11105577689243028</v>
      </c>
      <c r="O66" s="12">
        <v>0.11559652468743378</v>
      </c>
      <c r="P66" s="11">
        <v>0.10213385974807294</v>
      </c>
      <c r="Q66" s="12">
        <v>9.795816733067729E-2</v>
      </c>
      <c r="R66" s="12">
        <v>0.10288196651833015</v>
      </c>
      <c r="S66" s="11">
        <v>0.15422583601285653</v>
      </c>
      <c r="T66" s="12">
        <v>0.15141299983203091</v>
      </c>
      <c r="U66" s="12">
        <v>0.14112824095297222</v>
      </c>
    </row>
    <row r="67" spans="1:21">
      <c r="A67" s="268"/>
      <c r="B67" s="271"/>
      <c r="C67" s="130" t="s">
        <v>65</v>
      </c>
      <c r="D67" s="6">
        <v>256037.47100000002</v>
      </c>
      <c r="E67" s="106">
        <f t="shared" si="2"/>
        <v>256037471.00000003</v>
      </c>
      <c r="F67" s="134">
        <f>0.350012*'Rev and PAU'!F68</f>
        <v>2349798.9117720001</v>
      </c>
      <c r="G67" s="135">
        <f t="shared" si="0"/>
        <v>9.177558669808919E-3</v>
      </c>
      <c r="H67" s="37">
        <v>2697758</v>
      </c>
      <c r="I67" s="18">
        <f t="shared" si="1"/>
        <v>1.0536574937502017E-2</v>
      </c>
      <c r="J67" s="9">
        <v>19992</v>
      </c>
      <c r="K67" s="9">
        <v>20117</v>
      </c>
      <c r="L67" s="10">
        <v>18446</v>
      </c>
      <c r="M67" s="11">
        <v>0.12234893957583033</v>
      </c>
      <c r="N67" s="12">
        <v>0.12109161405776209</v>
      </c>
      <c r="O67" s="12">
        <v>0.12073078174129892</v>
      </c>
      <c r="P67" s="11">
        <v>0.10329131652661064</v>
      </c>
      <c r="Q67" s="12">
        <v>0.10806780335040016</v>
      </c>
      <c r="R67" s="12">
        <v>0.10717770790415267</v>
      </c>
      <c r="S67" s="11">
        <v>0.18589708280533843</v>
      </c>
      <c r="T67" s="12">
        <v>0.16743123026418388</v>
      </c>
      <c r="U67" s="12">
        <v>0.15541758786098797</v>
      </c>
    </row>
    <row r="68" spans="1:21" s="168" customFormat="1">
      <c r="A68" s="269"/>
      <c r="B68" s="272"/>
      <c r="C68" s="115" t="s">
        <v>101</v>
      </c>
      <c r="D68" s="116"/>
      <c r="E68" s="117">
        <f>SUM(E65:E67)</f>
        <v>812545481.30000007</v>
      </c>
      <c r="F68" s="119">
        <v>6713481</v>
      </c>
      <c r="G68" s="118">
        <f t="shared" si="0"/>
        <v>8.2622833484459618E-3</v>
      </c>
      <c r="H68" s="171">
        <f>SUM(H65:H67)</f>
        <v>7707625</v>
      </c>
      <c r="I68" s="118">
        <f t="shared" si="1"/>
        <v>9.4857767071308916E-3</v>
      </c>
      <c r="J68" s="173"/>
      <c r="K68" s="173"/>
      <c r="L68" s="174"/>
      <c r="M68" s="175"/>
      <c r="N68" s="176"/>
      <c r="O68" s="176"/>
      <c r="P68" s="175"/>
      <c r="Q68" s="176"/>
      <c r="R68" s="176"/>
      <c r="S68" s="175"/>
      <c r="T68" s="176"/>
      <c r="U68" s="176"/>
    </row>
    <row r="69" spans="1:21" ht="19.2" customHeight="1">
      <c r="A69" s="267">
        <v>20</v>
      </c>
      <c r="B69" s="270" t="s">
        <v>25</v>
      </c>
      <c r="C69" s="130" t="s">
        <v>67</v>
      </c>
      <c r="D69" s="6">
        <v>268193.83199999994</v>
      </c>
      <c r="E69" s="106">
        <f t="shared" si="2"/>
        <v>268193831.99999994</v>
      </c>
      <c r="F69" s="139">
        <v>1477062.57</v>
      </c>
      <c r="G69" s="135">
        <f t="shared" si="0"/>
        <v>5.5074442204174198E-3</v>
      </c>
      <c r="H69" s="139">
        <v>1477062.57</v>
      </c>
      <c r="I69" s="18">
        <f t="shared" si="1"/>
        <v>5.5074442204174198E-3</v>
      </c>
      <c r="J69" s="9">
        <v>17371</v>
      </c>
      <c r="K69" s="9">
        <v>17452</v>
      </c>
      <c r="L69" s="10">
        <v>15729</v>
      </c>
      <c r="M69" s="11">
        <v>0.11968222900236025</v>
      </c>
      <c r="N69" s="12">
        <v>0.13597295438918175</v>
      </c>
      <c r="O69" s="12">
        <v>0.13465573145145909</v>
      </c>
      <c r="P69" s="11">
        <v>0.11887628806631742</v>
      </c>
      <c r="Q69" s="12">
        <v>0.12514325005730001</v>
      </c>
      <c r="R69" s="12">
        <v>0.12200394176362134</v>
      </c>
      <c r="S69" s="11">
        <v>0.15153429661761816</v>
      </c>
      <c r="T69" s="12">
        <v>0.14603581487825459</v>
      </c>
      <c r="U69" s="12">
        <v>0.1363612535887995</v>
      </c>
    </row>
    <row r="70" spans="1:21" ht="16.2" customHeight="1">
      <c r="A70" s="268"/>
      <c r="B70" s="271"/>
      <c r="C70" s="137" t="s">
        <v>86</v>
      </c>
      <c r="D70" s="19">
        <v>86689.400000000009</v>
      </c>
      <c r="E70" s="106">
        <f t="shared" si="2"/>
        <v>86689400.000000015</v>
      </c>
      <c r="F70" s="139">
        <v>498404.5</v>
      </c>
      <c r="G70" s="135">
        <f t="shared" si="0"/>
        <v>5.7493130648037698E-3</v>
      </c>
      <c r="H70" s="139">
        <v>498404.5</v>
      </c>
      <c r="I70" s="18">
        <f t="shared" si="1"/>
        <v>5.7493130648037698E-3</v>
      </c>
      <c r="J70" s="9"/>
      <c r="K70" s="9"/>
      <c r="L70" s="10"/>
      <c r="M70" s="11"/>
      <c r="N70" s="12"/>
      <c r="O70" s="12"/>
      <c r="P70" s="11"/>
      <c r="Q70" s="12"/>
      <c r="R70" s="12"/>
      <c r="S70" s="11"/>
      <c r="T70" s="12"/>
      <c r="U70" s="12"/>
    </row>
    <row r="71" spans="1:21" ht="16.95" customHeight="1">
      <c r="A71" s="268"/>
      <c r="B71" s="271"/>
      <c r="C71" s="130" t="s">
        <v>68</v>
      </c>
      <c r="D71" s="6">
        <v>132874.78343000001</v>
      </c>
      <c r="E71" s="106">
        <f t="shared" si="2"/>
        <v>132874783.43000001</v>
      </c>
      <c r="F71" s="139">
        <v>740988.92</v>
      </c>
      <c r="G71" s="135">
        <f t="shared" si="0"/>
        <v>5.5765955049730089E-3</v>
      </c>
      <c r="H71" s="139">
        <v>740988.92</v>
      </c>
      <c r="I71" s="18">
        <f t="shared" si="1"/>
        <v>5.5765955049730089E-3</v>
      </c>
      <c r="J71" s="9">
        <v>7033</v>
      </c>
      <c r="K71" s="9">
        <v>6297</v>
      </c>
      <c r="L71" s="10">
        <v>6168</v>
      </c>
      <c r="M71" s="11">
        <v>0.11119010379638845</v>
      </c>
      <c r="N71" s="12">
        <v>0.13276163252342385</v>
      </c>
      <c r="O71" s="12">
        <v>0.17898832684824903</v>
      </c>
      <c r="P71" s="11">
        <v>0.11346509313237595</v>
      </c>
      <c r="Q71" s="12">
        <v>0.10512942671113229</v>
      </c>
      <c r="R71" s="12">
        <v>0.11689364461738003</v>
      </c>
      <c r="S71" s="11">
        <v>0.12774051838923728</v>
      </c>
      <c r="T71" s="12">
        <v>0.12973803028382613</v>
      </c>
      <c r="U71" s="12">
        <v>0.15088949701946605</v>
      </c>
    </row>
    <row r="72" spans="1:21" s="168" customFormat="1" ht="16.95" customHeight="1">
      <c r="A72" s="269"/>
      <c r="B72" s="272"/>
      <c r="C72" s="115" t="s">
        <v>101</v>
      </c>
      <c r="D72" s="116"/>
      <c r="E72" s="117">
        <f>SUM(E69:E71)</f>
        <v>487758015.42999995</v>
      </c>
      <c r="F72" s="117">
        <f>SUM(F69:F71)</f>
        <v>2716455.99</v>
      </c>
      <c r="G72" s="118">
        <f t="shared" si="0"/>
        <v>5.5692698101643999E-3</v>
      </c>
      <c r="H72" s="117">
        <f>SUM(H69:H71)</f>
        <v>2716455.99</v>
      </c>
      <c r="I72" s="118">
        <f t="shared" si="1"/>
        <v>5.5692698101643999E-3</v>
      </c>
      <c r="J72" s="173"/>
      <c r="K72" s="173"/>
      <c r="L72" s="174"/>
      <c r="M72" s="175"/>
      <c r="N72" s="176"/>
      <c r="O72" s="176"/>
      <c r="P72" s="175"/>
      <c r="Q72" s="176"/>
      <c r="R72" s="176"/>
      <c r="S72" s="175"/>
      <c r="T72" s="176"/>
      <c r="U72" s="176"/>
    </row>
    <row r="73" spans="1:21">
      <c r="A73" s="5">
        <v>21</v>
      </c>
      <c r="B73" s="2" t="s">
        <v>23</v>
      </c>
      <c r="C73" s="130" t="s">
        <v>66</v>
      </c>
      <c r="D73" s="6">
        <v>323889.33571000001</v>
      </c>
      <c r="E73" s="106">
        <f t="shared" si="2"/>
        <v>323889335.71000004</v>
      </c>
      <c r="F73" s="134">
        <v>1147000</v>
      </c>
      <c r="G73" s="135">
        <f t="shared" si="0"/>
        <v>3.5413330219275464E-3</v>
      </c>
      <c r="H73" s="134">
        <v>1147000</v>
      </c>
      <c r="I73" s="18">
        <f t="shared" si="1"/>
        <v>3.5413330219275464E-3</v>
      </c>
      <c r="J73" s="13">
        <v>17761</v>
      </c>
      <c r="K73" s="13">
        <v>18454</v>
      </c>
      <c r="L73" s="14">
        <v>18221</v>
      </c>
      <c r="M73" s="15">
        <v>7.9443725015483357E-2</v>
      </c>
      <c r="N73" s="16">
        <v>7.7489975073154874E-2</v>
      </c>
      <c r="O73" s="16">
        <v>7.9578508314582075E-2</v>
      </c>
      <c r="P73" s="15">
        <v>0.10663813974438376</v>
      </c>
      <c r="Q73" s="16">
        <v>9.8677793432318195E-2</v>
      </c>
      <c r="R73" s="16">
        <v>9.1323198507216943E-2</v>
      </c>
      <c r="S73" s="15">
        <v>0.1334593973146154</v>
      </c>
      <c r="T73" s="16">
        <v>0.10952531273577211</v>
      </c>
      <c r="U73" s="16">
        <v>0.10727565688885174</v>
      </c>
    </row>
    <row r="74" spans="1:21" ht="22.95" customHeight="1">
      <c r="A74" s="267">
        <v>22</v>
      </c>
      <c r="B74" s="270" t="s">
        <v>24</v>
      </c>
      <c r="C74" s="140" t="s">
        <v>70</v>
      </c>
      <c r="D74" s="6">
        <v>1124828.6678899999</v>
      </c>
      <c r="E74" s="106">
        <f t="shared" si="2"/>
        <v>1124828667.8899999</v>
      </c>
      <c r="F74" s="134">
        <f>0.642015*F78</f>
        <v>5678622.6749999998</v>
      </c>
      <c r="G74" s="135">
        <f t="shared" si="0"/>
        <v>5.0484334522271686E-3</v>
      </c>
      <c r="H74" s="134">
        <v>6357728</v>
      </c>
      <c r="I74" s="18">
        <f t="shared" si="1"/>
        <v>5.6521745768856419E-3</v>
      </c>
      <c r="J74" s="13">
        <v>37818</v>
      </c>
      <c r="K74" s="13">
        <v>35001</v>
      </c>
      <c r="L74" s="14">
        <v>29782</v>
      </c>
      <c r="M74" s="15">
        <v>4.2916071711883233E-2</v>
      </c>
      <c r="N74" s="16">
        <v>4.1541670237993197E-2</v>
      </c>
      <c r="O74" s="16">
        <v>4.9593714324088378E-2</v>
      </c>
      <c r="P74" s="15">
        <v>0.14810407742344914</v>
      </c>
      <c r="Q74" s="16">
        <v>0.1575669266592383</v>
      </c>
      <c r="R74" s="16">
        <v>0.14965415351554631</v>
      </c>
      <c r="S74" s="15">
        <v>0.11006240881209459</v>
      </c>
      <c r="T74" s="16">
        <v>0.10978626979785093</v>
      </c>
      <c r="U74" s="16">
        <v>9.4331456517921256E-2</v>
      </c>
    </row>
    <row r="75" spans="1:21">
      <c r="A75" s="268"/>
      <c r="B75" s="271"/>
      <c r="C75" s="140" t="s">
        <v>88</v>
      </c>
      <c r="D75" s="6"/>
      <c r="E75" s="106">
        <f>353198.398032*1000</f>
        <v>353198398.03200001</v>
      </c>
      <c r="F75" s="134">
        <f>0.194291*F78</f>
        <v>1718503.895</v>
      </c>
      <c r="G75" s="135">
        <f t="shared" si="0"/>
        <v>4.8655483846342428E-3</v>
      </c>
      <c r="H75" s="134">
        <v>1924024</v>
      </c>
      <c r="I75" s="18">
        <f t="shared" si="1"/>
        <v>5.4474312757944107E-3</v>
      </c>
      <c r="J75" s="21">
        <v>21870</v>
      </c>
      <c r="K75" s="21">
        <v>22674</v>
      </c>
      <c r="L75" s="22">
        <v>20508</v>
      </c>
      <c r="M75" s="23">
        <v>0.14727937814357567</v>
      </c>
      <c r="N75" s="24">
        <v>0.14633500926170945</v>
      </c>
      <c r="O75" s="24">
        <v>0.14916130290618296</v>
      </c>
      <c r="P75" s="23">
        <v>0.13447645176040238</v>
      </c>
      <c r="Q75" s="24">
        <v>0.13826409102937284</v>
      </c>
      <c r="R75" s="24">
        <v>0.12853520577335673</v>
      </c>
      <c r="S75" s="23">
        <v>0.18692484751189589</v>
      </c>
      <c r="T75" s="24">
        <v>0.18268539975829137</v>
      </c>
      <c r="U75" s="24">
        <v>0.17371670551322768</v>
      </c>
    </row>
    <row r="76" spans="1:21">
      <c r="A76" s="268"/>
      <c r="B76" s="271"/>
      <c r="C76" s="140" t="s">
        <v>89</v>
      </c>
      <c r="D76" s="6"/>
      <c r="E76" s="106">
        <f>185184.7*1000</f>
        <v>185184700</v>
      </c>
      <c r="F76" s="134">
        <f>0.107576*F78</f>
        <v>951509.72000000009</v>
      </c>
      <c r="G76" s="135">
        <f t="shared" si="0"/>
        <v>5.1381659499947895E-3</v>
      </c>
      <c r="H76" s="134">
        <v>1065303</v>
      </c>
      <c r="I76" s="18">
        <f t="shared" si="1"/>
        <v>5.7526512719463328E-3</v>
      </c>
      <c r="J76" s="21">
        <v>9160</v>
      </c>
      <c r="K76" s="21">
        <v>7322</v>
      </c>
      <c r="L76" s="22">
        <v>6364</v>
      </c>
      <c r="M76" s="23">
        <v>0.10131004366812227</v>
      </c>
      <c r="N76" s="24">
        <v>0.11554220158426659</v>
      </c>
      <c r="O76" s="24">
        <v>0.12507856693903205</v>
      </c>
      <c r="P76" s="23">
        <v>0.22205240174672489</v>
      </c>
      <c r="Q76" s="24">
        <v>0.24788309205135209</v>
      </c>
      <c r="R76" s="24">
        <v>0.24151477058453802</v>
      </c>
      <c r="S76" s="23">
        <v>0.21554395513144756</v>
      </c>
      <c r="T76" s="24">
        <v>0.19409887245475047</v>
      </c>
      <c r="U76" s="24">
        <v>0.19354676296572798</v>
      </c>
    </row>
    <row r="77" spans="1:21">
      <c r="A77" s="268"/>
      <c r="B77" s="271"/>
      <c r="C77" s="140" t="s">
        <v>90</v>
      </c>
      <c r="D77" s="6"/>
      <c r="E77" s="113">
        <f>99985.45367*1000</f>
        <v>99985453.670000002</v>
      </c>
      <c r="F77" s="134">
        <f>0.056118*'Rev and PAU'!F78</f>
        <v>496363.71</v>
      </c>
      <c r="G77" s="135">
        <f t="shared" si="0"/>
        <v>4.9643592320762833E-3</v>
      </c>
      <c r="H77" s="134">
        <v>555719</v>
      </c>
      <c r="I77" s="18">
        <f t="shared" si="1"/>
        <v>5.5579984848009942E-3</v>
      </c>
      <c r="J77" s="21">
        <v>6992</v>
      </c>
      <c r="K77" s="21">
        <v>6132</v>
      </c>
      <c r="L77" s="22">
        <v>5055</v>
      </c>
      <c r="M77" s="23">
        <v>0.15074370709382151</v>
      </c>
      <c r="N77" s="24">
        <v>0.14856490541422049</v>
      </c>
      <c r="O77" s="24">
        <v>0.14065281899109791</v>
      </c>
      <c r="P77" s="23">
        <v>0.27445652173913043</v>
      </c>
      <c r="Q77" s="24">
        <v>0.28163731245923029</v>
      </c>
      <c r="R77" s="24">
        <v>0.24510385756676559</v>
      </c>
      <c r="S77" s="23">
        <v>0.28164200201431211</v>
      </c>
      <c r="T77" s="24">
        <v>0.28115009482628095</v>
      </c>
      <c r="U77" s="24">
        <v>0.2381152231010851</v>
      </c>
    </row>
    <row r="78" spans="1:21" s="168" customFormat="1">
      <c r="A78" s="269"/>
      <c r="B78" s="272"/>
      <c r="C78" s="177" t="s">
        <v>101</v>
      </c>
      <c r="D78" s="116"/>
      <c r="E78" s="117">
        <f>SUM(E74:E77)</f>
        <v>1763197219.592</v>
      </c>
      <c r="F78" s="117">
        <v>8845000</v>
      </c>
      <c r="G78" s="118">
        <f t="shared" si="0"/>
        <v>5.0164552789203655E-3</v>
      </c>
      <c r="H78" s="117">
        <f>SUM(H74:H77)</f>
        <v>9902774</v>
      </c>
      <c r="I78" s="118">
        <f t="shared" si="1"/>
        <v>5.6163734209446411E-3</v>
      </c>
      <c r="J78" s="173"/>
      <c r="K78" s="173"/>
      <c r="L78" s="174"/>
      <c r="M78" s="175"/>
      <c r="N78" s="176"/>
      <c r="O78" s="176"/>
      <c r="P78" s="175"/>
      <c r="Q78" s="176"/>
      <c r="R78" s="176"/>
      <c r="S78" s="175"/>
      <c r="T78" s="176"/>
      <c r="U78" s="176"/>
    </row>
    <row r="79" spans="1:21">
      <c r="C79" s="129" t="s">
        <v>93</v>
      </c>
      <c r="E79" s="127"/>
      <c r="F79" s="114">
        <f>SUM(F4:F77)-F78-F72-F68-F64-F55-F52-F48-F44-F28-F24-F13-F6</f>
        <v>69548325.354000002</v>
      </c>
      <c r="G79" s="127"/>
      <c r="H79" s="114">
        <f>SUM(H4:H77)-H78-H72-H68-H64-H55-H52-H48-H44-H28-H24-H13-H6</f>
        <v>83292014.238017976</v>
      </c>
    </row>
    <row r="80" spans="1:21">
      <c r="J80" t="s">
        <v>100</v>
      </c>
    </row>
    <row r="83" spans="6:6" customFormat="1">
      <c r="F83" s="138"/>
    </row>
  </sheetData>
  <mergeCells count="44">
    <mergeCell ref="A10:A13"/>
    <mergeCell ref="B10:B13"/>
    <mergeCell ref="A4:A6"/>
    <mergeCell ref="B4:B6"/>
    <mergeCell ref="D2:D3"/>
    <mergeCell ref="A2:B3"/>
    <mergeCell ref="C2:C3"/>
    <mergeCell ref="A49:A52"/>
    <mergeCell ref="B49:B52"/>
    <mergeCell ref="A53:A55"/>
    <mergeCell ref="B18:B24"/>
    <mergeCell ref="A18:A24"/>
    <mergeCell ref="A25:A28"/>
    <mergeCell ref="B25:B28"/>
    <mergeCell ref="A29:A36"/>
    <mergeCell ref="B29:B36"/>
    <mergeCell ref="A38:A44"/>
    <mergeCell ref="B38:B44"/>
    <mergeCell ref="A45:A48"/>
    <mergeCell ref="B45:B48"/>
    <mergeCell ref="U2:U3"/>
    <mergeCell ref="E2:E3"/>
    <mergeCell ref="R2:R3"/>
    <mergeCell ref="S2:S3"/>
    <mergeCell ref="T2:T3"/>
    <mergeCell ref="F2:F3"/>
    <mergeCell ref="G2:G3"/>
    <mergeCell ref="Q2:Q3"/>
    <mergeCell ref="K2:K3"/>
    <mergeCell ref="L2:L3"/>
    <mergeCell ref="M2:M3"/>
    <mergeCell ref="N2:N3"/>
    <mergeCell ref="O2:O3"/>
    <mergeCell ref="P2:P3"/>
    <mergeCell ref="J2:J3"/>
    <mergeCell ref="A69:A72"/>
    <mergeCell ref="B69:B72"/>
    <mergeCell ref="A74:A78"/>
    <mergeCell ref="B74:B78"/>
    <mergeCell ref="B53:B55"/>
    <mergeCell ref="A56:A64"/>
    <mergeCell ref="B56:B64"/>
    <mergeCell ref="A65:A68"/>
    <mergeCell ref="B65:B68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0" sqref="E10"/>
    </sheetView>
  </sheetViews>
  <sheetFormatPr defaultRowHeight="14.4"/>
  <cols>
    <col min="1" max="1" width="21.88671875" bestFit="1" customWidth="1"/>
    <col min="5" max="5" width="10.88671875" bestFit="1" customWidth="1"/>
  </cols>
  <sheetData>
    <row r="1" spans="1:5" s="126" customFormat="1" ht="36.75" customHeight="1" thickBot="1">
      <c r="A1" s="125" t="s">
        <v>112</v>
      </c>
      <c r="B1" s="125" t="s">
        <v>113</v>
      </c>
      <c r="C1" s="125" t="s">
        <v>114</v>
      </c>
      <c r="D1" s="125" t="s">
        <v>101</v>
      </c>
      <c r="E1" s="125" t="s">
        <v>115</v>
      </c>
    </row>
    <row r="2" spans="1:5" ht="15" thickTop="1">
      <c r="A2" s="104" t="s">
        <v>102</v>
      </c>
      <c r="B2" s="105">
        <v>2.8999999999999998E-3</v>
      </c>
      <c r="C2" s="105">
        <v>5.7999999999999996E-3</v>
      </c>
      <c r="D2" s="105">
        <f>SUM(B2:C2)</f>
        <v>8.6999999999999994E-3</v>
      </c>
      <c r="E2" s="105">
        <f>0.75%-D2</f>
        <v>-1.1999999999999997E-3</v>
      </c>
    </row>
    <row r="3" spans="1:5" ht="15" customHeight="1">
      <c r="A3" s="128" t="s">
        <v>40</v>
      </c>
      <c r="B3" s="103">
        <v>3.0000000000000001E-3</v>
      </c>
      <c r="C3" s="103">
        <v>5.8999999999999999E-3</v>
      </c>
      <c r="D3" s="103">
        <f t="shared" ref="D3:D16" si="0">SUM(B3:C3)</f>
        <v>8.8999999999999999E-3</v>
      </c>
      <c r="E3" s="103">
        <f t="shared" ref="E3:E16" si="1">0.75%-D3</f>
        <v>-1.4000000000000002E-3</v>
      </c>
    </row>
    <row r="4" spans="1:5">
      <c r="A4" s="128" t="s">
        <v>42</v>
      </c>
      <c r="B4" s="103">
        <v>3.3999999999999998E-3</v>
      </c>
      <c r="C4" s="103">
        <v>6.7999999999999996E-3</v>
      </c>
      <c r="D4" s="103">
        <f t="shared" si="0"/>
        <v>1.0199999999999999E-2</v>
      </c>
      <c r="E4" s="103">
        <f t="shared" si="1"/>
        <v>-2.6999999999999993E-3</v>
      </c>
    </row>
    <row r="5" spans="1:5">
      <c r="A5" s="156" t="s">
        <v>116</v>
      </c>
      <c r="B5" s="157">
        <v>2.7000000000000001E-3</v>
      </c>
      <c r="C5" s="156"/>
      <c r="D5" s="157">
        <f t="shared" si="0"/>
        <v>2.7000000000000001E-3</v>
      </c>
      <c r="E5" s="157">
        <f t="shared" si="1"/>
        <v>4.7999999999999996E-3</v>
      </c>
    </row>
    <row r="6" spans="1:5">
      <c r="A6" s="128" t="s">
        <v>103</v>
      </c>
      <c r="B6" s="103">
        <v>2.7000000000000001E-3</v>
      </c>
      <c r="C6" s="103">
        <v>5.7999999999999996E-3</v>
      </c>
      <c r="D6" s="103">
        <f t="shared" si="0"/>
        <v>8.5000000000000006E-3</v>
      </c>
      <c r="E6" s="103">
        <f t="shared" si="1"/>
        <v>-1.0000000000000009E-3</v>
      </c>
    </row>
    <row r="7" spans="1:5">
      <c r="A7" s="128" t="s">
        <v>104</v>
      </c>
      <c r="B7" s="103">
        <v>3.0000000000000001E-3</v>
      </c>
      <c r="C7" s="103">
        <v>5.7999999999999996E-3</v>
      </c>
      <c r="D7" s="103">
        <f t="shared" si="0"/>
        <v>8.7999999999999988E-3</v>
      </c>
      <c r="E7" s="103">
        <f t="shared" si="1"/>
        <v>-1.2999999999999991E-3</v>
      </c>
    </row>
    <row r="8" spans="1:5">
      <c r="A8" s="128" t="s">
        <v>16</v>
      </c>
      <c r="B8" s="103">
        <v>3.0999999999999999E-3</v>
      </c>
      <c r="C8" s="103">
        <v>3.5000000000000001E-3</v>
      </c>
      <c r="D8" s="103">
        <f t="shared" si="0"/>
        <v>6.6E-3</v>
      </c>
      <c r="E8" s="103">
        <f t="shared" si="1"/>
        <v>8.9999999999999976E-4</v>
      </c>
    </row>
    <row r="9" spans="1:5">
      <c r="A9" s="128" t="s">
        <v>46</v>
      </c>
      <c r="B9" s="103">
        <v>3.0000000000000001E-3</v>
      </c>
      <c r="C9" s="103">
        <v>6.0000000000000001E-3</v>
      </c>
      <c r="D9" s="103">
        <f t="shared" si="0"/>
        <v>9.0000000000000011E-3</v>
      </c>
      <c r="E9" s="103">
        <f t="shared" si="1"/>
        <v>-1.5000000000000013E-3</v>
      </c>
    </row>
    <row r="10" spans="1:5">
      <c r="A10" s="128" t="s">
        <v>105</v>
      </c>
      <c r="B10" s="103">
        <v>2.5999999999999999E-3</v>
      </c>
      <c r="C10" s="103">
        <v>3.8999999999999998E-3</v>
      </c>
      <c r="D10" s="103">
        <f t="shared" si="0"/>
        <v>6.4999999999999997E-3</v>
      </c>
      <c r="E10" s="103">
        <f t="shared" si="1"/>
        <v>1E-3</v>
      </c>
    </row>
    <row r="11" spans="1:5">
      <c r="A11" s="128" t="s">
        <v>106</v>
      </c>
      <c r="B11" s="103">
        <v>3.0000000000000001E-3</v>
      </c>
      <c r="C11" s="103">
        <v>4.1999999999999997E-3</v>
      </c>
      <c r="D11" s="103">
        <f t="shared" si="0"/>
        <v>7.1999999999999998E-3</v>
      </c>
      <c r="E11" s="103">
        <f t="shared" si="1"/>
        <v>2.9999999999999992E-4</v>
      </c>
    </row>
    <row r="12" spans="1:5">
      <c r="A12" s="128" t="s">
        <v>107</v>
      </c>
      <c r="B12" s="103">
        <v>4.0000000000000001E-3</v>
      </c>
      <c r="C12" s="103">
        <v>3.2000000000000002E-3</v>
      </c>
      <c r="D12" s="103">
        <f t="shared" si="0"/>
        <v>7.1999999999999998E-3</v>
      </c>
      <c r="E12" s="103">
        <f t="shared" si="1"/>
        <v>2.9999999999999992E-4</v>
      </c>
    </row>
    <row r="13" spans="1:5">
      <c r="A13" s="128" t="s">
        <v>108</v>
      </c>
      <c r="B13" s="103">
        <v>3.8E-3</v>
      </c>
      <c r="C13" s="103">
        <v>5.7999999999999996E-3</v>
      </c>
      <c r="D13" s="103">
        <f t="shared" si="0"/>
        <v>9.5999999999999992E-3</v>
      </c>
      <c r="E13" s="103">
        <f t="shared" si="1"/>
        <v>-2.0999999999999994E-3</v>
      </c>
    </row>
    <row r="14" spans="1:5">
      <c r="A14" s="128" t="s">
        <v>109</v>
      </c>
      <c r="B14" s="103">
        <v>4.0000000000000001E-3</v>
      </c>
      <c r="C14" s="103">
        <v>6.1000000000000004E-3</v>
      </c>
      <c r="D14" s="103">
        <f t="shared" si="0"/>
        <v>1.0100000000000001E-2</v>
      </c>
      <c r="E14" s="103">
        <f t="shared" si="1"/>
        <v>-2.6000000000000016E-3</v>
      </c>
    </row>
    <row r="15" spans="1:5">
      <c r="A15" s="128" t="s">
        <v>110</v>
      </c>
      <c r="B15" s="103">
        <v>3.8999999999999998E-3</v>
      </c>
      <c r="C15" s="103">
        <v>6.0000000000000001E-3</v>
      </c>
      <c r="D15" s="103">
        <f t="shared" si="0"/>
        <v>9.8999999999999991E-3</v>
      </c>
      <c r="E15" s="103">
        <f t="shared" si="1"/>
        <v>-2.3999999999999994E-3</v>
      </c>
    </row>
    <row r="16" spans="1:5">
      <c r="A16" s="128" t="s">
        <v>111</v>
      </c>
      <c r="B16" s="103">
        <v>3.8E-3</v>
      </c>
      <c r="C16" s="103">
        <v>3.0000000000000001E-3</v>
      </c>
      <c r="D16" s="103">
        <f t="shared" si="0"/>
        <v>6.8000000000000005E-3</v>
      </c>
      <c r="E16" s="103">
        <f t="shared" si="1"/>
        <v>6.9999999999999923E-4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Q29"/>
  <sheetViews>
    <sheetView topLeftCell="B1" workbookViewId="0">
      <selection activeCell="Q4" sqref="Q4"/>
    </sheetView>
  </sheetViews>
  <sheetFormatPr defaultRowHeight="14.4"/>
  <cols>
    <col min="3" max="3" width="15.33203125" customWidth="1"/>
    <col min="5" max="5" width="14.33203125" bestFit="1" customWidth="1"/>
    <col min="6" max="6" width="16.6640625" customWidth="1"/>
    <col min="8" max="8" width="11" bestFit="1" customWidth="1"/>
    <col min="12" max="12" width="14.33203125" bestFit="1" customWidth="1"/>
    <col min="14" max="16" width="14.33203125" bestFit="1" customWidth="1"/>
  </cols>
  <sheetData>
    <row r="4" spans="3:17">
      <c r="C4" s="37">
        <v>8000000</v>
      </c>
      <c r="D4" s="45">
        <f>C4/C10</f>
        <v>0.5161290322580645</v>
      </c>
      <c r="F4" s="46">
        <v>6365773.0019000005</v>
      </c>
      <c r="L4" s="37">
        <v>2228020</v>
      </c>
      <c r="M4" s="84">
        <f t="shared" ref="M4:M9" si="0">L4/L$10</f>
        <v>0.28024647380649781</v>
      </c>
      <c r="N4" s="83">
        <f t="shared" ref="N4:N9" si="1">M4*N$10</f>
        <v>1580431.4927644732</v>
      </c>
      <c r="P4" s="134">
        <v>6357728</v>
      </c>
      <c r="Q4">
        <f>P4/P$8</f>
        <v>0.6420148536157646</v>
      </c>
    </row>
    <row r="5" spans="3:17">
      <c r="C5" s="42">
        <v>2800000</v>
      </c>
      <c r="D5" s="45">
        <f>C5/C10</f>
        <v>0.18064516129032257</v>
      </c>
      <c r="F5" s="46">
        <v>2227588.8474000003</v>
      </c>
      <c r="L5" s="37">
        <v>267233</v>
      </c>
      <c r="M5" s="84">
        <f t="shared" si="0"/>
        <v>3.3613300569443651E-2</v>
      </c>
      <c r="N5" s="83">
        <f t="shared" si="1"/>
        <v>189559.99008353989</v>
      </c>
      <c r="P5" s="134">
        <v>1924024</v>
      </c>
      <c r="Q5" s="126">
        <f>P5/P$8</f>
        <v>0.19429141773810046</v>
      </c>
    </row>
    <row r="6" spans="3:17">
      <c r="C6" s="42">
        <v>1300000</v>
      </c>
      <c r="D6" s="45">
        <f>C6/C10</f>
        <v>8.387096774193549E-2</v>
      </c>
      <c r="F6" s="46">
        <v>1034854.3981</v>
      </c>
      <c r="L6" s="37">
        <v>855404</v>
      </c>
      <c r="M6" s="84">
        <f t="shared" si="0"/>
        <v>0.10759506408379345</v>
      </c>
      <c r="N6" s="83">
        <f t="shared" si="1"/>
        <v>606775.26262632362</v>
      </c>
      <c r="P6" s="134">
        <v>1065303</v>
      </c>
      <c r="Q6" s="126">
        <f>P6/P$8</f>
        <v>0.10757622056203646</v>
      </c>
    </row>
    <row r="7" spans="3:17">
      <c r="C7" s="42">
        <v>1800000</v>
      </c>
      <c r="D7" s="45">
        <f>C7/C10</f>
        <v>0.11612903225806452</v>
      </c>
      <c r="F7" s="46">
        <v>1432021.4018999999</v>
      </c>
      <c r="L7" s="37">
        <v>1856312</v>
      </c>
      <c r="M7" s="84">
        <f t="shared" si="0"/>
        <v>0.23349202084572293</v>
      </c>
      <c r="N7" s="83">
        <f t="shared" si="1"/>
        <v>1316762.8410860787</v>
      </c>
      <c r="P7" s="134">
        <v>555719</v>
      </c>
      <c r="Q7" s="126">
        <f>P7/P$8</f>
        <v>5.6117508084098454E-2</v>
      </c>
    </row>
    <row r="8" spans="3:17">
      <c r="C8" s="42">
        <v>1100000</v>
      </c>
      <c r="D8" s="45">
        <f>C8/C10</f>
        <v>7.0967741935483872E-2</v>
      </c>
      <c r="F8" s="46">
        <v>875740.90899999987</v>
      </c>
      <c r="L8" s="37">
        <v>1513102</v>
      </c>
      <c r="M8" s="84">
        <f t="shared" si="0"/>
        <v>0.19032212458126924</v>
      </c>
      <c r="N8" s="83">
        <f t="shared" si="1"/>
        <v>1073309.0603158455</v>
      </c>
      <c r="P8" s="52">
        <f>SUM(P4:P7)</f>
        <v>9902774</v>
      </c>
    </row>
    <row r="9" spans="3:17">
      <c r="C9" s="42">
        <v>500000</v>
      </c>
      <c r="D9" s="45">
        <f>C9/C10</f>
        <v>3.2258064516129031E-2</v>
      </c>
      <c r="F9" s="46">
        <v>398400.44170000002</v>
      </c>
      <c r="L9" s="37">
        <v>1230145</v>
      </c>
      <c r="M9" s="84">
        <f t="shared" si="0"/>
        <v>0.15473101611327289</v>
      </c>
      <c r="N9" s="83">
        <f t="shared" si="1"/>
        <v>872595.35312373901</v>
      </c>
      <c r="O9" s="83"/>
    </row>
    <row r="10" spans="3:17">
      <c r="C10" s="20">
        <f>SUM(C4:C9)</f>
        <v>15500000</v>
      </c>
      <c r="D10" s="44">
        <f>SUM(D4:D9)</f>
        <v>0.99999999999999989</v>
      </c>
      <c r="F10" s="46">
        <f>SUM(F4:F9)</f>
        <v>12334379.000000002</v>
      </c>
      <c r="L10" s="37">
        <f>SUM(L4:L9)</f>
        <v>7950216</v>
      </c>
      <c r="N10" s="8">
        <v>5639434</v>
      </c>
    </row>
    <row r="12" spans="3:17">
      <c r="L12">
        <f>N10/L10</f>
        <v>0.70934349456668855</v>
      </c>
    </row>
    <row r="17" spans="3:16">
      <c r="H17" s="17">
        <v>3054665</v>
      </c>
      <c r="I17">
        <f>H17/H$20</f>
        <v>0.77797872459639994</v>
      </c>
      <c r="J17">
        <f>I17*J$20</f>
        <v>1527332.5</v>
      </c>
      <c r="N17" s="136">
        <v>693000</v>
      </c>
      <c r="O17" s="92">
        <f>N17/N$20</f>
        <v>0.63</v>
      </c>
      <c r="P17" s="46">
        <f>O17*P$20</f>
        <v>443126.25</v>
      </c>
    </row>
    <row r="18" spans="3:16">
      <c r="C18" s="75">
        <v>3187760</v>
      </c>
      <c r="D18">
        <f>C18/C$21</f>
        <v>0.52346517339775656</v>
      </c>
      <c r="E18" s="46">
        <f>D18*E$21</f>
        <v>3534427.428408531</v>
      </c>
      <c r="H18" s="17">
        <v>757075</v>
      </c>
      <c r="I18">
        <f>H18/H$20</f>
        <v>0.1928159856887153</v>
      </c>
      <c r="J18">
        <f>I18*J$20</f>
        <v>378537.5</v>
      </c>
      <c r="L18" s="83"/>
      <c r="N18" s="136">
        <v>110000</v>
      </c>
      <c r="O18" s="92">
        <f>N18/N$20</f>
        <v>0.1</v>
      </c>
      <c r="P18" s="46">
        <f>O18*P$20</f>
        <v>70337.5</v>
      </c>
    </row>
    <row r="19" spans="3:16">
      <c r="C19" s="17">
        <v>1109380</v>
      </c>
      <c r="D19">
        <f>C19/C$21</f>
        <v>0.18217236996009836</v>
      </c>
      <c r="E19" s="46">
        <f>D19*E$21</f>
        <v>1230024.5628679248</v>
      </c>
      <c r="H19" s="17">
        <v>114672</v>
      </c>
      <c r="I19">
        <f>H19/H$20</f>
        <v>2.9205289714884734E-2</v>
      </c>
      <c r="J19">
        <f>I19*J$20</f>
        <v>57336</v>
      </c>
      <c r="L19" s="83"/>
      <c r="N19" s="136">
        <v>297000</v>
      </c>
      <c r="O19" s="92">
        <f>N19/N$20</f>
        <v>0.27</v>
      </c>
      <c r="P19" s="46">
        <f>O19*P$20</f>
        <v>189911.25</v>
      </c>
    </row>
    <row r="20" spans="3:16">
      <c r="C20" s="17">
        <v>1792587</v>
      </c>
      <c r="D20">
        <f>C20/C$21</f>
        <v>0.29436245664214505</v>
      </c>
      <c r="E20" s="46">
        <f>D20*E$21</f>
        <v>1987530.008723544</v>
      </c>
      <c r="H20" s="53">
        <f>SUM(H17:H19)</f>
        <v>3926412</v>
      </c>
      <c r="J20">
        <v>1963206</v>
      </c>
      <c r="L20" s="83"/>
      <c r="N20" s="133">
        <f>SUM(N17:N19)</f>
        <v>1100000</v>
      </c>
      <c r="P20" s="46">
        <v>703375</v>
      </c>
    </row>
    <row r="21" spans="3:16">
      <c r="C21" s="53">
        <f>SUM(C18:C20)</f>
        <v>6089727</v>
      </c>
      <c r="E21" s="46">
        <v>6751982</v>
      </c>
      <c r="L21" s="83"/>
    </row>
    <row r="22" spans="3:16">
      <c r="D22" s="91"/>
      <c r="L22" s="83"/>
    </row>
    <row r="23" spans="3:16">
      <c r="L23" s="83"/>
    </row>
    <row r="24" spans="3:16">
      <c r="L24" s="37">
        <v>2248938</v>
      </c>
      <c r="M24">
        <f>L24/L$27</f>
        <v>0.29178093122070675</v>
      </c>
      <c r="N24" s="46">
        <f>N$27*M24</f>
        <v>1958865.7379125217</v>
      </c>
    </row>
    <row r="25" spans="3:16">
      <c r="L25" s="37">
        <v>2760929</v>
      </c>
      <c r="M25" s="126">
        <f>L25/L$27</f>
        <v>0.35820748933685798</v>
      </c>
      <c r="N25" s="46">
        <f>N$27*M25</f>
        <v>2404819.1737206988</v>
      </c>
    </row>
    <row r="26" spans="3:16">
      <c r="L26" s="37">
        <v>2697758</v>
      </c>
      <c r="M26" s="126">
        <f>L26/L$27</f>
        <v>0.35001157944243527</v>
      </c>
      <c r="N26" s="46">
        <f>N$27*M26</f>
        <v>2349796.08836678</v>
      </c>
    </row>
    <row r="27" spans="3:16">
      <c r="H27" s="37">
        <v>788247</v>
      </c>
      <c r="I27">
        <f>H27/H$29</f>
        <v>0.41864122323899156</v>
      </c>
      <c r="J27">
        <f>I27*J$29</f>
        <v>661901.91610891884</v>
      </c>
      <c r="L27" s="37">
        <f>SUM(L24:L26)</f>
        <v>7707625</v>
      </c>
      <c r="N27" s="46">
        <v>6713481</v>
      </c>
    </row>
    <row r="28" spans="3:16">
      <c r="H28" s="37">
        <v>1094623</v>
      </c>
      <c r="I28" s="126">
        <f>H28/H$29</f>
        <v>0.58135877676100844</v>
      </c>
      <c r="J28" s="126">
        <f>I28*J$29</f>
        <v>919170.08389108116</v>
      </c>
    </row>
    <row r="29" spans="3:16">
      <c r="H29" s="37">
        <f>SUM(H27:H28)</f>
        <v>1882870</v>
      </c>
      <c r="J29">
        <v>1581072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E62080-FC73-4BE6-BC39-36E740E911E4}"/>
</file>

<file path=customXml/itemProps2.xml><?xml version="1.0" encoding="utf-8"?>
<ds:datastoreItem xmlns:ds="http://schemas.openxmlformats.org/officeDocument/2006/customXml" ds:itemID="{70087481-487D-4FC2-9910-8B1765B97CF4}"/>
</file>

<file path=customXml/itemProps3.xml><?xml version="1.0" encoding="utf-8"?>
<ds:datastoreItem xmlns:ds="http://schemas.openxmlformats.org/officeDocument/2006/customXml" ds:itemID="{E5D65BFA-3972-45A1-AEC2-68BDE4A357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Master Sheet</vt:lpstr>
      <vt:lpstr>1. Initial Review Scores</vt:lpstr>
      <vt:lpstr>2. Finalists Review Scores</vt:lpstr>
      <vt:lpstr>3. Final Award Request</vt:lpstr>
      <vt:lpstr>4. Financial Analysis</vt:lpstr>
      <vt:lpstr>Rev and PAU</vt:lpstr>
      <vt:lpstr>Hospital Total Req %</vt:lpstr>
      <vt:lpstr>Sheet1</vt:lpstr>
      <vt:lpstr>'1. Initial Review Scores'!Print_Area</vt:lpstr>
      <vt:lpstr>'4. Financial Analysis'!Print_Area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Russ Montgomery</dc:creator>
  <cp:lastModifiedBy>Ellen Englert</cp:lastModifiedBy>
  <cp:lastPrinted>2016-06-16T15:12:09Z</cp:lastPrinted>
  <dcterms:created xsi:type="dcterms:W3CDTF">2015-04-14T15:25:46Z</dcterms:created>
  <dcterms:modified xsi:type="dcterms:W3CDTF">2016-06-16T15:43:23Z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